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3D4D3569-1A2B-48CB-BDEA-C4847C917105}" xr6:coauthVersionLast="47" xr6:coauthVersionMax="47" xr10:uidLastSave="{00000000-0000-0000-0000-000000000000}"/>
  <bookViews>
    <workbookView xWindow="28680" yWindow="-120" windowWidth="29040" windowHeight="15840" firstSheet="1" activeTab="10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2.03.01" sheetId="24" r:id="rId6"/>
    <sheet name="2022.03.02" sheetId="25" r:id="rId7"/>
    <sheet name="2022.03.03" sheetId="26" r:id="rId8"/>
    <sheet name="2022.03.04" sheetId="27" r:id="rId9"/>
    <sheet name="2022.03.05" sheetId="28" r:id="rId10"/>
    <sheet name="2022.03.06" sheetId="29" r:id="rId11"/>
  </sheets>
  <definedNames>
    <definedName name="_xlnm._FilterDatabase" localSheetId="5" hidden="1">'2022.03.01'!#REF!</definedName>
    <definedName name="_xlnm._FilterDatabase" localSheetId="6" hidden="1">'2022.03.02'!#REF!</definedName>
    <definedName name="_xlnm._FilterDatabase" localSheetId="7" hidden="1">'2022.03.03'!#REF!</definedName>
    <definedName name="_xlnm._FilterDatabase" localSheetId="8" hidden="1">'2022.03.04'!#REF!</definedName>
    <definedName name="_xlnm._FilterDatabase" localSheetId="9" hidden="1">'2022.03.05'!#REF!</definedName>
    <definedName name="_xlnm._FilterDatabase" localSheetId="10" hidden="1">'2022.03.06'!#REF!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29" l="1"/>
  <c r="O198" i="29"/>
  <c r="N198" i="29"/>
  <c r="L198" i="29"/>
  <c r="K198" i="29"/>
  <c r="I198" i="29"/>
  <c r="H198" i="29"/>
  <c r="F198" i="29"/>
  <c r="E198" i="29"/>
  <c r="O197" i="29"/>
  <c r="N197" i="29"/>
  <c r="L197" i="29"/>
  <c r="K197" i="29"/>
  <c r="I197" i="29"/>
  <c r="H197" i="29"/>
  <c r="F197" i="29"/>
  <c r="E197" i="29"/>
  <c r="O196" i="29"/>
  <c r="N196" i="29"/>
  <c r="L196" i="29"/>
  <c r="K196" i="29"/>
  <c r="I196" i="29"/>
  <c r="H196" i="29"/>
  <c r="F196" i="29"/>
  <c r="E196" i="29"/>
  <c r="O195" i="29"/>
  <c r="N195" i="29"/>
  <c r="L195" i="29"/>
  <c r="K195" i="29"/>
  <c r="I195" i="29"/>
  <c r="H195" i="29"/>
  <c r="F195" i="29"/>
  <c r="E195" i="29"/>
  <c r="O194" i="29"/>
  <c r="N194" i="29"/>
  <c r="L194" i="29"/>
  <c r="K194" i="29"/>
  <c r="I194" i="29"/>
  <c r="H194" i="29"/>
  <c r="F194" i="29"/>
  <c r="E194" i="29"/>
  <c r="O193" i="29"/>
  <c r="N193" i="29"/>
  <c r="L193" i="29"/>
  <c r="K193" i="29"/>
  <c r="I193" i="29"/>
  <c r="H193" i="29"/>
  <c r="F193" i="29"/>
  <c r="E193" i="29"/>
  <c r="O192" i="29"/>
  <c r="N192" i="29"/>
  <c r="L192" i="29"/>
  <c r="K192" i="29"/>
  <c r="I192" i="29"/>
  <c r="H192" i="29"/>
  <c r="F192" i="29"/>
  <c r="E192" i="29"/>
  <c r="O191" i="29"/>
  <c r="N191" i="29"/>
  <c r="L191" i="29"/>
  <c r="K191" i="29"/>
  <c r="I191" i="29"/>
  <c r="H191" i="29"/>
  <c r="F191" i="29"/>
  <c r="E191" i="29"/>
  <c r="O190" i="29"/>
  <c r="N190" i="29"/>
  <c r="L190" i="29"/>
  <c r="K190" i="29"/>
  <c r="I190" i="29"/>
  <c r="H190" i="29"/>
  <c r="F190" i="29"/>
  <c r="E190" i="29"/>
  <c r="O189" i="29"/>
  <c r="N189" i="29"/>
  <c r="L189" i="29"/>
  <c r="K189" i="29"/>
  <c r="I189" i="29"/>
  <c r="H189" i="29"/>
  <c r="F189" i="29"/>
  <c r="E189" i="29"/>
  <c r="O188" i="29"/>
  <c r="N188" i="29"/>
  <c r="L188" i="29"/>
  <c r="K188" i="29"/>
  <c r="I188" i="29"/>
  <c r="H188" i="29"/>
  <c r="F188" i="29"/>
  <c r="E188" i="29"/>
  <c r="O187" i="29"/>
  <c r="N187" i="29"/>
  <c r="L187" i="29"/>
  <c r="K187" i="29"/>
  <c r="I187" i="29"/>
  <c r="H187" i="29"/>
  <c r="F187" i="29"/>
  <c r="E187" i="29"/>
  <c r="O186" i="29"/>
  <c r="N186" i="29"/>
  <c r="L186" i="29"/>
  <c r="K186" i="29"/>
  <c r="I186" i="29"/>
  <c r="H186" i="29"/>
  <c r="F186" i="29"/>
  <c r="E186" i="29"/>
  <c r="O185" i="29"/>
  <c r="N185" i="29"/>
  <c r="L185" i="29"/>
  <c r="K185" i="29"/>
  <c r="I185" i="29"/>
  <c r="H185" i="29"/>
  <c r="F185" i="29"/>
  <c r="E185" i="29"/>
  <c r="O184" i="29"/>
  <c r="N184" i="29"/>
  <c r="L184" i="29"/>
  <c r="K184" i="29"/>
  <c r="I184" i="29"/>
  <c r="H184" i="29"/>
  <c r="F184" i="29"/>
  <c r="E184" i="29"/>
  <c r="O183" i="29"/>
  <c r="N183" i="29"/>
  <c r="L183" i="29"/>
  <c r="K183" i="29"/>
  <c r="I183" i="29"/>
  <c r="H183" i="29"/>
  <c r="F183" i="29"/>
  <c r="E183" i="29"/>
  <c r="O182" i="29"/>
  <c r="N182" i="29"/>
  <c r="L182" i="29"/>
  <c r="K182" i="29"/>
  <c r="I182" i="29"/>
  <c r="H182" i="29"/>
  <c r="F182" i="29"/>
  <c r="E182" i="29"/>
  <c r="O181" i="29"/>
  <c r="N181" i="29"/>
  <c r="L181" i="29"/>
  <c r="K181" i="29"/>
  <c r="I181" i="29"/>
  <c r="H181" i="29"/>
  <c r="F181" i="29"/>
  <c r="E181" i="29"/>
  <c r="O180" i="29"/>
  <c r="N180" i="29"/>
  <c r="L180" i="29"/>
  <c r="K180" i="29"/>
  <c r="I180" i="29"/>
  <c r="H180" i="29"/>
  <c r="F180" i="29"/>
  <c r="E180" i="29"/>
  <c r="O179" i="29"/>
  <c r="O199" i="29" s="1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I171" i="29"/>
  <c r="H171" i="29"/>
  <c r="F171" i="29"/>
  <c r="E171" i="29"/>
  <c r="O170" i="29"/>
  <c r="N170" i="29"/>
  <c r="L170" i="29"/>
  <c r="K170" i="29"/>
  <c r="I170" i="29"/>
  <c r="H170" i="29"/>
  <c r="F170" i="29"/>
  <c r="E170" i="29"/>
  <c r="O169" i="29"/>
  <c r="N169" i="29"/>
  <c r="L169" i="29"/>
  <c r="K169" i="29"/>
  <c r="I169" i="29"/>
  <c r="H169" i="29"/>
  <c r="F169" i="29"/>
  <c r="E169" i="29"/>
  <c r="O168" i="29"/>
  <c r="N168" i="29"/>
  <c r="L168" i="29"/>
  <c r="K168" i="29"/>
  <c r="I168" i="29"/>
  <c r="H168" i="29"/>
  <c r="F168" i="29"/>
  <c r="E168" i="29"/>
  <c r="O167" i="29"/>
  <c r="N167" i="29"/>
  <c r="L167" i="29"/>
  <c r="K167" i="29"/>
  <c r="I167" i="29"/>
  <c r="H167" i="29"/>
  <c r="F167" i="29"/>
  <c r="E167" i="29"/>
  <c r="O166" i="29"/>
  <c r="N166" i="29"/>
  <c r="L166" i="29"/>
  <c r="K166" i="29"/>
  <c r="I166" i="29"/>
  <c r="H166" i="29"/>
  <c r="F166" i="29"/>
  <c r="E166" i="29"/>
  <c r="O165" i="29"/>
  <c r="N165" i="29"/>
  <c r="L165" i="29"/>
  <c r="K165" i="29"/>
  <c r="I165" i="29"/>
  <c r="H165" i="29"/>
  <c r="F165" i="29"/>
  <c r="E165" i="29"/>
  <c r="O164" i="29"/>
  <c r="N164" i="29"/>
  <c r="L164" i="29"/>
  <c r="K164" i="29"/>
  <c r="I164" i="29"/>
  <c r="H164" i="29"/>
  <c r="F164" i="29"/>
  <c r="E164" i="29"/>
  <c r="O163" i="29"/>
  <c r="N163" i="29"/>
  <c r="L163" i="29"/>
  <c r="K163" i="29"/>
  <c r="I163" i="29"/>
  <c r="H163" i="29"/>
  <c r="F163" i="29"/>
  <c r="E163" i="29"/>
  <c r="O162" i="29"/>
  <c r="N162" i="29"/>
  <c r="L162" i="29"/>
  <c r="K162" i="29"/>
  <c r="I162" i="29"/>
  <c r="H162" i="29"/>
  <c r="F162" i="29"/>
  <c r="E162" i="29"/>
  <c r="O161" i="29"/>
  <c r="N161" i="29"/>
  <c r="L161" i="29"/>
  <c r="K161" i="29"/>
  <c r="I161" i="29"/>
  <c r="H161" i="29"/>
  <c r="F161" i="29"/>
  <c r="E161" i="29"/>
  <c r="O160" i="29"/>
  <c r="N160" i="29"/>
  <c r="L160" i="29"/>
  <c r="K160" i="29"/>
  <c r="I160" i="29"/>
  <c r="H160" i="29"/>
  <c r="F160" i="29"/>
  <c r="E160" i="29"/>
  <c r="O159" i="29"/>
  <c r="N159" i="29"/>
  <c r="L159" i="29"/>
  <c r="K159" i="29"/>
  <c r="I159" i="29"/>
  <c r="H159" i="29"/>
  <c r="F159" i="29"/>
  <c r="E159" i="29"/>
  <c r="O158" i="29"/>
  <c r="N158" i="29"/>
  <c r="L158" i="29"/>
  <c r="K158" i="29"/>
  <c r="I158" i="29"/>
  <c r="H158" i="29"/>
  <c r="F158" i="29"/>
  <c r="E158" i="29"/>
  <c r="O157" i="29"/>
  <c r="N157" i="29"/>
  <c r="L157" i="29"/>
  <c r="K157" i="29"/>
  <c r="I157" i="29"/>
  <c r="H157" i="29"/>
  <c r="F157" i="29"/>
  <c r="E157" i="29"/>
  <c r="O156" i="29"/>
  <c r="N156" i="29"/>
  <c r="L156" i="29"/>
  <c r="K156" i="29"/>
  <c r="I156" i="29"/>
  <c r="H156" i="29"/>
  <c r="F156" i="29"/>
  <c r="E156" i="29"/>
  <c r="O155" i="29"/>
  <c r="N155" i="29"/>
  <c r="L155" i="29"/>
  <c r="K155" i="29"/>
  <c r="I155" i="29"/>
  <c r="H155" i="29"/>
  <c r="F155" i="29"/>
  <c r="E155" i="29"/>
  <c r="O154" i="29"/>
  <c r="N154" i="29"/>
  <c r="L154" i="29"/>
  <c r="K154" i="29"/>
  <c r="I154" i="29"/>
  <c r="H154" i="29"/>
  <c r="F154" i="29"/>
  <c r="E154" i="29"/>
  <c r="O153" i="29"/>
  <c r="N153" i="29"/>
  <c r="L153" i="29"/>
  <c r="K153" i="29"/>
  <c r="I153" i="29"/>
  <c r="H153" i="29"/>
  <c r="F153" i="29"/>
  <c r="E153" i="29"/>
  <c r="O152" i="29"/>
  <c r="O172" i="29" s="1"/>
  <c r="N152" i="29"/>
  <c r="N172" i="29" s="1"/>
  <c r="L152" i="29"/>
  <c r="L172" i="29" s="1"/>
  <c r="K152" i="29"/>
  <c r="K172" i="29" s="1"/>
  <c r="I152" i="29"/>
  <c r="I172" i="29" s="1"/>
  <c r="H152" i="29"/>
  <c r="H172" i="29" s="1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O141" i="29"/>
  <c r="N141" i="29"/>
  <c r="L141" i="29"/>
  <c r="K141" i="29"/>
  <c r="I141" i="29"/>
  <c r="H141" i="29"/>
  <c r="F141" i="29"/>
  <c r="E141" i="29"/>
  <c r="O140" i="29"/>
  <c r="N140" i="29"/>
  <c r="L140" i="29"/>
  <c r="K140" i="29"/>
  <c r="I140" i="29"/>
  <c r="H140" i="29"/>
  <c r="F140" i="29"/>
  <c r="E140" i="29"/>
  <c r="O139" i="29"/>
  <c r="N139" i="29"/>
  <c r="L139" i="29"/>
  <c r="K139" i="29"/>
  <c r="I139" i="29"/>
  <c r="H139" i="29"/>
  <c r="F139" i="29"/>
  <c r="E139" i="29"/>
  <c r="O138" i="29"/>
  <c r="N138" i="29"/>
  <c r="L138" i="29"/>
  <c r="K138" i="29"/>
  <c r="I138" i="29"/>
  <c r="H138" i="29"/>
  <c r="F138" i="29"/>
  <c r="E138" i="29"/>
  <c r="O137" i="29"/>
  <c r="N137" i="29"/>
  <c r="L137" i="29"/>
  <c r="K137" i="29"/>
  <c r="I137" i="29"/>
  <c r="H137" i="29"/>
  <c r="F137" i="29"/>
  <c r="E137" i="29"/>
  <c r="O136" i="29"/>
  <c r="N136" i="29"/>
  <c r="L136" i="29"/>
  <c r="K136" i="29"/>
  <c r="I136" i="29"/>
  <c r="H136" i="29"/>
  <c r="E136" i="29"/>
  <c r="F136" i="29" s="1"/>
  <c r="O135" i="29"/>
  <c r="N135" i="29"/>
  <c r="L135" i="29"/>
  <c r="K135" i="29"/>
  <c r="I135" i="29"/>
  <c r="H135" i="29"/>
  <c r="F135" i="29"/>
  <c r="E135" i="29"/>
  <c r="O134" i="29"/>
  <c r="N134" i="29"/>
  <c r="L134" i="29"/>
  <c r="K134" i="29"/>
  <c r="I134" i="29"/>
  <c r="H134" i="29"/>
  <c r="E134" i="29"/>
  <c r="F134" i="29" s="1"/>
  <c r="O133" i="29"/>
  <c r="N133" i="29"/>
  <c r="L133" i="29"/>
  <c r="K133" i="29"/>
  <c r="I133" i="29"/>
  <c r="H133" i="29"/>
  <c r="E133" i="29"/>
  <c r="F133" i="29" s="1"/>
  <c r="O132" i="29"/>
  <c r="N132" i="29"/>
  <c r="L132" i="29"/>
  <c r="K132" i="29"/>
  <c r="I132" i="29"/>
  <c r="H132" i="29"/>
  <c r="E132" i="29"/>
  <c r="F132" i="29" s="1"/>
  <c r="O131" i="29"/>
  <c r="N131" i="29"/>
  <c r="L131" i="29"/>
  <c r="K131" i="29"/>
  <c r="I131" i="29"/>
  <c r="H131" i="29"/>
  <c r="E131" i="29"/>
  <c r="F131" i="29" s="1"/>
  <c r="O130" i="29"/>
  <c r="N130" i="29"/>
  <c r="L130" i="29"/>
  <c r="K130" i="29"/>
  <c r="I130" i="29"/>
  <c r="H130" i="29"/>
  <c r="E130" i="29"/>
  <c r="F130" i="29" s="1"/>
  <c r="O129" i="29"/>
  <c r="N129" i="29"/>
  <c r="L129" i="29"/>
  <c r="K129" i="29"/>
  <c r="I129" i="29"/>
  <c r="H129" i="29"/>
  <c r="E129" i="29"/>
  <c r="F129" i="29" s="1"/>
  <c r="O128" i="29"/>
  <c r="N128" i="29"/>
  <c r="L128" i="29"/>
  <c r="K128" i="29"/>
  <c r="I128" i="29"/>
  <c r="H128" i="29"/>
  <c r="E128" i="29"/>
  <c r="F128" i="29" s="1"/>
  <c r="O127" i="29"/>
  <c r="N127" i="29"/>
  <c r="L127" i="29"/>
  <c r="K127" i="29"/>
  <c r="I127" i="29"/>
  <c r="H127" i="29"/>
  <c r="E127" i="29"/>
  <c r="F127" i="29" s="1"/>
  <c r="O126" i="29"/>
  <c r="N126" i="29"/>
  <c r="L126" i="29"/>
  <c r="K126" i="29"/>
  <c r="I126" i="29"/>
  <c r="H126" i="29"/>
  <c r="E126" i="29"/>
  <c r="F126" i="29" s="1"/>
  <c r="O125" i="29"/>
  <c r="O145" i="29" s="1"/>
  <c r="N125" i="29"/>
  <c r="N145" i="29" s="1"/>
  <c r="L125" i="29"/>
  <c r="L145" i="29" s="1"/>
  <c r="K125" i="29"/>
  <c r="K145" i="29" s="1"/>
  <c r="I125" i="29"/>
  <c r="I145" i="29" s="1"/>
  <c r="H125" i="29"/>
  <c r="H145" i="29" s="1"/>
  <c r="E125" i="29"/>
  <c r="E145" i="29" s="1"/>
  <c r="M123" i="29"/>
  <c r="J123" i="29"/>
  <c r="G123" i="29"/>
  <c r="D123" i="29"/>
  <c r="B123" i="29"/>
  <c r="M122" i="29"/>
  <c r="G122" i="29"/>
  <c r="B118" i="29"/>
  <c r="O117" i="29"/>
  <c r="N117" i="29"/>
  <c r="L117" i="29"/>
  <c r="K117" i="29"/>
  <c r="I117" i="29"/>
  <c r="H117" i="29"/>
  <c r="E117" i="29"/>
  <c r="F117" i="29" s="1"/>
  <c r="O116" i="29"/>
  <c r="N116" i="29"/>
  <c r="L116" i="29"/>
  <c r="K116" i="29"/>
  <c r="I116" i="29"/>
  <c r="H116" i="29"/>
  <c r="E116" i="29"/>
  <c r="F116" i="29" s="1"/>
  <c r="O115" i="29"/>
  <c r="N115" i="29"/>
  <c r="L115" i="29"/>
  <c r="K115" i="29"/>
  <c r="I115" i="29"/>
  <c r="H115" i="29"/>
  <c r="E115" i="29"/>
  <c r="F115" i="29" s="1"/>
  <c r="O114" i="29"/>
  <c r="N114" i="29"/>
  <c r="L114" i="29"/>
  <c r="K114" i="29"/>
  <c r="I114" i="29"/>
  <c r="H114" i="29"/>
  <c r="E114" i="29"/>
  <c r="F114" i="29" s="1"/>
  <c r="O113" i="29"/>
  <c r="N113" i="29"/>
  <c r="L113" i="29"/>
  <c r="K113" i="29"/>
  <c r="I113" i="29"/>
  <c r="H113" i="29"/>
  <c r="E113" i="29"/>
  <c r="F113" i="29" s="1"/>
  <c r="O112" i="29"/>
  <c r="N112" i="29"/>
  <c r="L112" i="29"/>
  <c r="K112" i="29"/>
  <c r="I112" i="29"/>
  <c r="H112" i="29"/>
  <c r="E112" i="29"/>
  <c r="F112" i="29" s="1"/>
  <c r="O111" i="29"/>
  <c r="N111" i="29"/>
  <c r="L111" i="29"/>
  <c r="K111" i="29"/>
  <c r="I111" i="29"/>
  <c r="H111" i="29"/>
  <c r="E111" i="29"/>
  <c r="F111" i="29" s="1"/>
  <c r="O110" i="29"/>
  <c r="N110" i="29"/>
  <c r="L110" i="29"/>
  <c r="K110" i="29"/>
  <c r="I110" i="29"/>
  <c r="H110" i="29"/>
  <c r="E110" i="29"/>
  <c r="F110" i="29" s="1"/>
  <c r="O109" i="29"/>
  <c r="N109" i="29"/>
  <c r="L109" i="29"/>
  <c r="K109" i="29"/>
  <c r="I109" i="29"/>
  <c r="H109" i="29"/>
  <c r="E109" i="29"/>
  <c r="F109" i="29" s="1"/>
  <c r="O108" i="29"/>
  <c r="N108" i="29"/>
  <c r="L108" i="29"/>
  <c r="K108" i="29"/>
  <c r="I108" i="29"/>
  <c r="H108" i="29"/>
  <c r="E108" i="29"/>
  <c r="F108" i="29" s="1"/>
  <c r="O107" i="29"/>
  <c r="N107" i="29"/>
  <c r="L107" i="29"/>
  <c r="K107" i="29"/>
  <c r="I107" i="29"/>
  <c r="H107" i="29"/>
  <c r="E107" i="29"/>
  <c r="F107" i="29" s="1"/>
  <c r="O106" i="29"/>
  <c r="N106" i="29"/>
  <c r="L106" i="29"/>
  <c r="K106" i="29"/>
  <c r="I106" i="29"/>
  <c r="H106" i="29"/>
  <c r="E106" i="29"/>
  <c r="F106" i="29" s="1"/>
  <c r="O105" i="29"/>
  <c r="N105" i="29"/>
  <c r="L105" i="29"/>
  <c r="K105" i="29"/>
  <c r="I105" i="29"/>
  <c r="H105" i="29"/>
  <c r="E105" i="29"/>
  <c r="F105" i="29" s="1"/>
  <c r="O104" i="29"/>
  <c r="N104" i="29"/>
  <c r="L104" i="29"/>
  <c r="K104" i="29"/>
  <c r="I104" i="29"/>
  <c r="H104" i="29"/>
  <c r="E104" i="29"/>
  <c r="F104" i="29" s="1"/>
  <c r="O103" i="29"/>
  <c r="N103" i="29"/>
  <c r="L103" i="29"/>
  <c r="K103" i="29"/>
  <c r="I103" i="29"/>
  <c r="H103" i="29"/>
  <c r="E103" i="29"/>
  <c r="F103" i="29" s="1"/>
  <c r="O102" i="29"/>
  <c r="N102" i="29"/>
  <c r="L102" i="29"/>
  <c r="K102" i="29"/>
  <c r="I102" i="29"/>
  <c r="H102" i="29"/>
  <c r="E102" i="29"/>
  <c r="F102" i="29" s="1"/>
  <c r="O101" i="29"/>
  <c r="N101" i="29"/>
  <c r="L101" i="29"/>
  <c r="K101" i="29"/>
  <c r="I101" i="29"/>
  <c r="H101" i="29"/>
  <c r="E101" i="29"/>
  <c r="F101" i="29" s="1"/>
  <c r="O100" i="29"/>
  <c r="N100" i="29"/>
  <c r="L100" i="29"/>
  <c r="K100" i="29"/>
  <c r="I100" i="29"/>
  <c r="H100" i="29"/>
  <c r="E100" i="29"/>
  <c r="F100" i="29" s="1"/>
  <c r="O99" i="29"/>
  <c r="N99" i="29"/>
  <c r="L99" i="29"/>
  <c r="K99" i="29"/>
  <c r="I99" i="29"/>
  <c r="H99" i="29"/>
  <c r="E99" i="29"/>
  <c r="F99" i="29" s="1"/>
  <c r="O98" i="29"/>
  <c r="O118" i="29" s="1"/>
  <c r="N98" i="29"/>
  <c r="N118" i="29" s="1"/>
  <c r="L98" i="29"/>
  <c r="L118" i="29" s="1"/>
  <c r="K98" i="29"/>
  <c r="K118" i="29" s="1"/>
  <c r="I98" i="29"/>
  <c r="I118" i="29" s="1"/>
  <c r="H98" i="29"/>
  <c r="H118" i="29" s="1"/>
  <c r="E98" i="29"/>
  <c r="E118" i="29" s="1"/>
  <c r="M96" i="29"/>
  <c r="J96" i="29"/>
  <c r="G96" i="29"/>
  <c r="D96" i="29"/>
  <c r="B96" i="29"/>
  <c r="M95" i="29"/>
  <c r="G95" i="29"/>
  <c r="B91" i="29"/>
  <c r="O90" i="29"/>
  <c r="N90" i="29"/>
  <c r="L90" i="29"/>
  <c r="K90" i="29"/>
  <c r="I90" i="29"/>
  <c r="H90" i="29"/>
  <c r="E90" i="29"/>
  <c r="F90" i="29" s="1"/>
  <c r="O89" i="29"/>
  <c r="N89" i="29"/>
  <c r="L89" i="29"/>
  <c r="K89" i="29"/>
  <c r="I89" i="29"/>
  <c r="H89" i="29"/>
  <c r="E89" i="29"/>
  <c r="F89" i="29" s="1"/>
  <c r="O88" i="29"/>
  <c r="N88" i="29"/>
  <c r="L88" i="29"/>
  <c r="K88" i="29"/>
  <c r="I88" i="29"/>
  <c r="H88" i="29"/>
  <c r="E88" i="29"/>
  <c r="F88" i="29" s="1"/>
  <c r="O87" i="29"/>
  <c r="N87" i="29"/>
  <c r="L87" i="29"/>
  <c r="K87" i="29"/>
  <c r="I87" i="29"/>
  <c r="H87" i="29"/>
  <c r="E87" i="29"/>
  <c r="F87" i="29" s="1"/>
  <c r="O86" i="29"/>
  <c r="N86" i="29"/>
  <c r="L86" i="29"/>
  <c r="K86" i="29"/>
  <c r="I86" i="29"/>
  <c r="H86" i="29"/>
  <c r="E86" i="29"/>
  <c r="F86" i="29" s="1"/>
  <c r="O85" i="29"/>
  <c r="N85" i="29"/>
  <c r="L85" i="29"/>
  <c r="K85" i="29"/>
  <c r="I85" i="29"/>
  <c r="H85" i="29"/>
  <c r="E85" i="29"/>
  <c r="F85" i="29" s="1"/>
  <c r="O84" i="29"/>
  <c r="N84" i="29"/>
  <c r="L84" i="29"/>
  <c r="K84" i="29"/>
  <c r="I84" i="29"/>
  <c r="H84" i="29"/>
  <c r="E84" i="29"/>
  <c r="F84" i="29" s="1"/>
  <c r="O83" i="29"/>
  <c r="N83" i="29"/>
  <c r="L83" i="29"/>
  <c r="K83" i="29"/>
  <c r="I83" i="29"/>
  <c r="H83" i="29"/>
  <c r="E83" i="29"/>
  <c r="F83" i="29" s="1"/>
  <c r="O82" i="29"/>
  <c r="N82" i="29"/>
  <c r="L82" i="29"/>
  <c r="K82" i="29"/>
  <c r="I82" i="29"/>
  <c r="H82" i="29"/>
  <c r="E82" i="29"/>
  <c r="F82" i="29" s="1"/>
  <c r="O81" i="29"/>
  <c r="N81" i="29"/>
  <c r="L81" i="29"/>
  <c r="K81" i="29"/>
  <c r="I81" i="29"/>
  <c r="H81" i="29"/>
  <c r="E81" i="29"/>
  <c r="F81" i="29" s="1"/>
  <c r="O80" i="29"/>
  <c r="N80" i="29"/>
  <c r="L80" i="29"/>
  <c r="K80" i="29"/>
  <c r="I80" i="29"/>
  <c r="H80" i="29"/>
  <c r="E80" i="29"/>
  <c r="F80" i="29" s="1"/>
  <c r="O79" i="29"/>
  <c r="N79" i="29"/>
  <c r="L79" i="29"/>
  <c r="K79" i="29"/>
  <c r="I79" i="29"/>
  <c r="H79" i="29"/>
  <c r="E79" i="29"/>
  <c r="F79" i="29" s="1"/>
  <c r="O78" i="29"/>
  <c r="N78" i="29"/>
  <c r="L78" i="29"/>
  <c r="K78" i="29"/>
  <c r="I78" i="29"/>
  <c r="H78" i="29"/>
  <c r="E78" i="29"/>
  <c r="F78" i="29" s="1"/>
  <c r="O77" i="29"/>
  <c r="N77" i="29"/>
  <c r="L77" i="29"/>
  <c r="K77" i="29"/>
  <c r="I77" i="29"/>
  <c r="H77" i="29"/>
  <c r="E77" i="29"/>
  <c r="F77" i="29" s="1"/>
  <c r="O76" i="29"/>
  <c r="N76" i="29"/>
  <c r="L76" i="29"/>
  <c r="K76" i="29"/>
  <c r="I76" i="29"/>
  <c r="H76" i="29"/>
  <c r="E76" i="29"/>
  <c r="F76" i="29" s="1"/>
  <c r="O75" i="29"/>
  <c r="N75" i="29"/>
  <c r="L75" i="29"/>
  <c r="K75" i="29"/>
  <c r="I75" i="29"/>
  <c r="H75" i="29"/>
  <c r="E75" i="29"/>
  <c r="F75" i="29" s="1"/>
  <c r="O74" i="29"/>
  <c r="N74" i="29"/>
  <c r="L74" i="29"/>
  <c r="K74" i="29"/>
  <c r="I74" i="29"/>
  <c r="H74" i="29"/>
  <c r="E74" i="29"/>
  <c r="F74" i="29" s="1"/>
  <c r="O73" i="29"/>
  <c r="N73" i="29"/>
  <c r="L73" i="29"/>
  <c r="K73" i="29"/>
  <c r="I73" i="29"/>
  <c r="H73" i="29"/>
  <c r="E73" i="29"/>
  <c r="F73" i="29" s="1"/>
  <c r="O72" i="29"/>
  <c r="N72" i="29"/>
  <c r="L72" i="29"/>
  <c r="K72" i="29"/>
  <c r="I72" i="29"/>
  <c r="H72" i="29"/>
  <c r="E72" i="29"/>
  <c r="F72" i="29" s="1"/>
  <c r="O71" i="29"/>
  <c r="O91" i="29" s="1"/>
  <c r="N71" i="29"/>
  <c r="N91" i="29" s="1"/>
  <c r="L71" i="29"/>
  <c r="L91" i="29" s="1"/>
  <c r="K71" i="29"/>
  <c r="K91" i="29" s="1"/>
  <c r="I71" i="29"/>
  <c r="I91" i="29" s="1"/>
  <c r="H71" i="29"/>
  <c r="H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E63" i="29"/>
  <c r="F63" i="29" s="1"/>
  <c r="O62" i="29"/>
  <c r="N62" i="29"/>
  <c r="L62" i="29"/>
  <c r="K62" i="29"/>
  <c r="I62" i="29"/>
  <c r="H62" i="29"/>
  <c r="E62" i="29"/>
  <c r="F62" i="29" s="1"/>
  <c r="O61" i="29"/>
  <c r="N61" i="29"/>
  <c r="L61" i="29"/>
  <c r="K61" i="29"/>
  <c r="I61" i="29"/>
  <c r="H61" i="29"/>
  <c r="E61" i="29"/>
  <c r="F61" i="29" s="1"/>
  <c r="O60" i="29"/>
  <c r="N60" i="29"/>
  <c r="L60" i="29"/>
  <c r="K60" i="29"/>
  <c r="I60" i="29"/>
  <c r="H60" i="29"/>
  <c r="E60" i="29"/>
  <c r="F60" i="29" s="1"/>
  <c r="O59" i="29"/>
  <c r="N59" i="29"/>
  <c r="L59" i="29"/>
  <c r="K59" i="29"/>
  <c r="I59" i="29"/>
  <c r="H59" i="29"/>
  <c r="E59" i="29"/>
  <c r="F59" i="29" s="1"/>
  <c r="O58" i="29"/>
  <c r="N58" i="29"/>
  <c r="L58" i="29"/>
  <c r="K58" i="29"/>
  <c r="I58" i="29"/>
  <c r="H58" i="29"/>
  <c r="E58" i="29"/>
  <c r="F58" i="29" s="1"/>
  <c r="O57" i="29"/>
  <c r="N57" i="29"/>
  <c r="L57" i="29"/>
  <c r="K57" i="29"/>
  <c r="I57" i="29"/>
  <c r="H57" i="29"/>
  <c r="E57" i="29"/>
  <c r="F57" i="29" s="1"/>
  <c r="O56" i="29"/>
  <c r="N56" i="29"/>
  <c r="L56" i="29"/>
  <c r="K56" i="29"/>
  <c r="I56" i="29"/>
  <c r="H56" i="29"/>
  <c r="E56" i="29"/>
  <c r="F56" i="29" s="1"/>
  <c r="O55" i="29"/>
  <c r="N55" i="29"/>
  <c r="L55" i="29"/>
  <c r="K55" i="29"/>
  <c r="I55" i="29"/>
  <c r="H55" i="29"/>
  <c r="E55" i="29"/>
  <c r="F55" i="29" s="1"/>
  <c r="O54" i="29"/>
  <c r="N54" i="29"/>
  <c r="L54" i="29"/>
  <c r="K54" i="29"/>
  <c r="I54" i="29"/>
  <c r="H54" i="29"/>
  <c r="E54" i="29"/>
  <c r="F54" i="29" s="1"/>
  <c r="O53" i="29"/>
  <c r="N53" i="29"/>
  <c r="L53" i="29"/>
  <c r="K53" i="29"/>
  <c r="I53" i="29"/>
  <c r="H53" i="29"/>
  <c r="E53" i="29"/>
  <c r="F53" i="29" s="1"/>
  <c r="O52" i="29"/>
  <c r="N52" i="29"/>
  <c r="L52" i="29"/>
  <c r="K52" i="29"/>
  <c r="I52" i="29"/>
  <c r="H52" i="29"/>
  <c r="E52" i="29"/>
  <c r="F52" i="29" s="1"/>
  <c r="O51" i="29"/>
  <c r="N51" i="29"/>
  <c r="L51" i="29"/>
  <c r="K51" i="29"/>
  <c r="I51" i="29"/>
  <c r="H51" i="29"/>
  <c r="E51" i="29"/>
  <c r="F51" i="29" s="1"/>
  <c r="O50" i="29"/>
  <c r="N50" i="29"/>
  <c r="L50" i="29"/>
  <c r="K50" i="29"/>
  <c r="I50" i="29"/>
  <c r="H50" i="29"/>
  <c r="E50" i="29"/>
  <c r="F50" i="29" s="1"/>
  <c r="O49" i="29"/>
  <c r="N49" i="29"/>
  <c r="L49" i="29"/>
  <c r="K49" i="29"/>
  <c r="I49" i="29"/>
  <c r="H49" i="29"/>
  <c r="E49" i="29"/>
  <c r="F49" i="29" s="1"/>
  <c r="O48" i="29"/>
  <c r="N48" i="29"/>
  <c r="L48" i="29"/>
  <c r="K48" i="29"/>
  <c r="I48" i="29"/>
  <c r="H48" i="29"/>
  <c r="E48" i="29"/>
  <c r="F48" i="29" s="1"/>
  <c r="O47" i="29"/>
  <c r="N47" i="29"/>
  <c r="L47" i="29"/>
  <c r="K47" i="29"/>
  <c r="I47" i="29"/>
  <c r="H47" i="29"/>
  <c r="E47" i="29"/>
  <c r="F47" i="29" s="1"/>
  <c r="O46" i="29"/>
  <c r="N46" i="29"/>
  <c r="L46" i="29"/>
  <c r="K46" i="29"/>
  <c r="I46" i="29"/>
  <c r="H46" i="29"/>
  <c r="E46" i="29"/>
  <c r="F46" i="29" s="1"/>
  <c r="O45" i="29"/>
  <c r="N45" i="29"/>
  <c r="L45" i="29"/>
  <c r="K45" i="29"/>
  <c r="I45" i="29"/>
  <c r="H45" i="29"/>
  <c r="E45" i="29"/>
  <c r="F45" i="29" s="1"/>
  <c r="O44" i="29"/>
  <c r="O64" i="29" s="1"/>
  <c r="N44" i="29"/>
  <c r="N64" i="29" s="1"/>
  <c r="L44" i="29"/>
  <c r="L64" i="29" s="1"/>
  <c r="K44" i="29"/>
  <c r="K64" i="29" s="1"/>
  <c r="I44" i="29"/>
  <c r="I64" i="29" s="1"/>
  <c r="H44" i="29"/>
  <c r="H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N197" i="28"/>
  <c r="O197" i="28" s="1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F196" i="28"/>
  <c r="E196" i="28"/>
  <c r="N195" i="28"/>
  <c r="O195" i="28" s="1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O190" i="28"/>
  <c r="N190" i="28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N188" i="28"/>
  <c r="O188" i="28" s="1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N184" i="28"/>
  <c r="O184" i="28" s="1"/>
  <c r="K184" i="28"/>
  <c r="L184" i="28" s="1"/>
  <c r="H184" i="28"/>
  <c r="I184" i="28" s="1"/>
  <c r="F184" i="28"/>
  <c r="E184" i="28"/>
  <c r="O183" i="28"/>
  <c r="N183" i="28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O169" i="28"/>
  <c r="N169" i="28"/>
  <c r="K169" i="28"/>
  <c r="L169" i="28" s="1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O163" i="28"/>
  <c r="N163" i="28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O160" i="28"/>
  <c r="N160" i="28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O158" i="28"/>
  <c r="N158" i="28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L141" i="28"/>
  <c r="K141" i="28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L137" i="28"/>
  <c r="K137" i="28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N135" i="28"/>
  <c r="O135" i="28" s="1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N133" i="28"/>
  <c r="O133" i="28" s="1"/>
  <c r="L133" i="28"/>
  <c r="K133" i="28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N131" i="28"/>
  <c r="O131" i="28" s="1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N129" i="28"/>
  <c r="O129" i="28" s="1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K126" i="28"/>
  <c r="L126" i="28" s="1"/>
  <c r="H126" i="28"/>
  <c r="I126" i="28" s="1"/>
  <c r="F126" i="28"/>
  <c r="E126" i="28"/>
  <c r="N125" i="28"/>
  <c r="L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L115" i="28"/>
  <c r="K115" i="28"/>
  <c r="H115" i="28"/>
  <c r="I115" i="28" s="1"/>
  <c r="F115" i="28"/>
  <c r="E115" i="28"/>
  <c r="N114" i="28"/>
  <c r="O114" i="28" s="1"/>
  <c r="K114" i="28"/>
  <c r="L114" i="28" s="1"/>
  <c r="H114" i="28"/>
  <c r="I114" i="28" s="1"/>
  <c r="F114" i="28"/>
  <c r="E114" i="28"/>
  <c r="N113" i="28"/>
  <c r="O113" i="28" s="1"/>
  <c r="L113" i="28"/>
  <c r="K113" i="28"/>
  <c r="H113" i="28"/>
  <c r="I113" i="28" s="1"/>
  <c r="F113" i="28"/>
  <c r="E113" i="28"/>
  <c r="N112" i="28"/>
  <c r="O112" i="28" s="1"/>
  <c r="K112" i="28"/>
  <c r="L112" i="28" s="1"/>
  <c r="H112" i="28"/>
  <c r="I112" i="28" s="1"/>
  <c r="F112" i="28"/>
  <c r="E112" i="28"/>
  <c r="O111" i="28"/>
  <c r="N111" i="28"/>
  <c r="L111" i="28"/>
  <c r="K111" i="28"/>
  <c r="H111" i="28"/>
  <c r="I111" i="28" s="1"/>
  <c r="F111" i="28"/>
  <c r="E111" i="28"/>
  <c r="N110" i="28"/>
  <c r="O110" i="28" s="1"/>
  <c r="K110" i="28"/>
  <c r="L110" i="28" s="1"/>
  <c r="H110" i="28"/>
  <c r="I110" i="28" s="1"/>
  <c r="F110" i="28"/>
  <c r="E110" i="28"/>
  <c r="N109" i="28"/>
  <c r="O109" i="28" s="1"/>
  <c r="L109" i="28"/>
  <c r="K109" i="28"/>
  <c r="H109" i="28"/>
  <c r="I109" i="28" s="1"/>
  <c r="F109" i="28"/>
  <c r="E109" i="28"/>
  <c r="O108" i="28"/>
  <c r="N108" i="28"/>
  <c r="K108" i="28"/>
  <c r="L108" i="28" s="1"/>
  <c r="H108" i="28"/>
  <c r="I108" i="28" s="1"/>
  <c r="F108" i="28"/>
  <c r="E108" i="28"/>
  <c r="O107" i="28"/>
  <c r="N107" i="28"/>
  <c r="L107" i="28"/>
  <c r="K107" i="28"/>
  <c r="H107" i="28"/>
  <c r="I107" i="28" s="1"/>
  <c r="F107" i="28"/>
  <c r="E107" i="28"/>
  <c r="N106" i="28"/>
  <c r="O106" i="28" s="1"/>
  <c r="K106" i="28"/>
  <c r="L106" i="28" s="1"/>
  <c r="H106" i="28"/>
  <c r="I106" i="28" s="1"/>
  <c r="F106" i="28"/>
  <c r="E106" i="28"/>
  <c r="N105" i="28"/>
  <c r="O105" i="28" s="1"/>
  <c r="L105" i="28"/>
  <c r="K105" i="28"/>
  <c r="H105" i="28"/>
  <c r="I105" i="28" s="1"/>
  <c r="F105" i="28"/>
  <c r="E105" i="28"/>
  <c r="O104" i="28"/>
  <c r="N104" i="28"/>
  <c r="K104" i="28"/>
  <c r="L104" i="28" s="1"/>
  <c r="H104" i="28"/>
  <c r="I104" i="28" s="1"/>
  <c r="F104" i="28"/>
  <c r="E104" i="28"/>
  <c r="O103" i="28"/>
  <c r="N103" i="28"/>
  <c r="L103" i="28"/>
  <c r="K103" i="28"/>
  <c r="H103" i="28"/>
  <c r="I103" i="28" s="1"/>
  <c r="F103" i="28"/>
  <c r="E103" i="28"/>
  <c r="N102" i="28"/>
  <c r="O102" i="28" s="1"/>
  <c r="K102" i="28"/>
  <c r="L102" i="28" s="1"/>
  <c r="H102" i="28"/>
  <c r="I102" i="28" s="1"/>
  <c r="F102" i="28"/>
  <c r="E102" i="28"/>
  <c r="N101" i="28"/>
  <c r="O101" i="28" s="1"/>
  <c r="L101" i="28"/>
  <c r="K101" i="28"/>
  <c r="H101" i="28"/>
  <c r="I101" i="28" s="1"/>
  <c r="F101" i="28"/>
  <c r="E101" i="28"/>
  <c r="O100" i="28"/>
  <c r="N100" i="28"/>
  <c r="K100" i="28"/>
  <c r="L100" i="28" s="1"/>
  <c r="H100" i="28"/>
  <c r="I100" i="28" s="1"/>
  <c r="F100" i="28"/>
  <c r="E100" i="28"/>
  <c r="O99" i="28"/>
  <c r="N99" i="28"/>
  <c r="L99" i="28"/>
  <c r="K99" i="28"/>
  <c r="H99" i="28"/>
  <c r="I99" i="28" s="1"/>
  <c r="F99" i="28"/>
  <c r="E99" i="28"/>
  <c r="N98" i="28"/>
  <c r="K98" i="28"/>
  <c r="H98" i="28"/>
  <c r="H118" i="28" s="1"/>
  <c r="F98" i="28"/>
  <c r="F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L90" i="28"/>
  <c r="K90" i="28"/>
  <c r="H90" i="28"/>
  <c r="I90" i="28" s="1"/>
  <c r="F90" i="28"/>
  <c r="E90" i="28"/>
  <c r="N89" i="28"/>
  <c r="O89" i="28" s="1"/>
  <c r="K89" i="28"/>
  <c r="L89" i="28" s="1"/>
  <c r="H89" i="28"/>
  <c r="I89" i="28" s="1"/>
  <c r="F89" i="28"/>
  <c r="E89" i="28"/>
  <c r="O88" i="28"/>
  <c r="N88" i="28"/>
  <c r="K88" i="28"/>
  <c r="L88" i="28" s="1"/>
  <c r="H88" i="28"/>
  <c r="I88" i="28" s="1"/>
  <c r="F88" i="28"/>
  <c r="E88" i="28"/>
  <c r="N87" i="28"/>
  <c r="O87" i="28" s="1"/>
  <c r="K87" i="28"/>
  <c r="L87" i="28" s="1"/>
  <c r="H87" i="28"/>
  <c r="I87" i="28" s="1"/>
  <c r="F87" i="28"/>
  <c r="E87" i="28"/>
  <c r="O86" i="28"/>
  <c r="N86" i="28"/>
  <c r="L86" i="28"/>
  <c r="K86" i="28"/>
  <c r="H86" i="28"/>
  <c r="I86" i="28" s="1"/>
  <c r="F86" i="28"/>
  <c r="E86" i="28"/>
  <c r="N85" i="28"/>
  <c r="O85" i="28" s="1"/>
  <c r="K85" i="28"/>
  <c r="L85" i="28" s="1"/>
  <c r="H85" i="28"/>
  <c r="I85" i="28" s="1"/>
  <c r="F85" i="28"/>
  <c r="E85" i="28"/>
  <c r="N84" i="28"/>
  <c r="O84" i="28" s="1"/>
  <c r="K84" i="28"/>
  <c r="L84" i="28" s="1"/>
  <c r="H84" i="28"/>
  <c r="I84" i="28" s="1"/>
  <c r="F84" i="28"/>
  <c r="E84" i="28"/>
  <c r="N83" i="28"/>
  <c r="O83" i="28" s="1"/>
  <c r="K83" i="28"/>
  <c r="L83" i="28" s="1"/>
  <c r="H83" i="28"/>
  <c r="I83" i="28" s="1"/>
  <c r="F83" i="28"/>
  <c r="E83" i="28"/>
  <c r="O82" i="28"/>
  <c r="N82" i="28"/>
  <c r="L82" i="28"/>
  <c r="K82" i="28"/>
  <c r="H82" i="28"/>
  <c r="I82" i="28" s="1"/>
  <c r="F82" i="28"/>
  <c r="E82" i="28"/>
  <c r="O81" i="28"/>
  <c r="N81" i="28"/>
  <c r="K81" i="28"/>
  <c r="L81" i="28" s="1"/>
  <c r="H81" i="28"/>
  <c r="I81" i="28" s="1"/>
  <c r="F81" i="28"/>
  <c r="E81" i="28"/>
  <c r="N80" i="28"/>
  <c r="O80" i="28" s="1"/>
  <c r="K80" i="28"/>
  <c r="L80" i="28" s="1"/>
  <c r="H80" i="28"/>
  <c r="I80" i="28" s="1"/>
  <c r="F80" i="28"/>
  <c r="E80" i="28"/>
  <c r="O79" i="28"/>
  <c r="N79" i="28"/>
  <c r="K79" i="28"/>
  <c r="L79" i="28" s="1"/>
  <c r="H79" i="28"/>
  <c r="I79" i="28" s="1"/>
  <c r="F79" i="28"/>
  <c r="E79" i="28"/>
  <c r="N78" i="28"/>
  <c r="O78" i="28" s="1"/>
  <c r="L78" i="28"/>
  <c r="K78" i="28"/>
  <c r="H78" i="28"/>
  <c r="I78" i="28" s="1"/>
  <c r="F78" i="28"/>
  <c r="E78" i="28"/>
  <c r="N77" i="28"/>
  <c r="O77" i="28" s="1"/>
  <c r="K77" i="28"/>
  <c r="L77" i="28" s="1"/>
  <c r="H77" i="28"/>
  <c r="I77" i="28" s="1"/>
  <c r="F77" i="28"/>
  <c r="E77" i="28"/>
  <c r="N76" i="28"/>
  <c r="O76" i="28" s="1"/>
  <c r="K76" i="28"/>
  <c r="L76" i="28" s="1"/>
  <c r="H76" i="28"/>
  <c r="I76" i="28" s="1"/>
  <c r="F76" i="28"/>
  <c r="E76" i="28"/>
  <c r="N75" i="28"/>
  <c r="O75" i="28" s="1"/>
  <c r="K75" i="28"/>
  <c r="L75" i="28" s="1"/>
  <c r="H75" i="28"/>
  <c r="I75" i="28" s="1"/>
  <c r="F75" i="28"/>
  <c r="E75" i="28"/>
  <c r="N74" i="28"/>
  <c r="O74" i="28" s="1"/>
  <c r="L74" i="28"/>
  <c r="K74" i="28"/>
  <c r="H74" i="28"/>
  <c r="I74" i="28" s="1"/>
  <c r="F74" i="28"/>
  <c r="E74" i="28"/>
  <c r="O73" i="28"/>
  <c r="N73" i="28"/>
  <c r="K73" i="28"/>
  <c r="L73" i="28" s="1"/>
  <c r="H73" i="28"/>
  <c r="I73" i="28" s="1"/>
  <c r="F73" i="28"/>
  <c r="E73" i="28"/>
  <c r="O72" i="28"/>
  <c r="N72" i="28"/>
  <c r="K72" i="28"/>
  <c r="L72" i="28" s="1"/>
  <c r="H72" i="28"/>
  <c r="I72" i="28" s="1"/>
  <c r="F72" i="28"/>
  <c r="E72" i="28"/>
  <c r="N71" i="28"/>
  <c r="K71" i="28"/>
  <c r="H71" i="28"/>
  <c r="H91" i="28" s="1"/>
  <c r="F71" i="28"/>
  <c r="F91" i="28" s="1"/>
  <c r="E71" i="28"/>
  <c r="E91" i="28" s="1"/>
  <c r="M69" i="28"/>
  <c r="J69" i="28"/>
  <c r="G69" i="28"/>
  <c r="D69" i="28"/>
  <c r="B69" i="28"/>
  <c r="M68" i="28"/>
  <c r="G68" i="28"/>
  <c r="B64" i="28"/>
  <c r="N63" i="28"/>
  <c r="O63" i="28" s="1"/>
  <c r="K63" i="28"/>
  <c r="L63" i="28" s="1"/>
  <c r="H63" i="28"/>
  <c r="I63" i="28" s="1"/>
  <c r="F63" i="28"/>
  <c r="E63" i="28"/>
  <c r="N62" i="28"/>
  <c r="O62" i="28" s="1"/>
  <c r="L62" i="28"/>
  <c r="K62" i="28"/>
  <c r="I62" i="28"/>
  <c r="H62" i="28"/>
  <c r="F62" i="28"/>
  <c r="E62" i="28"/>
  <c r="N61" i="28"/>
  <c r="O61" i="28" s="1"/>
  <c r="L61" i="28"/>
  <c r="K61" i="28"/>
  <c r="I61" i="28"/>
  <c r="H61" i="28"/>
  <c r="F61" i="28"/>
  <c r="E61" i="28"/>
  <c r="N60" i="28"/>
  <c r="O60" i="28" s="1"/>
  <c r="L60" i="28"/>
  <c r="K60" i="28"/>
  <c r="I60" i="28"/>
  <c r="H60" i="28"/>
  <c r="F60" i="28"/>
  <c r="E60" i="28"/>
  <c r="N59" i="28"/>
  <c r="O59" i="28" s="1"/>
  <c r="L59" i="28"/>
  <c r="K59" i="28"/>
  <c r="I59" i="28"/>
  <c r="H59" i="28"/>
  <c r="F59" i="28"/>
  <c r="E59" i="28"/>
  <c r="N58" i="28"/>
  <c r="O58" i="28" s="1"/>
  <c r="L58" i="28"/>
  <c r="K58" i="28"/>
  <c r="I58" i="28"/>
  <c r="H58" i="28"/>
  <c r="F58" i="28"/>
  <c r="E58" i="28"/>
  <c r="N57" i="28"/>
  <c r="O57" i="28" s="1"/>
  <c r="L57" i="28"/>
  <c r="K57" i="28"/>
  <c r="I57" i="28"/>
  <c r="H57" i="28"/>
  <c r="F57" i="28"/>
  <c r="E57" i="28"/>
  <c r="N56" i="28"/>
  <c r="O56" i="28" s="1"/>
  <c r="L56" i="28"/>
  <c r="K56" i="28"/>
  <c r="I56" i="28"/>
  <c r="H56" i="28"/>
  <c r="F56" i="28"/>
  <c r="E56" i="28"/>
  <c r="N55" i="28"/>
  <c r="O55" i="28" s="1"/>
  <c r="L55" i="28"/>
  <c r="K55" i="28"/>
  <c r="I55" i="28"/>
  <c r="H55" i="28"/>
  <c r="F55" i="28"/>
  <c r="E55" i="28"/>
  <c r="N54" i="28"/>
  <c r="O54" i="28" s="1"/>
  <c r="L54" i="28"/>
  <c r="K54" i="28"/>
  <c r="I54" i="28"/>
  <c r="H54" i="28"/>
  <c r="F54" i="28"/>
  <c r="E54" i="28"/>
  <c r="N53" i="28"/>
  <c r="O53" i="28" s="1"/>
  <c r="L53" i="28"/>
  <c r="K53" i="28"/>
  <c r="I53" i="28"/>
  <c r="H53" i="28"/>
  <c r="F53" i="28"/>
  <c r="E53" i="28"/>
  <c r="N52" i="28"/>
  <c r="O52" i="28" s="1"/>
  <c r="L52" i="28"/>
  <c r="K52" i="28"/>
  <c r="I52" i="28"/>
  <c r="H52" i="28"/>
  <c r="F52" i="28"/>
  <c r="E52" i="28"/>
  <c r="N51" i="28"/>
  <c r="O51" i="28" s="1"/>
  <c r="L51" i="28"/>
  <c r="K51" i="28"/>
  <c r="I51" i="28"/>
  <c r="H51" i="28"/>
  <c r="F51" i="28"/>
  <c r="E51" i="28"/>
  <c r="N50" i="28"/>
  <c r="O50" i="28" s="1"/>
  <c r="L50" i="28"/>
  <c r="K50" i="28"/>
  <c r="I50" i="28"/>
  <c r="H50" i="28"/>
  <c r="F50" i="28"/>
  <c r="E50" i="28"/>
  <c r="N49" i="28"/>
  <c r="O49" i="28" s="1"/>
  <c r="L49" i="28"/>
  <c r="K49" i="28"/>
  <c r="I49" i="28"/>
  <c r="H49" i="28"/>
  <c r="F49" i="28"/>
  <c r="E49" i="28"/>
  <c r="N48" i="28"/>
  <c r="O48" i="28" s="1"/>
  <c r="L48" i="28"/>
  <c r="K48" i="28"/>
  <c r="I48" i="28"/>
  <c r="H48" i="28"/>
  <c r="F48" i="28"/>
  <c r="E48" i="28"/>
  <c r="N47" i="28"/>
  <c r="O47" i="28" s="1"/>
  <c r="L47" i="28"/>
  <c r="K47" i="28"/>
  <c r="I47" i="28"/>
  <c r="H47" i="28"/>
  <c r="F47" i="28"/>
  <c r="E47" i="28"/>
  <c r="N46" i="28"/>
  <c r="O46" i="28" s="1"/>
  <c r="L46" i="28"/>
  <c r="K46" i="28"/>
  <c r="I46" i="28"/>
  <c r="H46" i="28"/>
  <c r="F46" i="28"/>
  <c r="E46" i="28"/>
  <c r="N45" i="28"/>
  <c r="O45" i="28" s="1"/>
  <c r="L45" i="28"/>
  <c r="K45" i="28"/>
  <c r="I45" i="28"/>
  <c r="H45" i="28"/>
  <c r="F45" i="28"/>
  <c r="E45" i="28"/>
  <c r="N44" i="28"/>
  <c r="N64" i="28" s="1"/>
  <c r="L44" i="28"/>
  <c r="K44" i="28"/>
  <c r="K64" i="28" s="1"/>
  <c r="I44" i="28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N195" i="27"/>
  <c r="O195" i="27" s="1"/>
  <c r="L195" i="27"/>
  <c r="K195" i="27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N193" i="27"/>
  <c r="O193" i="27" s="1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O186" i="27"/>
  <c r="N186" i="27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F182" i="27"/>
  <c r="E182" i="27"/>
  <c r="O181" i="27"/>
  <c r="N181" i="27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O179" i="27"/>
  <c r="N179" i="27"/>
  <c r="K179" i="27"/>
  <c r="H179" i="27"/>
  <c r="H199" i="27" s="1"/>
  <c r="F179" i="27"/>
  <c r="E179" i="27"/>
  <c r="E199" i="27" s="1"/>
  <c r="M177" i="27"/>
  <c r="J177" i="27"/>
  <c r="G177" i="27"/>
  <c r="D177" i="27"/>
  <c r="B177" i="27"/>
  <c r="M176" i="27"/>
  <c r="G176" i="27"/>
  <c r="B172" i="27"/>
  <c r="O171" i="27"/>
  <c r="N171" i="27"/>
  <c r="L171" i="27"/>
  <c r="K171" i="27"/>
  <c r="H171" i="27"/>
  <c r="I171" i="27" s="1"/>
  <c r="F171" i="27"/>
  <c r="E171" i="27"/>
  <c r="N170" i="27"/>
  <c r="O170" i="27" s="1"/>
  <c r="K170" i="27"/>
  <c r="L170" i="27" s="1"/>
  <c r="H170" i="27"/>
  <c r="I170" i="27" s="1"/>
  <c r="F170" i="27"/>
  <c r="E170" i="27"/>
  <c r="O169" i="27"/>
  <c r="N169" i="27"/>
  <c r="K169" i="27"/>
  <c r="L169" i="27" s="1"/>
  <c r="H169" i="27"/>
  <c r="I169" i="27" s="1"/>
  <c r="F169" i="27"/>
  <c r="E169" i="27"/>
  <c r="N168" i="27"/>
  <c r="O168" i="27" s="1"/>
  <c r="L168" i="27"/>
  <c r="K168" i="27"/>
  <c r="H168" i="27"/>
  <c r="I168" i="27" s="1"/>
  <c r="F168" i="27"/>
  <c r="E168" i="27"/>
  <c r="N167" i="27"/>
  <c r="O167" i="27" s="1"/>
  <c r="L167" i="27"/>
  <c r="K167" i="27"/>
  <c r="H167" i="27"/>
  <c r="I167" i="27" s="1"/>
  <c r="F167" i="27"/>
  <c r="E167" i="27"/>
  <c r="N166" i="27"/>
  <c r="O166" i="27" s="1"/>
  <c r="K166" i="27"/>
  <c r="L166" i="27" s="1"/>
  <c r="H166" i="27"/>
  <c r="I166" i="27" s="1"/>
  <c r="F166" i="27"/>
  <c r="E166" i="27"/>
  <c r="N165" i="27"/>
  <c r="O165" i="27" s="1"/>
  <c r="K165" i="27"/>
  <c r="L165" i="27" s="1"/>
  <c r="H165" i="27"/>
  <c r="I165" i="27" s="1"/>
  <c r="F165" i="27"/>
  <c r="E165" i="27"/>
  <c r="N164" i="27"/>
  <c r="O164" i="27" s="1"/>
  <c r="L164" i="27"/>
  <c r="K164" i="27"/>
  <c r="H164" i="27"/>
  <c r="I164" i="27" s="1"/>
  <c r="F164" i="27"/>
  <c r="E164" i="27"/>
  <c r="O163" i="27"/>
  <c r="N163" i="27"/>
  <c r="L163" i="27"/>
  <c r="K163" i="27"/>
  <c r="H163" i="27"/>
  <c r="I163" i="27" s="1"/>
  <c r="F163" i="27"/>
  <c r="E163" i="27"/>
  <c r="N162" i="27"/>
  <c r="O162" i="27" s="1"/>
  <c r="K162" i="27"/>
  <c r="L162" i="27" s="1"/>
  <c r="H162" i="27"/>
  <c r="I162" i="27" s="1"/>
  <c r="F162" i="27"/>
  <c r="E162" i="27"/>
  <c r="N161" i="27"/>
  <c r="O161" i="27" s="1"/>
  <c r="L161" i="27"/>
  <c r="K161" i="27"/>
  <c r="H161" i="27"/>
  <c r="I161" i="27" s="1"/>
  <c r="F161" i="27"/>
  <c r="E161" i="27"/>
  <c r="O160" i="27"/>
  <c r="N160" i="27"/>
  <c r="L160" i="27"/>
  <c r="K160" i="27"/>
  <c r="H160" i="27"/>
  <c r="I160" i="27" s="1"/>
  <c r="F160" i="27"/>
  <c r="E160" i="27"/>
  <c r="N159" i="27"/>
  <c r="O159" i="27" s="1"/>
  <c r="L159" i="27"/>
  <c r="K159" i="27"/>
  <c r="H159" i="27"/>
  <c r="I159" i="27" s="1"/>
  <c r="F159" i="27"/>
  <c r="E159" i="27"/>
  <c r="N158" i="27"/>
  <c r="O158" i="27" s="1"/>
  <c r="K158" i="27"/>
  <c r="L158" i="27" s="1"/>
  <c r="H158" i="27"/>
  <c r="I158" i="27" s="1"/>
  <c r="F158" i="27"/>
  <c r="E158" i="27"/>
  <c r="O157" i="27"/>
  <c r="N157" i="27"/>
  <c r="K157" i="27"/>
  <c r="L157" i="27" s="1"/>
  <c r="H157" i="27"/>
  <c r="I157" i="27" s="1"/>
  <c r="F157" i="27"/>
  <c r="E157" i="27"/>
  <c r="N156" i="27"/>
  <c r="O156" i="27" s="1"/>
  <c r="L156" i="27"/>
  <c r="K156" i="27"/>
  <c r="H156" i="27"/>
  <c r="I156" i="27" s="1"/>
  <c r="F156" i="27"/>
  <c r="E156" i="27"/>
  <c r="N155" i="27"/>
  <c r="O155" i="27" s="1"/>
  <c r="L155" i="27"/>
  <c r="K155" i="27"/>
  <c r="H155" i="27"/>
  <c r="I155" i="27" s="1"/>
  <c r="F155" i="27"/>
  <c r="E155" i="27"/>
  <c r="O154" i="27"/>
  <c r="N154" i="27"/>
  <c r="K154" i="27"/>
  <c r="L154" i="27" s="1"/>
  <c r="H154" i="27"/>
  <c r="I154" i="27" s="1"/>
  <c r="F154" i="27"/>
  <c r="E154" i="27"/>
  <c r="N153" i="27"/>
  <c r="O153" i="27" s="1"/>
  <c r="K153" i="27"/>
  <c r="L153" i="27" s="1"/>
  <c r="H153" i="27"/>
  <c r="I153" i="27" s="1"/>
  <c r="F153" i="27"/>
  <c r="E153" i="27"/>
  <c r="O152" i="27"/>
  <c r="N152" i="27"/>
  <c r="L152" i="27"/>
  <c r="K152" i="27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H144" i="27"/>
  <c r="I144" i="27" s="1"/>
  <c r="F144" i="27"/>
  <c r="E144" i="27"/>
  <c r="N143" i="27"/>
  <c r="O143" i="27" s="1"/>
  <c r="K143" i="27"/>
  <c r="L143" i="27" s="1"/>
  <c r="H143" i="27"/>
  <c r="I143" i="27" s="1"/>
  <c r="F143" i="27"/>
  <c r="E143" i="27"/>
  <c r="O142" i="27"/>
  <c r="N142" i="27"/>
  <c r="K142" i="27"/>
  <c r="L142" i="27" s="1"/>
  <c r="H142" i="27"/>
  <c r="I142" i="27" s="1"/>
  <c r="F142" i="27"/>
  <c r="E142" i="27"/>
  <c r="N141" i="27"/>
  <c r="O141" i="27" s="1"/>
  <c r="L141" i="27"/>
  <c r="K141" i="27"/>
  <c r="H141" i="27"/>
  <c r="I141" i="27" s="1"/>
  <c r="F141" i="27"/>
  <c r="E141" i="27"/>
  <c r="N140" i="27"/>
  <c r="O140" i="27" s="1"/>
  <c r="L140" i="27"/>
  <c r="K140" i="27"/>
  <c r="H140" i="27"/>
  <c r="I140" i="27" s="1"/>
  <c r="F140" i="27"/>
  <c r="E140" i="27"/>
  <c r="O139" i="27"/>
  <c r="N139" i="27"/>
  <c r="K139" i="27"/>
  <c r="L139" i="27" s="1"/>
  <c r="H139" i="27"/>
  <c r="I139" i="27" s="1"/>
  <c r="F139" i="27"/>
  <c r="E139" i="27"/>
  <c r="N138" i="27"/>
  <c r="O138" i="27" s="1"/>
  <c r="K138" i="27"/>
  <c r="L138" i="27" s="1"/>
  <c r="H138" i="27"/>
  <c r="I138" i="27" s="1"/>
  <c r="F138" i="27"/>
  <c r="E138" i="27"/>
  <c r="O137" i="27"/>
  <c r="N137" i="27"/>
  <c r="L137" i="27"/>
  <c r="K137" i="27"/>
  <c r="H137" i="27"/>
  <c r="I137" i="27" s="1"/>
  <c r="F137" i="27"/>
  <c r="E137" i="27"/>
  <c r="N136" i="27"/>
  <c r="O136" i="27" s="1"/>
  <c r="L136" i="27"/>
  <c r="K136" i="27"/>
  <c r="H136" i="27"/>
  <c r="I136" i="27" s="1"/>
  <c r="F136" i="27"/>
  <c r="E136" i="27"/>
  <c r="N135" i="27"/>
  <c r="O135" i="27" s="1"/>
  <c r="K135" i="27"/>
  <c r="L135" i="27" s="1"/>
  <c r="H135" i="27"/>
  <c r="I135" i="27" s="1"/>
  <c r="F135" i="27"/>
  <c r="E135" i="27"/>
  <c r="O134" i="27"/>
  <c r="N134" i="27"/>
  <c r="K134" i="27"/>
  <c r="L134" i="27" s="1"/>
  <c r="H134" i="27"/>
  <c r="I134" i="27" s="1"/>
  <c r="F134" i="27"/>
  <c r="E134" i="27"/>
  <c r="N133" i="27"/>
  <c r="O133" i="27" s="1"/>
  <c r="K133" i="27"/>
  <c r="L133" i="27" s="1"/>
  <c r="H133" i="27"/>
  <c r="I133" i="27" s="1"/>
  <c r="F133" i="27"/>
  <c r="E133" i="27"/>
  <c r="O132" i="27"/>
  <c r="N132" i="27"/>
  <c r="L132" i="27"/>
  <c r="K132" i="27"/>
  <c r="H132" i="27"/>
  <c r="I132" i="27" s="1"/>
  <c r="F132" i="27"/>
  <c r="E132" i="27"/>
  <c r="N131" i="27"/>
  <c r="O131" i="27" s="1"/>
  <c r="K131" i="27"/>
  <c r="L131" i="27" s="1"/>
  <c r="H131" i="27"/>
  <c r="I131" i="27" s="1"/>
  <c r="F131" i="27"/>
  <c r="E131" i="27"/>
  <c r="O130" i="27"/>
  <c r="N130" i="27"/>
  <c r="K130" i="27"/>
  <c r="L130" i="27" s="1"/>
  <c r="H130" i="27"/>
  <c r="I130" i="27" s="1"/>
  <c r="F130" i="27"/>
  <c r="E130" i="27"/>
  <c r="N129" i="27"/>
  <c r="O129" i="27" s="1"/>
  <c r="K129" i="27"/>
  <c r="L129" i="27" s="1"/>
  <c r="H129" i="27"/>
  <c r="I129" i="27" s="1"/>
  <c r="F129" i="27"/>
  <c r="E129" i="27"/>
  <c r="O128" i="27"/>
  <c r="N128" i="27"/>
  <c r="L128" i="27"/>
  <c r="K128" i="27"/>
  <c r="H128" i="27"/>
  <c r="I128" i="27" s="1"/>
  <c r="F128" i="27"/>
  <c r="E128" i="27"/>
  <c r="O127" i="27"/>
  <c r="N127" i="27"/>
  <c r="K127" i="27"/>
  <c r="L127" i="27" s="1"/>
  <c r="H127" i="27"/>
  <c r="I127" i="27" s="1"/>
  <c r="F127" i="27"/>
  <c r="E127" i="27"/>
  <c r="N126" i="27"/>
  <c r="O126" i="27" s="1"/>
  <c r="K126" i="27"/>
  <c r="L126" i="27" s="1"/>
  <c r="H126" i="27"/>
  <c r="I126" i="27" s="1"/>
  <c r="F126" i="27"/>
  <c r="E126" i="27"/>
  <c r="O125" i="27"/>
  <c r="N125" i="27"/>
  <c r="K125" i="27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N116" i="27"/>
  <c r="O116" i="27" s="1"/>
  <c r="K116" i="27"/>
  <c r="L116" i="27" s="1"/>
  <c r="H116" i="27"/>
  <c r="I116" i="27" s="1"/>
  <c r="F116" i="27"/>
  <c r="E116" i="27"/>
  <c r="N115" i="27"/>
  <c r="O115" i="27" s="1"/>
  <c r="K115" i="27"/>
  <c r="L115" i="27" s="1"/>
  <c r="H115" i="27"/>
  <c r="I115" i="27" s="1"/>
  <c r="F115" i="27"/>
  <c r="E115" i="27"/>
  <c r="N114" i="27"/>
  <c r="O114" i="27" s="1"/>
  <c r="L114" i="27"/>
  <c r="K114" i="27"/>
  <c r="H114" i="27"/>
  <c r="I114" i="27" s="1"/>
  <c r="F114" i="27"/>
  <c r="E114" i="27"/>
  <c r="O113" i="27"/>
  <c r="N113" i="27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N111" i="27"/>
  <c r="O111" i="27" s="1"/>
  <c r="L111" i="27"/>
  <c r="K111" i="27"/>
  <c r="H111" i="27"/>
  <c r="I111" i="27" s="1"/>
  <c r="F111" i="27"/>
  <c r="E111" i="27"/>
  <c r="O110" i="27"/>
  <c r="N110" i="27"/>
  <c r="L110" i="27"/>
  <c r="K110" i="27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N108" i="27"/>
  <c r="O108" i="27" s="1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N106" i="27"/>
  <c r="O106" i="27" s="1"/>
  <c r="L106" i="27"/>
  <c r="K106" i="27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N103" i="27"/>
  <c r="O103" i="27" s="1"/>
  <c r="L103" i="27"/>
  <c r="K103" i="27"/>
  <c r="H103" i="27"/>
  <c r="I103" i="27" s="1"/>
  <c r="F103" i="27"/>
  <c r="E103" i="27"/>
  <c r="N102" i="27"/>
  <c r="O102" i="27" s="1"/>
  <c r="L102" i="27"/>
  <c r="K102" i="27"/>
  <c r="H102" i="27"/>
  <c r="I102" i="27" s="1"/>
  <c r="F102" i="27"/>
  <c r="E102" i="27"/>
  <c r="N101" i="27"/>
  <c r="O101" i="27" s="1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L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O90" i="27"/>
  <c r="N90" i="27"/>
  <c r="L90" i="27"/>
  <c r="K90" i="27"/>
  <c r="H90" i="27"/>
  <c r="I90" i="27" s="1"/>
  <c r="F90" i="27"/>
  <c r="E90" i="27"/>
  <c r="N89" i="27"/>
  <c r="O89" i="27" s="1"/>
  <c r="K89" i="27"/>
  <c r="L89" i="27" s="1"/>
  <c r="I89" i="27"/>
  <c r="H89" i="27"/>
  <c r="F89" i="27"/>
  <c r="E89" i="27"/>
  <c r="O88" i="27"/>
  <c r="N88" i="27"/>
  <c r="K88" i="27"/>
  <c r="L88" i="27" s="1"/>
  <c r="I88" i="27"/>
  <c r="H88" i="27"/>
  <c r="F88" i="27"/>
  <c r="E88" i="27"/>
  <c r="N87" i="27"/>
  <c r="O87" i="27" s="1"/>
  <c r="K87" i="27"/>
  <c r="L87" i="27" s="1"/>
  <c r="I87" i="27"/>
  <c r="H87" i="27"/>
  <c r="F87" i="27"/>
  <c r="E87" i="27"/>
  <c r="O86" i="27"/>
  <c r="N86" i="27"/>
  <c r="K86" i="27"/>
  <c r="L86" i="27" s="1"/>
  <c r="I86" i="27"/>
  <c r="H86" i="27"/>
  <c r="F86" i="27"/>
  <c r="E86" i="27"/>
  <c r="N85" i="27"/>
  <c r="O85" i="27" s="1"/>
  <c r="K85" i="27"/>
  <c r="L85" i="27" s="1"/>
  <c r="I85" i="27"/>
  <c r="H85" i="27"/>
  <c r="F85" i="27"/>
  <c r="E85" i="27"/>
  <c r="O84" i="27"/>
  <c r="N84" i="27"/>
  <c r="K84" i="27"/>
  <c r="L84" i="27" s="1"/>
  <c r="I84" i="27"/>
  <c r="H84" i="27"/>
  <c r="F84" i="27"/>
  <c r="E84" i="27"/>
  <c r="N83" i="27"/>
  <c r="O83" i="27" s="1"/>
  <c r="K83" i="27"/>
  <c r="L83" i="27" s="1"/>
  <c r="I83" i="27"/>
  <c r="H83" i="27"/>
  <c r="F83" i="27"/>
  <c r="E83" i="27"/>
  <c r="O82" i="27"/>
  <c r="N82" i="27"/>
  <c r="K82" i="27"/>
  <c r="L82" i="27" s="1"/>
  <c r="I82" i="27"/>
  <c r="H82" i="27"/>
  <c r="F82" i="27"/>
  <c r="E82" i="27"/>
  <c r="N81" i="27"/>
  <c r="O81" i="27" s="1"/>
  <c r="K81" i="27"/>
  <c r="L81" i="27" s="1"/>
  <c r="I81" i="27"/>
  <c r="H81" i="27"/>
  <c r="F81" i="27"/>
  <c r="E81" i="27"/>
  <c r="O80" i="27"/>
  <c r="N80" i="27"/>
  <c r="K80" i="27"/>
  <c r="L80" i="27" s="1"/>
  <c r="I80" i="27"/>
  <c r="H80" i="27"/>
  <c r="F80" i="27"/>
  <c r="E80" i="27"/>
  <c r="N79" i="27"/>
  <c r="O79" i="27" s="1"/>
  <c r="K79" i="27"/>
  <c r="L79" i="27" s="1"/>
  <c r="I79" i="27"/>
  <c r="H79" i="27"/>
  <c r="F79" i="27"/>
  <c r="E79" i="27"/>
  <c r="O78" i="27"/>
  <c r="N78" i="27"/>
  <c r="K78" i="27"/>
  <c r="L78" i="27" s="1"/>
  <c r="I78" i="27"/>
  <c r="H78" i="27"/>
  <c r="F78" i="27"/>
  <c r="E78" i="27"/>
  <c r="N77" i="27"/>
  <c r="O77" i="27" s="1"/>
  <c r="K77" i="27"/>
  <c r="L77" i="27" s="1"/>
  <c r="I77" i="27"/>
  <c r="H77" i="27"/>
  <c r="F77" i="27"/>
  <c r="E77" i="27"/>
  <c r="O76" i="27"/>
  <c r="N76" i="27"/>
  <c r="K76" i="27"/>
  <c r="L76" i="27" s="1"/>
  <c r="I76" i="27"/>
  <c r="H76" i="27"/>
  <c r="F76" i="27"/>
  <c r="E76" i="27"/>
  <c r="N75" i="27"/>
  <c r="O75" i="27" s="1"/>
  <c r="K75" i="27"/>
  <c r="L75" i="27" s="1"/>
  <c r="I75" i="27"/>
  <c r="H75" i="27"/>
  <c r="F75" i="27"/>
  <c r="E75" i="27"/>
  <c r="O74" i="27"/>
  <c r="N74" i="27"/>
  <c r="K74" i="27"/>
  <c r="L74" i="27" s="1"/>
  <c r="I74" i="27"/>
  <c r="H74" i="27"/>
  <c r="F74" i="27"/>
  <c r="E74" i="27"/>
  <c r="N73" i="27"/>
  <c r="O73" i="27" s="1"/>
  <c r="K73" i="27"/>
  <c r="L73" i="27" s="1"/>
  <c r="I73" i="27"/>
  <c r="H73" i="27"/>
  <c r="F73" i="27"/>
  <c r="E73" i="27"/>
  <c r="O72" i="27"/>
  <c r="N72" i="27"/>
  <c r="K72" i="27"/>
  <c r="L72" i="27" s="1"/>
  <c r="I72" i="27"/>
  <c r="H72" i="27"/>
  <c r="F72" i="27"/>
  <c r="E72" i="27"/>
  <c r="N71" i="27"/>
  <c r="K71" i="27"/>
  <c r="K91" i="27" s="1"/>
  <c r="I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K63" i="27"/>
  <c r="L63" i="27" s="1"/>
  <c r="I63" i="27"/>
  <c r="H63" i="27"/>
  <c r="F63" i="27"/>
  <c r="E63" i="27"/>
  <c r="N62" i="27"/>
  <c r="O62" i="27" s="1"/>
  <c r="K62" i="27"/>
  <c r="L62" i="27" s="1"/>
  <c r="I62" i="27"/>
  <c r="H62" i="27"/>
  <c r="F62" i="27"/>
  <c r="E62" i="27"/>
  <c r="O61" i="27"/>
  <c r="N61" i="27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N56" i="27"/>
  <c r="O56" i="27" s="1"/>
  <c r="K56" i="27"/>
  <c r="L56" i="27" s="1"/>
  <c r="I56" i="27"/>
  <c r="H56" i="27"/>
  <c r="F56" i="27"/>
  <c r="E56" i="27"/>
  <c r="O55" i="27"/>
  <c r="N55" i="27"/>
  <c r="K55" i="27"/>
  <c r="L55" i="27" s="1"/>
  <c r="I55" i="27"/>
  <c r="H55" i="27"/>
  <c r="F55" i="27"/>
  <c r="E55" i="27"/>
  <c r="N54" i="27"/>
  <c r="O54" i="27" s="1"/>
  <c r="K54" i="27"/>
  <c r="L54" i="27" s="1"/>
  <c r="I54" i="27"/>
  <c r="H54" i="27"/>
  <c r="F54" i="27"/>
  <c r="E54" i="27"/>
  <c r="O53" i="27"/>
  <c r="N53" i="27"/>
  <c r="K53" i="27"/>
  <c r="L53" i="27" s="1"/>
  <c r="I53" i="27"/>
  <c r="H53" i="27"/>
  <c r="F53" i="27"/>
  <c r="E53" i="27"/>
  <c r="N52" i="27"/>
  <c r="O52" i="27" s="1"/>
  <c r="K52" i="27"/>
  <c r="L52" i="27" s="1"/>
  <c r="I52" i="27"/>
  <c r="H52" i="27"/>
  <c r="F52" i="27"/>
  <c r="E52" i="27"/>
  <c r="O51" i="27"/>
  <c r="N51" i="27"/>
  <c r="K51" i="27"/>
  <c r="L51" i="27" s="1"/>
  <c r="I51" i="27"/>
  <c r="H51" i="27"/>
  <c r="F51" i="27"/>
  <c r="E51" i="27"/>
  <c r="N50" i="27"/>
  <c r="O50" i="27" s="1"/>
  <c r="K50" i="27"/>
  <c r="L50" i="27" s="1"/>
  <c r="I50" i="27"/>
  <c r="H50" i="27"/>
  <c r="F50" i="27"/>
  <c r="E50" i="27"/>
  <c r="O49" i="27"/>
  <c r="N49" i="27"/>
  <c r="K49" i="27"/>
  <c r="L49" i="27" s="1"/>
  <c r="I49" i="27"/>
  <c r="H49" i="27"/>
  <c r="F49" i="27"/>
  <c r="E49" i="27"/>
  <c r="N48" i="27"/>
  <c r="O48" i="27" s="1"/>
  <c r="K48" i="27"/>
  <c r="L48" i="27" s="1"/>
  <c r="I48" i="27"/>
  <c r="H48" i="27"/>
  <c r="F48" i="27"/>
  <c r="E48" i="27"/>
  <c r="O47" i="27"/>
  <c r="N47" i="27"/>
  <c r="K47" i="27"/>
  <c r="L47" i="27" s="1"/>
  <c r="I47" i="27"/>
  <c r="H47" i="27"/>
  <c r="F47" i="27"/>
  <c r="E47" i="27"/>
  <c r="N46" i="27"/>
  <c r="O46" i="27" s="1"/>
  <c r="K46" i="27"/>
  <c r="L46" i="27" s="1"/>
  <c r="I46" i="27"/>
  <c r="H46" i="27"/>
  <c r="F46" i="27"/>
  <c r="E46" i="27"/>
  <c r="O45" i="27"/>
  <c r="N45" i="27"/>
  <c r="K45" i="27"/>
  <c r="L45" i="27" s="1"/>
  <c r="I45" i="27"/>
  <c r="H45" i="27"/>
  <c r="F45" i="27"/>
  <c r="E45" i="27"/>
  <c r="N44" i="27"/>
  <c r="K44" i="27"/>
  <c r="K64" i="27" s="1"/>
  <c r="I44" i="27"/>
  <c r="I64" i="27" s="1"/>
  <c r="H44" i="27"/>
  <c r="H64" i="27" s="1"/>
  <c r="F44" i="27"/>
  <c r="F64" i="27" s="1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H198" i="26"/>
  <c r="I198" i="26" s="1"/>
  <c r="F198" i="26"/>
  <c r="E198" i="26"/>
  <c r="O197" i="26"/>
  <c r="N197" i="26"/>
  <c r="K197" i="26"/>
  <c r="L197" i="26" s="1"/>
  <c r="H197" i="26"/>
  <c r="I197" i="26" s="1"/>
  <c r="F197" i="26"/>
  <c r="E197" i="26"/>
  <c r="N196" i="26"/>
  <c r="O196" i="26" s="1"/>
  <c r="K196" i="26"/>
  <c r="L196" i="26" s="1"/>
  <c r="H196" i="26"/>
  <c r="I196" i="26" s="1"/>
  <c r="F196" i="26"/>
  <c r="E196" i="26"/>
  <c r="O195" i="26"/>
  <c r="N195" i="26"/>
  <c r="L195" i="26"/>
  <c r="K195" i="26"/>
  <c r="H195" i="26"/>
  <c r="I195" i="26" s="1"/>
  <c r="F195" i="26"/>
  <c r="E195" i="26"/>
  <c r="N194" i="26"/>
  <c r="O194" i="26" s="1"/>
  <c r="L194" i="26"/>
  <c r="K194" i="26"/>
  <c r="H194" i="26"/>
  <c r="I194" i="26" s="1"/>
  <c r="F194" i="26"/>
  <c r="E194" i="26"/>
  <c r="N193" i="26"/>
  <c r="O193" i="26" s="1"/>
  <c r="K193" i="26"/>
  <c r="L193" i="26" s="1"/>
  <c r="H193" i="26"/>
  <c r="I193" i="26" s="1"/>
  <c r="F193" i="26"/>
  <c r="E193" i="26"/>
  <c r="O192" i="26"/>
  <c r="N192" i="26"/>
  <c r="K192" i="26"/>
  <c r="L192" i="26" s="1"/>
  <c r="H192" i="26"/>
  <c r="I192" i="26" s="1"/>
  <c r="F192" i="26"/>
  <c r="E192" i="26"/>
  <c r="N191" i="26"/>
  <c r="O191" i="26" s="1"/>
  <c r="L191" i="26"/>
  <c r="K191" i="26"/>
  <c r="H191" i="26"/>
  <c r="I191" i="26" s="1"/>
  <c r="F191" i="26"/>
  <c r="E191" i="26"/>
  <c r="N190" i="26"/>
  <c r="O190" i="26" s="1"/>
  <c r="L190" i="26"/>
  <c r="K190" i="26"/>
  <c r="H190" i="26"/>
  <c r="I190" i="26" s="1"/>
  <c r="F190" i="26"/>
  <c r="E190" i="26"/>
  <c r="O189" i="26"/>
  <c r="N189" i="26"/>
  <c r="K189" i="26"/>
  <c r="L189" i="26" s="1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O187" i="26"/>
  <c r="N187" i="26"/>
  <c r="L187" i="26"/>
  <c r="K187" i="26"/>
  <c r="H187" i="26"/>
  <c r="I187" i="26" s="1"/>
  <c r="F187" i="26"/>
  <c r="E187" i="26"/>
  <c r="N186" i="26"/>
  <c r="O186" i="26" s="1"/>
  <c r="L186" i="26"/>
  <c r="K186" i="26"/>
  <c r="H186" i="26"/>
  <c r="I186" i="26" s="1"/>
  <c r="F186" i="26"/>
  <c r="E186" i="26"/>
  <c r="N185" i="26"/>
  <c r="O185" i="26" s="1"/>
  <c r="K185" i="26"/>
  <c r="L185" i="26" s="1"/>
  <c r="H185" i="26"/>
  <c r="I185" i="26" s="1"/>
  <c r="F185" i="26"/>
  <c r="E185" i="26"/>
  <c r="O184" i="26"/>
  <c r="N184" i="26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N182" i="26"/>
  <c r="O182" i="26" s="1"/>
  <c r="L182" i="26"/>
  <c r="K182" i="26"/>
  <c r="H182" i="26"/>
  <c r="I182" i="26" s="1"/>
  <c r="F182" i="26"/>
  <c r="E182" i="26"/>
  <c r="O181" i="26"/>
  <c r="N181" i="26"/>
  <c r="K181" i="26"/>
  <c r="L181" i="26" s="1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O179" i="26"/>
  <c r="N179" i="26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N171" i="26"/>
  <c r="O171" i="26" s="1"/>
  <c r="L171" i="26"/>
  <c r="K171" i="26"/>
  <c r="H171" i="26"/>
  <c r="I171" i="26" s="1"/>
  <c r="F171" i="26"/>
  <c r="E171" i="26"/>
  <c r="O170" i="26"/>
  <c r="N170" i="26"/>
  <c r="K170" i="26"/>
  <c r="L170" i="26" s="1"/>
  <c r="H170" i="26"/>
  <c r="I170" i="26" s="1"/>
  <c r="F170" i="26"/>
  <c r="E170" i="26"/>
  <c r="O169" i="26"/>
  <c r="N169" i="26"/>
  <c r="K169" i="26"/>
  <c r="L169" i="26" s="1"/>
  <c r="H169" i="26"/>
  <c r="I169" i="26" s="1"/>
  <c r="F169" i="26"/>
  <c r="E169" i="26"/>
  <c r="O168" i="26"/>
  <c r="N168" i="26"/>
  <c r="K168" i="26"/>
  <c r="L168" i="26" s="1"/>
  <c r="H168" i="26"/>
  <c r="I168" i="26" s="1"/>
  <c r="F168" i="26"/>
  <c r="E168" i="26"/>
  <c r="O167" i="26"/>
  <c r="N167" i="26"/>
  <c r="L167" i="26"/>
  <c r="K167" i="26"/>
  <c r="H167" i="26"/>
  <c r="I167" i="26" s="1"/>
  <c r="F167" i="26"/>
  <c r="E167" i="26"/>
  <c r="N166" i="26"/>
  <c r="O166" i="26" s="1"/>
  <c r="K166" i="26"/>
  <c r="L166" i="26" s="1"/>
  <c r="H166" i="26"/>
  <c r="I166" i="26" s="1"/>
  <c r="F166" i="26"/>
  <c r="E166" i="26"/>
  <c r="N165" i="26"/>
  <c r="O165" i="26" s="1"/>
  <c r="K165" i="26"/>
  <c r="L165" i="26" s="1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L163" i="26"/>
  <c r="K163" i="26"/>
  <c r="H163" i="26"/>
  <c r="I163" i="26" s="1"/>
  <c r="F163" i="26"/>
  <c r="E163" i="26"/>
  <c r="O162" i="26"/>
  <c r="N162" i="26"/>
  <c r="K162" i="26"/>
  <c r="L162" i="26" s="1"/>
  <c r="H162" i="26"/>
  <c r="I162" i="26" s="1"/>
  <c r="F162" i="26"/>
  <c r="E162" i="26"/>
  <c r="O161" i="26"/>
  <c r="N161" i="26"/>
  <c r="K161" i="26"/>
  <c r="L161" i="26" s="1"/>
  <c r="H161" i="26"/>
  <c r="I161" i="26" s="1"/>
  <c r="F161" i="26"/>
  <c r="E161" i="26"/>
  <c r="O160" i="26"/>
  <c r="N160" i="26"/>
  <c r="K160" i="26"/>
  <c r="L160" i="26" s="1"/>
  <c r="H160" i="26"/>
  <c r="I160" i="26" s="1"/>
  <c r="F160" i="26"/>
  <c r="E160" i="26"/>
  <c r="O159" i="26"/>
  <c r="N159" i="26"/>
  <c r="L159" i="26"/>
  <c r="K159" i="26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N157" i="26"/>
  <c r="O157" i="26" s="1"/>
  <c r="K157" i="26"/>
  <c r="L157" i="26" s="1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L155" i="26"/>
  <c r="K155" i="26"/>
  <c r="H155" i="26"/>
  <c r="I155" i="26" s="1"/>
  <c r="F155" i="26"/>
  <c r="E155" i="26"/>
  <c r="O154" i="26"/>
  <c r="N154" i="26"/>
  <c r="K154" i="26"/>
  <c r="L154" i="26" s="1"/>
  <c r="H154" i="26"/>
  <c r="I154" i="26" s="1"/>
  <c r="F154" i="26"/>
  <c r="E154" i="26"/>
  <c r="O153" i="26"/>
  <c r="N153" i="26"/>
  <c r="K153" i="26"/>
  <c r="L153" i="26" s="1"/>
  <c r="H153" i="26"/>
  <c r="I153" i="26" s="1"/>
  <c r="F153" i="26"/>
  <c r="E153" i="26"/>
  <c r="O152" i="26"/>
  <c r="N152" i="26"/>
  <c r="K152" i="26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H144" i="26"/>
  <c r="I144" i="26" s="1"/>
  <c r="F144" i="26"/>
  <c r="E144" i="26"/>
  <c r="N143" i="26"/>
  <c r="O143" i="26" s="1"/>
  <c r="K143" i="26"/>
  <c r="L143" i="26" s="1"/>
  <c r="H143" i="26"/>
  <c r="I143" i="26" s="1"/>
  <c r="F143" i="26"/>
  <c r="E143" i="26"/>
  <c r="N142" i="26"/>
  <c r="O142" i="26" s="1"/>
  <c r="K142" i="26"/>
  <c r="L142" i="26" s="1"/>
  <c r="H142" i="26"/>
  <c r="I142" i="26" s="1"/>
  <c r="F142" i="26"/>
  <c r="E142" i="26"/>
  <c r="N141" i="26"/>
  <c r="O141" i="26" s="1"/>
  <c r="L141" i="26"/>
  <c r="K141" i="26"/>
  <c r="H141" i="26"/>
  <c r="I141" i="26" s="1"/>
  <c r="F141" i="26"/>
  <c r="E141" i="26"/>
  <c r="O140" i="26"/>
  <c r="N140" i="26"/>
  <c r="L140" i="26"/>
  <c r="K140" i="26"/>
  <c r="H140" i="26"/>
  <c r="I140" i="26" s="1"/>
  <c r="F140" i="26"/>
  <c r="E140" i="26"/>
  <c r="N139" i="26"/>
  <c r="O139" i="26" s="1"/>
  <c r="K139" i="26"/>
  <c r="L139" i="26" s="1"/>
  <c r="H139" i="26"/>
  <c r="I139" i="26" s="1"/>
  <c r="F139" i="26"/>
  <c r="E139" i="26"/>
  <c r="N138" i="26"/>
  <c r="O138" i="26" s="1"/>
  <c r="K138" i="26"/>
  <c r="L138" i="26" s="1"/>
  <c r="H138" i="26"/>
  <c r="I138" i="26" s="1"/>
  <c r="F138" i="26"/>
  <c r="E138" i="26"/>
  <c r="N137" i="26"/>
  <c r="O137" i="26" s="1"/>
  <c r="L137" i="26"/>
  <c r="K137" i="26"/>
  <c r="H137" i="26"/>
  <c r="I137" i="26" s="1"/>
  <c r="F137" i="26"/>
  <c r="E137" i="26"/>
  <c r="O136" i="26"/>
  <c r="N136" i="26"/>
  <c r="L136" i="26"/>
  <c r="K136" i="26"/>
  <c r="H136" i="26"/>
  <c r="I136" i="26" s="1"/>
  <c r="F136" i="26"/>
  <c r="E136" i="26"/>
  <c r="N135" i="26"/>
  <c r="O135" i="26" s="1"/>
  <c r="K135" i="26"/>
  <c r="L135" i="26" s="1"/>
  <c r="H135" i="26"/>
  <c r="I135" i="26" s="1"/>
  <c r="F135" i="26"/>
  <c r="E135" i="26"/>
  <c r="N134" i="26"/>
  <c r="O134" i="26" s="1"/>
  <c r="K134" i="26"/>
  <c r="L134" i="26" s="1"/>
  <c r="H134" i="26"/>
  <c r="I134" i="26" s="1"/>
  <c r="F134" i="26"/>
  <c r="E134" i="26"/>
  <c r="N133" i="26"/>
  <c r="O133" i="26" s="1"/>
  <c r="K133" i="26"/>
  <c r="L133" i="26" s="1"/>
  <c r="H133" i="26"/>
  <c r="I133" i="26" s="1"/>
  <c r="F133" i="26"/>
  <c r="E133" i="26"/>
  <c r="N132" i="26"/>
  <c r="O132" i="26" s="1"/>
  <c r="L132" i="26"/>
  <c r="K132" i="26"/>
  <c r="H132" i="26"/>
  <c r="I132" i="26" s="1"/>
  <c r="F132" i="26"/>
  <c r="E132" i="26"/>
  <c r="O131" i="26"/>
  <c r="N131" i="26"/>
  <c r="K131" i="26"/>
  <c r="L131" i="26" s="1"/>
  <c r="H131" i="26"/>
  <c r="I131" i="26" s="1"/>
  <c r="F131" i="26"/>
  <c r="E131" i="26"/>
  <c r="N130" i="26"/>
  <c r="O130" i="26" s="1"/>
  <c r="K130" i="26"/>
  <c r="L130" i="26" s="1"/>
  <c r="H130" i="26"/>
  <c r="I130" i="26" s="1"/>
  <c r="F130" i="26"/>
  <c r="E130" i="26"/>
  <c r="O129" i="26"/>
  <c r="N129" i="26"/>
  <c r="K129" i="26"/>
  <c r="L129" i="26" s="1"/>
  <c r="H129" i="26"/>
  <c r="I129" i="26" s="1"/>
  <c r="F129" i="26"/>
  <c r="E129" i="26"/>
  <c r="N128" i="26"/>
  <c r="O128" i="26" s="1"/>
  <c r="L128" i="26"/>
  <c r="K128" i="26"/>
  <c r="H128" i="26"/>
  <c r="I128" i="26" s="1"/>
  <c r="F128" i="26"/>
  <c r="E128" i="26"/>
  <c r="N127" i="26"/>
  <c r="O127" i="26" s="1"/>
  <c r="K127" i="26"/>
  <c r="L127" i="26" s="1"/>
  <c r="H127" i="26"/>
  <c r="I127" i="26" s="1"/>
  <c r="F127" i="26"/>
  <c r="E127" i="26"/>
  <c r="N126" i="26"/>
  <c r="O126" i="26" s="1"/>
  <c r="K126" i="26"/>
  <c r="L126" i="26" s="1"/>
  <c r="H126" i="26"/>
  <c r="I126" i="26" s="1"/>
  <c r="F126" i="26"/>
  <c r="E126" i="26"/>
  <c r="N125" i="26"/>
  <c r="K125" i="26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N117" i="26"/>
  <c r="O117" i="26" s="1"/>
  <c r="L117" i="26"/>
  <c r="K117" i="26"/>
  <c r="H117" i="26"/>
  <c r="I117" i="26" s="1"/>
  <c r="F117" i="26"/>
  <c r="E117" i="26"/>
  <c r="N116" i="26"/>
  <c r="O116" i="26" s="1"/>
  <c r="K116" i="26"/>
  <c r="L116" i="26" s="1"/>
  <c r="H116" i="26"/>
  <c r="I116" i="26" s="1"/>
  <c r="F116" i="26"/>
  <c r="E116" i="26"/>
  <c r="O115" i="26"/>
  <c r="N115" i="26"/>
  <c r="K115" i="26"/>
  <c r="L115" i="26" s="1"/>
  <c r="H115" i="26"/>
  <c r="I115" i="26" s="1"/>
  <c r="F115" i="26"/>
  <c r="E115" i="26"/>
  <c r="N114" i="26"/>
  <c r="O114" i="26" s="1"/>
  <c r="L114" i="26"/>
  <c r="K114" i="26"/>
  <c r="H114" i="26"/>
  <c r="I114" i="26" s="1"/>
  <c r="F114" i="26"/>
  <c r="E114" i="26"/>
  <c r="N113" i="26"/>
  <c r="O113" i="26" s="1"/>
  <c r="L113" i="26"/>
  <c r="K113" i="26"/>
  <c r="H113" i="26"/>
  <c r="I113" i="26" s="1"/>
  <c r="F113" i="26"/>
  <c r="E113" i="26"/>
  <c r="O112" i="26"/>
  <c r="N112" i="26"/>
  <c r="K112" i="26"/>
  <c r="L112" i="26" s="1"/>
  <c r="H112" i="26"/>
  <c r="I112" i="26" s="1"/>
  <c r="F112" i="26"/>
  <c r="E112" i="26"/>
  <c r="N111" i="26"/>
  <c r="O111" i="26" s="1"/>
  <c r="K111" i="26"/>
  <c r="L111" i="26" s="1"/>
  <c r="H111" i="26"/>
  <c r="I111" i="26" s="1"/>
  <c r="F111" i="26"/>
  <c r="E111" i="26"/>
  <c r="O110" i="26"/>
  <c r="N110" i="26"/>
  <c r="L110" i="26"/>
  <c r="K110" i="26"/>
  <c r="H110" i="26"/>
  <c r="I110" i="26" s="1"/>
  <c r="F110" i="26"/>
  <c r="E110" i="26"/>
  <c r="N109" i="26"/>
  <c r="O109" i="26" s="1"/>
  <c r="L109" i="26"/>
  <c r="K109" i="26"/>
  <c r="H109" i="26"/>
  <c r="I109" i="26" s="1"/>
  <c r="F109" i="26"/>
  <c r="E109" i="26"/>
  <c r="N108" i="26"/>
  <c r="O108" i="26" s="1"/>
  <c r="K108" i="26"/>
  <c r="L108" i="26" s="1"/>
  <c r="H108" i="26"/>
  <c r="I108" i="26" s="1"/>
  <c r="F108" i="26"/>
  <c r="E108" i="26"/>
  <c r="O107" i="26"/>
  <c r="N107" i="26"/>
  <c r="K107" i="26"/>
  <c r="L107" i="26" s="1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O105" i="26"/>
  <c r="N105" i="26"/>
  <c r="L105" i="26"/>
  <c r="K105" i="26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O103" i="26"/>
  <c r="N103" i="26"/>
  <c r="K103" i="26"/>
  <c r="L103" i="26" s="1"/>
  <c r="H103" i="26"/>
  <c r="I103" i="26" s="1"/>
  <c r="F103" i="26"/>
  <c r="E103" i="26"/>
  <c r="N102" i="26"/>
  <c r="O102" i="26" s="1"/>
  <c r="L102" i="26"/>
  <c r="K102" i="26"/>
  <c r="H102" i="26"/>
  <c r="I102" i="26" s="1"/>
  <c r="F102" i="26"/>
  <c r="E102" i="26"/>
  <c r="N101" i="26"/>
  <c r="O101" i="26" s="1"/>
  <c r="L101" i="26"/>
  <c r="K101" i="26"/>
  <c r="H101" i="26"/>
  <c r="I101" i="26" s="1"/>
  <c r="F101" i="26"/>
  <c r="E101" i="26"/>
  <c r="N100" i="26"/>
  <c r="O100" i="26" s="1"/>
  <c r="K100" i="26"/>
  <c r="L100" i="26" s="1"/>
  <c r="H100" i="26"/>
  <c r="I100" i="26" s="1"/>
  <c r="F100" i="26"/>
  <c r="E100" i="26"/>
  <c r="N99" i="26"/>
  <c r="O99" i="26" s="1"/>
  <c r="K99" i="26"/>
  <c r="L99" i="26" s="1"/>
  <c r="H99" i="26"/>
  <c r="I99" i="26" s="1"/>
  <c r="F99" i="26"/>
  <c r="E99" i="26"/>
  <c r="N98" i="26"/>
  <c r="K98" i="26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L90" i="26"/>
  <c r="K90" i="26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O88" i="26"/>
  <c r="N88" i="26"/>
  <c r="K88" i="26"/>
  <c r="L88" i="26" s="1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L86" i="26"/>
  <c r="K86" i="26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N84" i="26"/>
  <c r="O84" i="26" s="1"/>
  <c r="K84" i="26"/>
  <c r="L84" i="26" s="1"/>
  <c r="H84" i="26"/>
  <c r="I84" i="26" s="1"/>
  <c r="F84" i="26"/>
  <c r="E84" i="26"/>
  <c r="N83" i="26"/>
  <c r="O83" i="26" s="1"/>
  <c r="L83" i="26"/>
  <c r="K83" i="26"/>
  <c r="H83" i="26"/>
  <c r="I83" i="26" s="1"/>
  <c r="F83" i="26"/>
  <c r="E83" i="26"/>
  <c r="N82" i="26"/>
  <c r="O82" i="26" s="1"/>
  <c r="L82" i="26"/>
  <c r="K82" i="26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K80" i="26"/>
  <c r="L80" i="26" s="1"/>
  <c r="H80" i="26"/>
  <c r="I80" i="26" s="1"/>
  <c r="F80" i="26"/>
  <c r="E80" i="26"/>
  <c r="N79" i="26"/>
  <c r="O79" i="26" s="1"/>
  <c r="L79" i="26"/>
  <c r="K79" i="26"/>
  <c r="H79" i="26"/>
  <c r="I79" i="26" s="1"/>
  <c r="F79" i="26"/>
  <c r="E79" i="26"/>
  <c r="O78" i="26"/>
  <c r="N78" i="26"/>
  <c r="L78" i="26"/>
  <c r="K78" i="26"/>
  <c r="H78" i="26"/>
  <c r="I78" i="26" s="1"/>
  <c r="F78" i="26"/>
  <c r="E78" i="26"/>
  <c r="N77" i="26"/>
  <c r="O77" i="26" s="1"/>
  <c r="K77" i="26"/>
  <c r="L77" i="26" s="1"/>
  <c r="H77" i="26"/>
  <c r="I77" i="26" s="1"/>
  <c r="F77" i="26"/>
  <c r="E77" i="26"/>
  <c r="N76" i="26"/>
  <c r="O76" i="26" s="1"/>
  <c r="K76" i="26"/>
  <c r="L76" i="26" s="1"/>
  <c r="H76" i="26"/>
  <c r="I76" i="26" s="1"/>
  <c r="F76" i="26"/>
  <c r="E76" i="26"/>
  <c r="N75" i="26"/>
  <c r="O75" i="26" s="1"/>
  <c r="L75" i="26"/>
  <c r="K75" i="26"/>
  <c r="H75" i="26"/>
  <c r="I75" i="26" s="1"/>
  <c r="F75" i="26"/>
  <c r="E75" i="26"/>
  <c r="N74" i="26"/>
  <c r="O74" i="26" s="1"/>
  <c r="L74" i="26"/>
  <c r="K74" i="26"/>
  <c r="H74" i="26"/>
  <c r="I74" i="26" s="1"/>
  <c r="F74" i="26"/>
  <c r="E74" i="26"/>
  <c r="N73" i="26"/>
  <c r="O73" i="26" s="1"/>
  <c r="K73" i="26"/>
  <c r="L73" i="26" s="1"/>
  <c r="H73" i="26"/>
  <c r="I73" i="26" s="1"/>
  <c r="F73" i="26"/>
  <c r="E73" i="26"/>
  <c r="N72" i="26"/>
  <c r="O72" i="26" s="1"/>
  <c r="K72" i="26"/>
  <c r="L72" i="26" s="1"/>
  <c r="H72" i="26"/>
  <c r="I72" i="26" s="1"/>
  <c r="F72" i="26"/>
  <c r="E72" i="26"/>
  <c r="N71" i="26"/>
  <c r="K71" i="26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L63" i="26"/>
  <c r="K63" i="26"/>
  <c r="H63" i="26"/>
  <c r="I63" i="26" s="1"/>
  <c r="F63" i="26"/>
  <c r="E63" i="26"/>
  <c r="N62" i="26"/>
  <c r="O62" i="26" s="1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N60" i="26"/>
  <c r="O60" i="26" s="1"/>
  <c r="L60" i="26"/>
  <c r="K60" i="26"/>
  <c r="H60" i="26"/>
  <c r="I60" i="26" s="1"/>
  <c r="F60" i="26"/>
  <c r="E60" i="26"/>
  <c r="N59" i="26"/>
  <c r="O59" i="26" s="1"/>
  <c r="L59" i="26"/>
  <c r="K59" i="26"/>
  <c r="H59" i="26"/>
  <c r="I59" i="26" s="1"/>
  <c r="F59" i="26"/>
  <c r="E59" i="26"/>
  <c r="O58" i="26"/>
  <c r="N58" i="26"/>
  <c r="K58" i="26"/>
  <c r="L58" i="26" s="1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O56" i="26"/>
  <c r="N56" i="26"/>
  <c r="K56" i="26"/>
  <c r="L56" i="26" s="1"/>
  <c r="H56" i="26"/>
  <c r="I56" i="26" s="1"/>
  <c r="F56" i="26"/>
  <c r="E56" i="26"/>
  <c r="N55" i="26"/>
  <c r="O55" i="26" s="1"/>
  <c r="L55" i="26"/>
  <c r="K55" i="26"/>
  <c r="H55" i="26"/>
  <c r="I55" i="26" s="1"/>
  <c r="F55" i="26"/>
  <c r="E55" i="26"/>
  <c r="N54" i="26"/>
  <c r="O54" i="26" s="1"/>
  <c r="K54" i="26"/>
  <c r="L54" i="26" s="1"/>
  <c r="H54" i="26"/>
  <c r="I54" i="26" s="1"/>
  <c r="F54" i="26"/>
  <c r="E54" i="26"/>
  <c r="N53" i="26"/>
  <c r="O53" i="26" s="1"/>
  <c r="K53" i="26"/>
  <c r="L53" i="26" s="1"/>
  <c r="H53" i="26"/>
  <c r="I53" i="26" s="1"/>
  <c r="F53" i="26"/>
  <c r="E53" i="26"/>
  <c r="N52" i="26"/>
  <c r="O52" i="26" s="1"/>
  <c r="L52" i="26"/>
  <c r="K52" i="26"/>
  <c r="H52" i="26"/>
  <c r="I52" i="26" s="1"/>
  <c r="F52" i="26"/>
  <c r="E52" i="26"/>
  <c r="O51" i="26"/>
  <c r="N51" i="26"/>
  <c r="L51" i="26"/>
  <c r="K51" i="26"/>
  <c r="H51" i="26"/>
  <c r="I51" i="26" s="1"/>
  <c r="F51" i="26"/>
  <c r="E51" i="26"/>
  <c r="N50" i="26"/>
  <c r="O50" i="26" s="1"/>
  <c r="K50" i="26"/>
  <c r="L50" i="26" s="1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L48" i="26"/>
  <c r="K48" i="26"/>
  <c r="H48" i="26"/>
  <c r="I48" i="26" s="1"/>
  <c r="F48" i="26"/>
  <c r="E48" i="26"/>
  <c r="N47" i="26"/>
  <c r="O47" i="26" s="1"/>
  <c r="L47" i="26"/>
  <c r="K47" i="26"/>
  <c r="H47" i="26"/>
  <c r="I47" i="26" s="1"/>
  <c r="F47" i="26"/>
  <c r="E47" i="26"/>
  <c r="N46" i="26"/>
  <c r="O46" i="26" s="1"/>
  <c r="K46" i="26"/>
  <c r="L46" i="26" s="1"/>
  <c r="H46" i="26"/>
  <c r="I46" i="26" s="1"/>
  <c r="F46" i="26"/>
  <c r="E46" i="26"/>
  <c r="N45" i="26"/>
  <c r="O45" i="26" s="1"/>
  <c r="K45" i="26"/>
  <c r="L45" i="26" s="1"/>
  <c r="H45" i="26"/>
  <c r="I45" i="26" s="1"/>
  <c r="F45" i="26"/>
  <c r="E45" i="26"/>
  <c r="N44" i="26"/>
  <c r="L44" i="26"/>
  <c r="K44" i="26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O197" i="25"/>
  <c r="N197" i="25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O195" i="25"/>
  <c r="N195" i="25"/>
  <c r="K195" i="25"/>
  <c r="L195" i="25" s="1"/>
  <c r="H195" i="25"/>
  <c r="I195" i="25" s="1"/>
  <c r="F195" i="25"/>
  <c r="E195" i="25"/>
  <c r="O194" i="25"/>
  <c r="N194" i="25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K191" i="25"/>
  <c r="L191" i="25" s="1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K187" i="25"/>
  <c r="L187" i="25" s="1"/>
  <c r="H187" i="25"/>
  <c r="I187" i="25" s="1"/>
  <c r="F187" i="25"/>
  <c r="E187" i="25"/>
  <c r="O186" i="25"/>
  <c r="N186" i="25"/>
  <c r="L186" i="25"/>
  <c r="K186" i="25"/>
  <c r="H186" i="25"/>
  <c r="I186" i="25" s="1"/>
  <c r="F186" i="25"/>
  <c r="E186" i="25"/>
  <c r="N185" i="25"/>
  <c r="O185" i="25" s="1"/>
  <c r="K185" i="25"/>
  <c r="L185" i="25" s="1"/>
  <c r="H185" i="25"/>
  <c r="I185" i="25" s="1"/>
  <c r="F185" i="25"/>
  <c r="E185" i="25"/>
  <c r="O184" i="25"/>
  <c r="N184" i="25"/>
  <c r="K184" i="25"/>
  <c r="L184" i="25" s="1"/>
  <c r="H184" i="25"/>
  <c r="I184" i="25" s="1"/>
  <c r="F184" i="25"/>
  <c r="E184" i="25"/>
  <c r="N183" i="25"/>
  <c r="O183" i="25" s="1"/>
  <c r="K183" i="25"/>
  <c r="L183" i="25" s="1"/>
  <c r="H183" i="25"/>
  <c r="I183" i="25" s="1"/>
  <c r="F183" i="25"/>
  <c r="E183" i="25"/>
  <c r="O182" i="25"/>
  <c r="N182" i="25"/>
  <c r="L182" i="25"/>
  <c r="K182" i="25"/>
  <c r="H182" i="25"/>
  <c r="I182" i="25" s="1"/>
  <c r="F182" i="25"/>
  <c r="E182" i="25"/>
  <c r="O181" i="25"/>
  <c r="N181" i="25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O179" i="25"/>
  <c r="N179" i="25"/>
  <c r="K179" i="25"/>
  <c r="H179" i="25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N144" i="25"/>
  <c r="O144" i="25" s="1"/>
  <c r="K144" i="25"/>
  <c r="L144" i="25" s="1"/>
  <c r="H144" i="25"/>
  <c r="I144" i="25" s="1"/>
  <c r="F144" i="25"/>
  <c r="E144" i="25"/>
  <c r="O143" i="25"/>
  <c r="N143" i="25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O141" i="25"/>
  <c r="N141" i="25"/>
  <c r="L141" i="25"/>
  <c r="K141" i="25"/>
  <c r="H141" i="25"/>
  <c r="I141" i="25" s="1"/>
  <c r="F141" i="25"/>
  <c r="E141" i="25"/>
  <c r="N140" i="25"/>
  <c r="O140" i="25" s="1"/>
  <c r="K140" i="25"/>
  <c r="L140" i="25" s="1"/>
  <c r="H140" i="25"/>
  <c r="I140" i="25" s="1"/>
  <c r="F140" i="25"/>
  <c r="E140" i="25"/>
  <c r="N139" i="25"/>
  <c r="O139" i="25" s="1"/>
  <c r="L139" i="25"/>
  <c r="K139" i="25"/>
  <c r="H139" i="25"/>
  <c r="I139" i="25" s="1"/>
  <c r="F139" i="25"/>
  <c r="E139" i="25"/>
  <c r="O138" i="25"/>
  <c r="N138" i="25"/>
  <c r="K138" i="25"/>
  <c r="L138" i="25" s="1"/>
  <c r="H138" i="25"/>
  <c r="I138" i="25" s="1"/>
  <c r="F138" i="25"/>
  <c r="E138" i="25"/>
  <c r="N137" i="25"/>
  <c r="O137" i="25" s="1"/>
  <c r="L137" i="25"/>
  <c r="K137" i="25"/>
  <c r="H137" i="25"/>
  <c r="I137" i="25" s="1"/>
  <c r="F137" i="25"/>
  <c r="E137" i="25"/>
  <c r="N136" i="25"/>
  <c r="O136" i="25" s="1"/>
  <c r="K136" i="25"/>
  <c r="L136" i="25" s="1"/>
  <c r="H136" i="25"/>
  <c r="I136" i="25" s="1"/>
  <c r="F136" i="25"/>
  <c r="E136" i="25"/>
  <c r="N135" i="25"/>
  <c r="O135" i="25" s="1"/>
  <c r="L135" i="25"/>
  <c r="K135" i="25"/>
  <c r="H135" i="25"/>
  <c r="I135" i="25" s="1"/>
  <c r="F135" i="25"/>
  <c r="E135" i="25"/>
  <c r="N134" i="25"/>
  <c r="O134" i="25" s="1"/>
  <c r="K134" i="25"/>
  <c r="L134" i="25" s="1"/>
  <c r="H134" i="25"/>
  <c r="I134" i="25" s="1"/>
  <c r="F134" i="25"/>
  <c r="E134" i="25"/>
  <c r="O133" i="25"/>
  <c r="N133" i="25"/>
  <c r="L133" i="25"/>
  <c r="K133" i="25"/>
  <c r="H133" i="25"/>
  <c r="I133" i="25" s="1"/>
  <c r="F133" i="25"/>
  <c r="E133" i="25"/>
  <c r="N132" i="25"/>
  <c r="O132" i="25" s="1"/>
  <c r="K132" i="25"/>
  <c r="L132" i="25" s="1"/>
  <c r="H132" i="25"/>
  <c r="I132" i="25" s="1"/>
  <c r="F132" i="25"/>
  <c r="E132" i="25"/>
  <c r="N131" i="25"/>
  <c r="O131" i="25" s="1"/>
  <c r="L131" i="25"/>
  <c r="K131" i="25"/>
  <c r="H131" i="25"/>
  <c r="I131" i="25" s="1"/>
  <c r="F131" i="25"/>
  <c r="E131" i="25"/>
  <c r="O130" i="25"/>
  <c r="N130" i="25"/>
  <c r="K130" i="25"/>
  <c r="L130" i="25" s="1"/>
  <c r="H130" i="25"/>
  <c r="I130" i="25" s="1"/>
  <c r="F130" i="25"/>
  <c r="E130" i="25"/>
  <c r="N129" i="25"/>
  <c r="O129" i="25" s="1"/>
  <c r="L129" i="25"/>
  <c r="K129" i="25"/>
  <c r="H129" i="25"/>
  <c r="I129" i="25" s="1"/>
  <c r="F129" i="25"/>
  <c r="E129" i="25"/>
  <c r="N128" i="25"/>
  <c r="O128" i="25" s="1"/>
  <c r="K128" i="25"/>
  <c r="L128" i="25" s="1"/>
  <c r="H128" i="25"/>
  <c r="I128" i="25" s="1"/>
  <c r="F128" i="25"/>
  <c r="E128" i="25"/>
  <c r="N127" i="25"/>
  <c r="O127" i="25" s="1"/>
  <c r="L127" i="25"/>
  <c r="K127" i="25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L125" i="25"/>
  <c r="K125" i="25"/>
  <c r="K145" i="25" s="1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O115" i="25"/>
  <c r="N115" i="25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O110" i="25"/>
  <c r="N110" i="25"/>
  <c r="K110" i="25"/>
  <c r="L110" i="25" s="1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N107" i="25"/>
  <c r="O107" i="25" s="1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N104" i="25"/>
  <c r="O104" i="25" s="1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N102" i="25"/>
  <c r="O102" i="25" s="1"/>
  <c r="K102" i="25"/>
  <c r="L102" i="25" s="1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O100" i="25"/>
  <c r="N100" i="25"/>
  <c r="K100" i="25"/>
  <c r="L100" i="25" s="1"/>
  <c r="H100" i="25"/>
  <c r="I100" i="25" s="1"/>
  <c r="F100" i="25"/>
  <c r="E100" i="25"/>
  <c r="N99" i="25"/>
  <c r="O99" i="25" s="1"/>
  <c r="K99" i="25"/>
  <c r="L99" i="25" s="1"/>
  <c r="H99" i="25"/>
  <c r="I99" i="25" s="1"/>
  <c r="F99" i="25"/>
  <c r="E99" i="25"/>
  <c r="O98" i="25"/>
  <c r="N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L90" i="25"/>
  <c r="K90" i="25"/>
  <c r="H90" i="25"/>
  <c r="I90" i="25" s="1"/>
  <c r="F90" i="25"/>
  <c r="E90" i="25"/>
  <c r="O89" i="25"/>
  <c r="N89" i="25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L87" i="25"/>
  <c r="K87" i="25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N85" i="25"/>
  <c r="O85" i="25" s="1"/>
  <c r="K85" i="25"/>
  <c r="L85" i="25" s="1"/>
  <c r="H85" i="25"/>
  <c r="I85" i="25" s="1"/>
  <c r="F85" i="25"/>
  <c r="E85" i="25"/>
  <c r="O84" i="25"/>
  <c r="N84" i="25"/>
  <c r="K84" i="25"/>
  <c r="L84" i="25" s="1"/>
  <c r="H84" i="25"/>
  <c r="I84" i="25" s="1"/>
  <c r="F84" i="25"/>
  <c r="E84" i="25"/>
  <c r="N83" i="25"/>
  <c r="O83" i="25" s="1"/>
  <c r="L83" i="25"/>
  <c r="K83" i="25"/>
  <c r="H83" i="25"/>
  <c r="I83" i="25" s="1"/>
  <c r="F83" i="25"/>
  <c r="E83" i="25"/>
  <c r="N82" i="25"/>
  <c r="O82" i="25" s="1"/>
  <c r="L82" i="25"/>
  <c r="K82" i="25"/>
  <c r="H82" i="25"/>
  <c r="I82" i="25" s="1"/>
  <c r="F82" i="25"/>
  <c r="E82" i="25"/>
  <c r="O81" i="25"/>
  <c r="N81" i="25"/>
  <c r="K81" i="25"/>
  <c r="L81" i="25" s="1"/>
  <c r="H81" i="25"/>
  <c r="I81" i="25" s="1"/>
  <c r="F81" i="25"/>
  <c r="E81" i="25"/>
  <c r="N80" i="25"/>
  <c r="O80" i="25" s="1"/>
  <c r="K80" i="25"/>
  <c r="L80" i="25" s="1"/>
  <c r="H80" i="25"/>
  <c r="I80" i="25" s="1"/>
  <c r="F80" i="25"/>
  <c r="E80" i="25"/>
  <c r="O79" i="25"/>
  <c r="N79" i="25"/>
  <c r="K79" i="25"/>
  <c r="L79" i="25" s="1"/>
  <c r="H79" i="25"/>
  <c r="I79" i="25" s="1"/>
  <c r="F79" i="25"/>
  <c r="E79" i="25"/>
  <c r="N78" i="25"/>
  <c r="O78" i="25" s="1"/>
  <c r="L78" i="25"/>
  <c r="K78" i="25"/>
  <c r="H78" i="25"/>
  <c r="I78" i="25" s="1"/>
  <c r="F78" i="25"/>
  <c r="E78" i="25"/>
  <c r="N77" i="25"/>
  <c r="O77" i="25" s="1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L75" i="25"/>
  <c r="K75" i="25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F63" i="25"/>
  <c r="E63" i="25"/>
  <c r="N62" i="25"/>
  <c r="O62" i="25" s="1"/>
  <c r="K62" i="25"/>
  <c r="L62" i="25" s="1"/>
  <c r="H62" i="25"/>
  <c r="I62" i="25" s="1"/>
  <c r="F62" i="25"/>
  <c r="E62" i="25"/>
  <c r="N61" i="25"/>
  <c r="O61" i="25" s="1"/>
  <c r="K61" i="25"/>
  <c r="L61" i="25" s="1"/>
  <c r="H61" i="25"/>
  <c r="I61" i="25" s="1"/>
  <c r="F61" i="25"/>
  <c r="E61" i="25"/>
  <c r="N60" i="25"/>
  <c r="O60" i="25" s="1"/>
  <c r="K60" i="25"/>
  <c r="L60" i="25" s="1"/>
  <c r="H60" i="25"/>
  <c r="I60" i="25" s="1"/>
  <c r="F60" i="25"/>
  <c r="E60" i="25"/>
  <c r="N59" i="25"/>
  <c r="O59" i="25" s="1"/>
  <c r="L59" i="25"/>
  <c r="K59" i="25"/>
  <c r="H59" i="25"/>
  <c r="I59" i="25" s="1"/>
  <c r="F59" i="25"/>
  <c r="E59" i="25"/>
  <c r="N58" i="25"/>
  <c r="O58" i="25" s="1"/>
  <c r="K58" i="25"/>
  <c r="L58" i="25" s="1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N56" i="25"/>
  <c r="O56" i="25" s="1"/>
  <c r="L56" i="25"/>
  <c r="K56" i="25"/>
  <c r="H56" i="25"/>
  <c r="I56" i="25" s="1"/>
  <c r="F56" i="25"/>
  <c r="E56" i="25"/>
  <c r="N55" i="25"/>
  <c r="O55" i="25" s="1"/>
  <c r="L55" i="25"/>
  <c r="K55" i="25"/>
  <c r="H55" i="25"/>
  <c r="I55" i="25" s="1"/>
  <c r="F55" i="25"/>
  <c r="E55" i="25"/>
  <c r="O54" i="25"/>
  <c r="N54" i="25"/>
  <c r="K54" i="25"/>
  <c r="L54" i="25" s="1"/>
  <c r="H54" i="25"/>
  <c r="I54" i="25" s="1"/>
  <c r="F54" i="25"/>
  <c r="E54" i="25"/>
  <c r="N53" i="25"/>
  <c r="O53" i="25" s="1"/>
  <c r="K53" i="25"/>
  <c r="L53" i="25" s="1"/>
  <c r="H53" i="25"/>
  <c r="I53" i="25" s="1"/>
  <c r="F53" i="25"/>
  <c r="E53" i="25"/>
  <c r="O52" i="25"/>
  <c r="N52" i="25"/>
  <c r="L52" i="25"/>
  <c r="K52" i="25"/>
  <c r="H52" i="25"/>
  <c r="I52" i="25" s="1"/>
  <c r="F52" i="25"/>
  <c r="E52" i="25"/>
  <c r="N51" i="25"/>
  <c r="O51" i="25" s="1"/>
  <c r="L51" i="25"/>
  <c r="K51" i="25"/>
  <c r="H51" i="25"/>
  <c r="I51" i="25" s="1"/>
  <c r="F51" i="25"/>
  <c r="E51" i="25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L48" i="25"/>
  <c r="K48" i="25"/>
  <c r="H48" i="25"/>
  <c r="I48" i="25" s="1"/>
  <c r="F48" i="25"/>
  <c r="E48" i="25"/>
  <c r="N47" i="25"/>
  <c r="O47" i="25" s="1"/>
  <c r="L47" i="25"/>
  <c r="K47" i="25"/>
  <c r="H47" i="25"/>
  <c r="I47" i="25" s="1"/>
  <c r="F47" i="25"/>
  <c r="E47" i="25"/>
  <c r="O46" i="25"/>
  <c r="N46" i="25"/>
  <c r="K46" i="25"/>
  <c r="L46" i="25" s="1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L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O184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N167" i="24"/>
  <c r="O167" i="24" s="1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O165" i="24"/>
  <c r="N165" i="24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F164" i="24"/>
  <c r="E164" i="24"/>
  <c r="O163" i="24"/>
  <c r="N163" i="24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K161" i="24"/>
  <c r="L161" i="24" s="1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O158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K153" i="24"/>
  <c r="L153" i="24" s="1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E144" i="24"/>
  <c r="F144" i="24" s="1"/>
  <c r="N143" i="24"/>
  <c r="O143" i="24" s="1"/>
  <c r="K143" i="24"/>
  <c r="L143" i="24" s="1"/>
  <c r="H143" i="24"/>
  <c r="I143" i="24" s="1"/>
  <c r="E143" i="24"/>
  <c r="F143" i="24" s="1"/>
  <c r="O142" i="24"/>
  <c r="N142" i="24"/>
  <c r="K142" i="24"/>
  <c r="L142" i="24" s="1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L140" i="24"/>
  <c r="K140" i="24"/>
  <c r="I140" i="24"/>
  <c r="H140" i="24"/>
  <c r="E140" i="24"/>
  <c r="F140" i="24" s="1"/>
  <c r="N139" i="24"/>
  <c r="O139" i="24" s="1"/>
  <c r="K139" i="24"/>
  <c r="L139" i="24" s="1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O137" i="24"/>
  <c r="N137" i="24"/>
  <c r="K137" i="24"/>
  <c r="L137" i="24" s="1"/>
  <c r="H137" i="24"/>
  <c r="I137" i="24" s="1"/>
  <c r="E137" i="24"/>
  <c r="F137" i="24" s="1"/>
  <c r="N136" i="24"/>
  <c r="O136" i="24" s="1"/>
  <c r="K136" i="24"/>
  <c r="L136" i="24" s="1"/>
  <c r="I136" i="24"/>
  <c r="H136" i="24"/>
  <c r="E136" i="24"/>
  <c r="F136" i="24" s="1"/>
  <c r="N135" i="24"/>
  <c r="O135" i="24" s="1"/>
  <c r="L135" i="24"/>
  <c r="K135" i="24"/>
  <c r="H135" i="24"/>
  <c r="I135" i="24" s="1"/>
  <c r="E135" i="24"/>
  <c r="F135" i="24" s="1"/>
  <c r="N134" i="24"/>
  <c r="O134" i="24" s="1"/>
  <c r="L134" i="24"/>
  <c r="K134" i="24"/>
  <c r="H134" i="24"/>
  <c r="I134" i="24" s="1"/>
  <c r="E134" i="24"/>
  <c r="F134" i="24" s="1"/>
  <c r="N133" i="24"/>
  <c r="O133" i="24" s="1"/>
  <c r="L133" i="24"/>
  <c r="K133" i="24"/>
  <c r="H133" i="24"/>
  <c r="I133" i="24" s="1"/>
  <c r="E133" i="24"/>
  <c r="F133" i="24" s="1"/>
  <c r="N132" i="24"/>
  <c r="O132" i="24" s="1"/>
  <c r="L132" i="24"/>
  <c r="K132" i="24"/>
  <c r="I132" i="24"/>
  <c r="H132" i="24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K130" i="24"/>
  <c r="L130" i="24" s="1"/>
  <c r="H130" i="24"/>
  <c r="I130" i="24" s="1"/>
  <c r="E130" i="24"/>
  <c r="F130" i="24" s="1"/>
  <c r="N129" i="24"/>
  <c r="O129" i="24" s="1"/>
  <c r="K129" i="24"/>
  <c r="L129" i="24" s="1"/>
  <c r="H129" i="24"/>
  <c r="I129" i="24" s="1"/>
  <c r="E129" i="24"/>
  <c r="F129" i="24" s="1"/>
  <c r="N128" i="24"/>
  <c r="O128" i="24" s="1"/>
  <c r="K128" i="24"/>
  <c r="L128" i="24" s="1"/>
  <c r="I128" i="24"/>
  <c r="H128" i="24"/>
  <c r="E128" i="24"/>
  <c r="F128" i="24" s="1"/>
  <c r="N127" i="24"/>
  <c r="O127" i="24" s="1"/>
  <c r="L127" i="24"/>
  <c r="K127" i="24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O125" i="24" s="1"/>
  <c r="K125" i="24"/>
  <c r="K145" i="24" s="1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E117" i="24"/>
  <c r="F117" i="24" s="1"/>
  <c r="N116" i="24"/>
  <c r="O116" i="24" s="1"/>
  <c r="K116" i="24"/>
  <c r="L116" i="24" s="1"/>
  <c r="H116" i="24"/>
  <c r="I116" i="24" s="1"/>
  <c r="E116" i="24"/>
  <c r="F116" i="24" s="1"/>
  <c r="O115" i="24"/>
  <c r="N115" i="24"/>
  <c r="L115" i="24"/>
  <c r="K115" i="24"/>
  <c r="H115" i="24"/>
  <c r="I115" i="24" s="1"/>
  <c r="E115" i="24"/>
  <c r="F115" i="24" s="1"/>
  <c r="O114" i="24"/>
  <c r="N114" i="24"/>
  <c r="K114" i="24"/>
  <c r="L114" i="24" s="1"/>
  <c r="I114" i="24"/>
  <c r="H114" i="24"/>
  <c r="E114" i="24"/>
  <c r="F114" i="24" s="1"/>
  <c r="O113" i="24"/>
  <c r="N113" i="24"/>
  <c r="K113" i="24"/>
  <c r="L113" i="24" s="1"/>
  <c r="I113" i="24"/>
  <c r="H113" i="24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O110" i="24"/>
  <c r="N110" i="24"/>
  <c r="K110" i="24"/>
  <c r="L110" i="24" s="1"/>
  <c r="I110" i="24"/>
  <c r="H110" i="24"/>
  <c r="E110" i="24"/>
  <c r="F110" i="24" s="1"/>
  <c r="O109" i="24"/>
  <c r="N109" i="24"/>
  <c r="L109" i="24"/>
  <c r="K109" i="24"/>
  <c r="I109" i="24"/>
  <c r="H109" i="24"/>
  <c r="E109" i="24"/>
  <c r="F109" i="24" s="1"/>
  <c r="N108" i="24"/>
  <c r="O108" i="24" s="1"/>
  <c r="K108" i="24"/>
  <c r="L108" i="24" s="1"/>
  <c r="H108" i="24"/>
  <c r="I108" i="24" s="1"/>
  <c r="E108" i="24"/>
  <c r="F108" i="24" s="1"/>
  <c r="O107" i="24"/>
  <c r="N107" i="24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I105" i="24"/>
  <c r="H105" i="24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O102" i="24"/>
  <c r="N102" i="24"/>
  <c r="K102" i="24"/>
  <c r="L102" i="24" s="1"/>
  <c r="I102" i="24"/>
  <c r="H102" i="24"/>
  <c r="E102" i="24"/>
  <c r="F102" i="24" s="1"/>
  <c r="O101" i="24"/>
  <c r="N101" i="24"/>
  <c r="L101" i="24"/>
  <c r="K101" i="24"/>
  <c r="I101" i="24"/>
  <c r="H101" i="24"/>
  <c r="E101" i="24"/>
  <c r="F101" i="24" s="1"/>
  <c r="N100" i="24"/>
  <c r="O100" i="24" s="1"/>
  <c r="K100" i="24"/>
  <c r="L100" i="24" s="1"/>
  <c r="H100" i="24"/>
  <c r="I100" i="24" s="1"/>
  <c r="E100" i="24"/>
  <c r="F100" i="24" s="1"/>
  <c r="O99" i="24"/>
  <c r="N99" i="24"/>
  <c r="L99" i="24"/>
  <c r="K99" i="24"/>
  <c r="H99" i="24"/>
  <c r="I99" i="24" s="1"/>
  <c r="E99" i="24"/>
  <c r="F99" i="24" s="1"/>
  <c r="O98" i="24"/>
  <c r="N98" i="24"/>
  <c r="K98" i="24"/>
  <c r="K118" i="24" s="1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I90" i="24"/>
  <c r="H90" i="24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H87" i="24"/>
  <c r="I87" i="24" s="1"/>
  <c r="E87" i="24"/>
  <c r="F87" i="24" s="1"/>
  <c r="N86" i="24"/>
  <c r="O86" i="24" s="1"/>
  <c r="K86" i="24"/>
  <c r="L86" i="24" s="1"/>
  <c r="I86" i="24"/>
  <c r="H86" i="24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O83" i="24"/>
  <c r="N83" i="24"/>
  <c r="K83" i="24"/>
  <c r="L83" i="24" s="1"/>
  <c r="I83" i="24"/>
  <c r="H83" i="24"/>
  <c r="E83" i="24"/>
  <c r="F83" i="24" s="1"/>
  <c r="N82" i="24"/>
  <c r="O82" i="24" s="1"/>
  <c r="K82" i="24"/>
  <c r="L82" i="24" s="1"/>
  <c r="I82" i="24"/>
  <c r="H82" i="24"/>
  <c r="E82" i="24"/>
  <c r="F82" i="24" s="1"/>
  <c r="O81" i="24"/>
  <c r="N81" i="24"/>
  <c r="L81" i="24"/>
  <c r="K81" i="24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L79" i="24"/>
  <c r="K79" i="24"/>
  <c r="H79" i="24"/>
  <c r="I79" i="24" s="1"/>
  <c r="E79" i="24"/>
  <c r="F79" i="24" s="1"/>
  <c r="N78" i="24"/>
  <c r="O78" i="24" s="1"/>
  <c r="K78" i="24"/>
  <c r="L78" i="24" s="1"/>
  <c r="I78" i="24"/>
  <c r="H78" i="24"/>
  <c r="E78" i="24"/>
  <c r="F78" i="24" s="1"/>
  <c r="N77" i="24"/>
  <c r="O77" i="24" s="1"/>
  <c r="K77" i="24"/>
  <c r="L77" i="24" s="1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K75" i="24"/>
  <c r="L75" i="24" s="1"/>
  <c r="H75" i="24"/>
  <c r="I75" i="24" s="1"/>
  <c r="E75" i="24"/>
  <c r="F75" i="24" s="1"/>
  <c r="N74" i="24"/>
  <c r="O74" i="24" s="1"/>
  <c r="K74" i="24"/>
  <c r="L74" i="24" s="1"/>
  <c r="I74" i="24"/>
  <c r="H74" i="24"/>
  <c r="E74" i="24"/>
  <c r="F74" i="24" s="1"/>
  <c r="O73" i="24"/>
  <c r="N73" i="24"/>
  <c r="K73" i="24"/>
  <c r="L73" i="24" s="1"/>
  <c r="H73" i="24"/>
  <c r="I73" i="24" s="1"/>
  <c r="E73" i="24"/>
  <c r="F73" i="24" s="1"/>
  <c r="N72" i="24"/>
  <c r="O72" i="24" s="1"/>
  <c r="L72" i="24"/>
  <c r="K72" i="24"/>
  <c r="H72" i="24"/>
  <c r="I72" i="24" s="1"/>
  <c r="E72" i="24"/>
  <c r="F72" i="24" s="1"/>
  <c r="N71" i="24"/>
  <c r="N91" i="24" s="1"/>
  <c r="K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O59" i="24"/>
  <c r="N59" i="24"/>
  <c r="L59" i="24"/>
  <c r="K59" i="24"/>
  <c r="I59" i="24"/>
  <c r="H59" i="24"/>
  <c r="E59" i="24"/>
  <c r="F59" i="24" s="1"/>
  <c r="N58" i="24"/>
  <c r="O58" i="24" s="1"/>
  <c r="L58" i="24"/>
  <c r="K58" i="24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N56" i="24"/>
  <c r="O56" i="24" s="1"/>
  <c r="L56" i="24"/>
  <c r="K56" i="24"/>
  <c r="H56" i="24"/>
  <c r="I56" i="24" s="1"/>
  <c r="E56" i="24"/>
  <c r="F56" i="24" s="1"/>
  <c r="N55" i="24"/>
  <c r="O55" i="24" s="1"/>
  <c r="L55" i="24"/>
  <c r="K55" i="24"/>
  <c r="I55" i="24"/>
  <c r="H55" i="24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H52" i="24"/>
  <c r="I52" i="24" s="1"/>
  <c r="E52" i="24"/>
  <c r="F52" i="24" s="1"/>
  <c r="N51" i="24"/>
  <c r="O51" i="24" s="1"/>
  <c r="K51" i="24"/>
  <c r="L51" i="24" s="1"/>
  <c r="I51" i="24"/>
  <c r="H51" i="24"/>
  <c r="E51" i="24"/>
  <c r="F51" i="24" s="1"/>
  <c r="N50" i="24"/>
  <c r="O50" i="24" s="1"/>
  <c r="L50" i="24"/>
  <c r="K50" i="24"/>
  <c r="H50" i="24"/>
  <c r="I50" i="24" s="1"/>
  <c r="E50" i="24"/>
  <c r="F50" i="24" s="1"/>
  <c r="N49" i="24"/>
  <c r="O49" i="24" s="1"/>
  <c r="L49" i="24"/>
  <c r="K49" i="24"/>
  <c r="H49" i="24"/>
  <c r="I49" i="24" s="1"/>
  <c r="E49" i="24"/>
  <c r="F49" i="24" s="1"/>
  <c r="N48" i="24"/>
  <c r="O48" i="24" s="1"/>
  <c r="L48" i="24"/>
  <c r="K48" i="24"/>
  <c r="H48" i="24"/>
  <c r="I48" i="24" s="1"/>
  <c r="E48" i="24"/>
  <c r="F48" i="24" s="1"/>
  <c r="N47" i="24"/>
  <c r="O47" i="24" s="1"/>
  <c r="L47" i="24"/>
  <c r="K47" i="24"/>
  <c r="I47" i="24"/>
  <c r="H47" i="24"/>
  <c r="E47" i="24"/>
  <c r="F47" i="24" s="1"/>
  <c r="O46" i="24"/>
  <c r="N46" i="24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K44" i="24"/>
  <c r="K64" i="24" s="1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B250" i="9"/>
  <c r="B251" i="9"/>
  <c r="B252" i="9"/>
  <c r="B253" i="9"/>
  <c r="B254" i="9"/>
  <c r="B255" i="9"/>
  <c r="B256" i="9"/>
  <c r="B257" i="9"/>
  <c r="B258" i="9"/>
  <c r="B259" i="9"/>
  <c r="B260" i="9"/>
  <c r="B261" i="9"/>
  <c r="B262" i="9"/>
  <c r="B263" i="9"/>
  <c r="B264" i="9"/>
  <c r="B265" i="9"/>
  <c r="B266" i="9"/>
  <c r="B267" i="9"/>
  <c r="B268" i="9"/>
  <c r="B269" i="9"/>
  <c r="B270" i="9"/>
  <c r="B271" i="9"/>
  <c r="B272" i="9"/>
  <c r="B273" i="9"/>
  <c r="B274" i="9"/>
  <c r="B275" i="9"/>
  <c r="B276" i="9"/>
  <c r="B277" i="9"/>
  <c r="B278" i="9"/>
  <c r="B279" i="9"/>
  <c r="B280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A19" i="9"/>
  <c r="A247" i="9"/>
  <c r="A209" i="9"/>
  <c r="A171" i="9"/>
  <c r="A133" i="9"/>
  <c r="A95" i="9"/>
  <c r="A57" i="9"/>
  <c r="F125" i="29" l="1"/>
  <c r="F145" i="29" s="1"/>
  <c r="F98" i="29"/>
  <c r="F118" i="29" s="1"/>
  <c r="G3" i="29" s="1"/>
  <c r="F71" i="29"/>
  <c r="F91" i="29" s="1"/>
  <c r="G7" i="29" s="1"/>
  <c r="F44" i="29"/>
  <c r="F64" i="29" s="1"/>
  <c r="N199" i="28"/>
  <c r="O199" i="28"/>
  <c r="N172" i="28"/>
  <c r="O152" i="28"/>
  <c r="O172" i="28" s="1"/>
  <c r="N145" i="28"/>
  <c r="O125" i="28"/>
  <c r="O145" i="28" s="1"/>
  <c r="N118" i="28"/>
  <c r="O98" i="28"/>
  <c r="O118" i="28" s="1"/>
  <c r="N91" i="28"/>
  <c r="O71" i="28"/>
  <c r="O91" i="28" s="1"/>
  <c r="O44" i="28"/>
  <c r="O64" i="28" s="1"/>
  <c r="K37" i="29"/>
  <c r="O37" i="29"/>
  <c r="I37" i="29"/>
  <c r="H37" i="29"/>
  <c r="L37" i="29"/>
  <c r="F37" i="29"/>
  <c r="N37" i="29"/>
  <c r="E37" i="29"/>
  <c r="G5" i="29"/>
  <c r="G9" i="29"/>
  <c r="K199" i="28"/>
  <c r="L179" i="28"/>
  <c r="L199" i="28" s="1"/>
  <c r="K172" i="28"/>
  <c r="L152" i="28"/>
  <c r="L172" i="28" s="1"/>
  <c r="K145" i="28"/>
  <c r="L145" i="28"/>
  <c r="K118" i="28"/>
  <c r="L98" i="28"/>
  <c r="L118" i="28" s="1"/>
  <c r="K91" i="28"/>
  <c r="L71" i="28"/>
  <c r="L91" i="28" s="1"/>
  <c r="G7" i="28" s="1"/>
  <c r="L64" i="28"/>
  <c r="I179" i="28"/>
  <c r="I199" i="28" s="1"/>
  <c r="I152" i="28"/>
  <c r="I172" i="28" s="1"/>
  <c r="I125" i="28"/>
  <c r="I145" i="28" s="1"/>
  <c r="I98" i="28"/>
  <c r="I118" i="28" s="1"/>
  <c r="I71" i="28"/>
  <c r="I91" i="28" s="1"/>
  <c r="I64" i="28"/>
  <c r="G5" i="28" s="1"/>
  <c r="N199" i="27"/>
  <c r="O199" i="27"/>
  <c r="G9" i="27" s="1"/>
  <c r="O172" i="27"/>
  <c r="N172" i="27"/>
  <c r="O145" i="27"/>
  <c r="N145" i="27"/>
  <c r="N118" i="27"/>
  <c r="O98" i="27"/>
  <c r="O118" i="27" s="1"/>
  <c r="N91" i="27"/>
  <c r="G7" i="27" s="1"/>
  <c r="O71" i="27"/>
  <c r="O91" i="27" s="1"/>
  <c r="N64" i="27"/>
  <c r="O44" i="27"/>
  <c r="O64" i="27" s="1"/>
  <c r="G9" i="28"/>
  <c r="E37" i="28"/>
  <c r="I37" i="28"/>
  <c r="H37" i="28"/>
  <c r="L37" i="28"/>
  <c r="F37" i="28"/>
  <c r="N37" i="28"/>
  <c r="K37" i="28"/>
  <c r="O37" i="28"/>
  <c r="G3" i="28"/>
  <c r="K199" i="27"/>
  <c r="L179" i="27"/>
  <c r="L199" i="27" s="1"/>
  <c r="K172" i="27"/>
  <c r="L172" i="27"/>
  <c r="K145" i="27"/>
  <c r="L125" i="27"/>
  <c r="L145" i="27" s="1"/>
  <c r="K118" i="27"/>
  <c r="L118" i="27"/>
  <c r="L71" i="27"/>
  <c r="L91" i="27" s="1"/>
  <c r="L44" i="27"/>
  <c r="L64" i="27" s="1"/>
  <c r="I179" i="27"/>
  <c r="I199" i="27" s="1"/>
  <c r="I152" i="27"/>
  <c r="I172" i="27" s="1"/>
  <c r="I125" i="27"/>
  <c r="I145" i="27" s="1"/>
  <c r="I98" i="27"/>
  <c r="I118" i="27" s="1"/>
  <c r="I91" i="27"/>
  <c r="F199" i="27"/>
  <c r="O199" i="26"/>
  <c r="N199" i="26"/>
  <c r="N172" i="26"/>
  <c r="O172" i="26"/>
  <c r="N145" i="26"/>
  <c r="O125" i="26"/>
  <c r="O145" i="26" s="1"/>
  <c r="N118" i="26"/>
  <c r="O98" i="26"/>
  <c r="O118" i="26" s="1"/>
  <c r="N91" i="26"/>
  <c r="O71" i="26"/>
  <c r="O91" i="26" s="1"/>
  <c r="G7" i="26" s="1"/>
  <c r="N64" i="26"/>
  <c r="O44" i="26"/>
  <c r="O64" i="26" s="1"/>
  <c r="E37" i="27"/>
  <c r="I37" i="27"/>
  <c r="H37" i="27"/>
  <c r="L37" i="27"/>
  <c r="K37" i="27"/>
  <c r="O37" i="27"/>
  <c r="N37" i="27"/>
  <c r="F37" i="27"/>
  <c r="G3" i="27"/>
  <c r="G5" i="27"/>
  <c r="K199" i="26"/>
  <c r="L199" i="26"/>
  <c r="K172" i="26"/>
  <c r="L152" i="26"/>
  <c r="L172" i="26" s="1"/>
  <c r="K145" i="26"/>
  <c r="L125" i="26"/>
  <c r="L145" i="26" s="1"/>
  <c r="K118" i="26"/>
  <c r="L98" i="26"/>
  <c r="L118" i="26" s="1"/>
  <c r="K91" i="26"/>
  <c r="L71" i="26"/>
  <c r="L91" i="26" s="1"/>
  <c r="K64" i="26"/>
  <c r="L64" i="26"/>
  <c r="I179" i="26"/>
  <c r="I199" i="26" s="1"/>
  <c r="I152" i="26"/>
  <c r="I172" i="26" s="1"/>
  <c r="I125" i="26"/>
  <c r="I145" i="26" s="1"/>
  <c r="I98" i="26"/>
  <c r="I118" i="26" s="1"/>
  <c r="I71" i="26"/>
  <c r="I91" i="26" s="1"/>
  <c r="I44" i="26"/>
  <c r="I64" i="26" s="1"/>
  <c r="O199" i="25"/>
  <c r="N199" i="25"/>
  <c r="O152" i="25"/>
  <c r="O172" i="25" s="1"/>
  <c r="O145" i="25"/>
  <c r="N145" i="25"/>
  <c r="O118" i="25"/>
  <c r="N118" i="25"/>
  <c r="O91" i="25"/>
  <c r="N91" i="25"/>
  <c r="O64" i="25"/>
  <c r="N64" i="25"/>
  <c r="F37" i="26"/>
  <c r="N37" i="26"/>
  <c r="K37" i="26"/>
  <c r="O37" i="26"/>
  <c r="L37" i="26"/>
  <c r="E37" i="26"/>
  <c r="I37" i="26"/>
  <c r="H37" i="26"/>
  <c r="G5" i="26"/>
  <c r="G3" i="26"/>
  <c r="G9" i="26"/>
  <c r="K199" i="25"/>
  <c r="L179" i="25"/>
  <c r="L199" i="25" s="1"/>
  <c r="G9" i="25" s="1"/>
  <c r="L145" i="25"/>
  <c r="K118" i="25"/>
  <c r="G3" i="25" s="1"/>
  <c r="L98" i="25"/>
  <c r="L118" i="25" s="1"/>
  <c r="K91" i="25"/>
  <c r="L71" i="25"/>
  <c r="L91" i="25" s="1"/>
  <c r="K64" i="25"/>
  <c r="L64" i="25"/>
  <c r="K37" i="25"/>
  <c r="H199" i="25"/>
  <c r="I179" i="25"/>
  <c r="I199" i="25" s="1"/>
  <c r="I125" i="25"/>
  <c r="I145" i="25" s="1"/>
  <c r="I98" i="25"/>
  <c r="I118" i="25" s="1"/>
  <c r="I71" i="25"/>
  <c r="I91" i="25" s="1"/>
  <c r="I44" i="25"/>
  <c r="I64" i="25" s="1"/>
  <c r="O37" i="25"/>
  <c r="O199" i="24"/>
  <c r="N199" i="24"/>
  <c r="N172" i="24"/>
  <c r="O152" i="24"/>
  <c r="O172" i="24" s="1"/>
  <c r="O145" i="24"/>
  <c r="N145" i="24"/>
  <c r="O118" i="24"/>
  <c r="N118" i="24"/>
  <c r="O71" i="24"/>
  <c r="O91" i="24" s="1"/>
  <c r="N64" i="24"/>
  <c r="O44" i="24"/>
  <c r="O64" i="24" s="1"/>
  <c r="L37" i="25"/>
  <c r="H37" i="25"/>
  <c r="E37" i="25"/>
  <c r="I37" i="25"/>
  <c r="F37" i="25"/>
  <c r="N37" i="25"/>
  <c r="G5" i="25"/>
  <c r="G7" i="25"/>
  <c r="K199" i="24"/>
  <c r="L179" i="24"/>
  <c r="L199" i="24" s="1"/>
  <c r="K172" i="24"/>
  <c r="L152" i="24"/>
  <c r="L172" i="24" s="1"/>
  <c r="L125" i="24"/>
  <c r="L145" i="24" s="1"/>
  <c r="L98" i="24"/>
  <c r="L118" i="24" s="1"/>
  <c r="K91" i="24"/>
  <c r="L71" i="24"/>
  <c r="L91" i="24" s="1"/>
  <c r="L44" i="24"/>
  <c r="L64" i="24" s="1"/>
  <c r="I179" i="24"/>
  <c r="I199" i="24" s="1"/>
  <c r="I152" i="24"/>
  <c r="I172" i="24" s="1"/>
  <c r="H145" i="24"/>
  <c r="I125" i="24"/>
  <c r="I145" i="24" s="1"/>
  <c r="H118" i="24"/>
  <c r="I118" i="24"/>
  <c r="H91" i="24"/>
  <c r="I71" i="24"/>
  <c r="I91" i="24" s="1"/>
  <c r="H64" i="24"/>
  <c r="I44" i="24"/>
  <c r="I64" i="24" s="1"/>
  <c r="F125" i="24"/>
  <c r="F145" i="24" s="1"/>
  <c r="F98" i="24"/>
  <c r="F118" i="24" s="1"/>
  <c r="F71" i="24"/>
  <c r="F91" i="24" s="1"/>
  <c r="F44" i="24"/>
  <c r="F64" i="24" s="1"/>
  <c r="K37" i="24"/>
  <c r="O37" i="24"/>
  <c r="E37" i="24"/>
  <c r="F37" i="24"/>
  <c r="N37" i="24"/>
  <c r="I37" i="24"/>
  <c r="L37" i="24"/>
  <c r="H37" i="24"/>
  <c r="G9" i="24"/>
  <c r="G7" i="24"/>
  <c r="G3" i="24"/>
  <c r="A1" i="9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N199" i="23" s="1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M177" i="23"/>
  <c r="J177" i="23"/>
  <c r="G177" i="23"/>
  <c r="D177" i="23"/>
  <c r="B177" i="23"/>
  <c r="M176" i="23"/>
  <c r="G176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K172" i="23" s="1"/>
  <c r="I152" i="23"/>
  <c r="I172" i="23" s="1"/>
  <c r="H152" i="23"/>
  <c r="H172" i="23" s="1"/>
  <c r="F152" i="23"/>
  <c r="F172" i="23" s="1"/>
  <c r="E152" i="23"/>
  <c r="E172" i="23" s="1"/>
  <c r="M150" i="23"/>
  <c r="J150" i="23"/>
  <c r="G150" i="23"/>
  <c r="D150" i="23"/>
  <c r="B150" i="23"/>
  <c r="M149" i="23"/>
  <c r="G149" i="23"/>
  <c r="N145" i="23"/>
  <c r="K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H145" i="23" s="1"/>
  <c r="F125" i="23"/>
  <c r="F145" i="23" s="1"/>
  <c r="E125" i="23"/>
  <c r="E145" i="23" s="1"/>
  <c r="M123" i="23"/>
  <c r="J123" i="23"/>
  <c r="G123" i="23"/>
  <c r="D123" i="23"/>
  <c r="B123" i="23"/>
  <c r="M122" i="23"/>
  <c r="G122" i="23"/>
  <c r="N118" i="23"/>
  <c r="K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H118" i="23" s="1"/>
  <c r="F98" i="23"/>
  <c r="F118" i="23" s="1"/>
  <c r="E98" i="23"/>
  <c r="E118" i="23" s="1"/>
  <c r="M96" i="23"/>
  <c r="J96" i="23"/>
  <c r="G96" i="23"/>
  <c r="D96" i="23"/>
  <c r="B96" i="23"/>
  <c r="M95" i="23"/>
  <c r="G95" i="23"/>
  <c r="N91" i="23"/>
  <c r="K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L71" i="23"/>
  <c r="L91" i="23" s="1"/>
  <c r="K71" i="23"/>
  <c r="I71" i="23"/>
  <c r="I91" i="23" s="1"/>
  <c r="H71" i="23"/>
  <c r="H91" i="23" s="1"/>
  <c r="F71" i="23"/>
  <c r="F91" i="23" s="1"/>
  <c r="E71" i="23"/>
  <c r="E91" i="23" s="1"/>
  <c r="M69" i="23"/>
  <c r="J69" i="23"/>
  <c r="G69" i="23"/>
  <c r="D69" i="23"/>
  <c r="B69" i="23"/>
  <c r="M68" i="23"/>
  <c r="G68" i="23"/>
  <c r="K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E64" i="23" s="1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K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I179" i="6"/>
  <c r="I199" i="6" s="1"/>
  <c r="H179" i="6"/>
  <c r="H199" i="6" s="1"/>
  <c r="F179" i="6"/>
  <c r="F199" i="6" s="1"/>
  <c r="E179" i="6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H64" i="6" s="1"/>
  <c r="I44" i="6"/>
  <c r="I64" i="6" s="1"/>
  <c r="K44" i="6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9" l="1"/>
  <c r="G11" i="28"/>
  <c r="G11" i="27"/>
  <c r="G11" i="26"/>
  <c r="G5" i="24"/>
  <c r="G11" i="25"/>
  <c r="G11" i="24"/>
  <c r="O172" i="6"/>
  <c r="G7" i="23"/>
  <c r="L91" i="6"/>
  <c r="K64" i="6"/>
  <c r="E64" i="6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F256" i="9"/>
  <c r="K271" i="9"/>
  <c r="L109" i="9"/>
  <c r="L187" i="9"/>
  <c r="O38" i="3"/>
  <c r="L144" i="9"/>
  <c r="N149" i="9"/>
  <c r="I36" i="9"/>
  <c r="F149" i="9"/>
  <c r="K57" i="3"/>
  <c r="C121" i="9"/>
  <c r="L142" i="9"/>
  <c r="F240" i="9"/>
  <c r="O235" i="9"/>
  <c r="L104" i="9"/>
  <c r="C61" i="9"/>
  <c r="O153" i="9"/>
  <c r="I234" i="9"/>
  <c r="I269" i="9"/>
  <c r="O268" i="9"/>
  <c r="G59" i="3"/>
  <c r="K38" i="3"/>
  <c r="H40" i="9"/>
  <c r="G71" i="3"/>
  <c r="C144" i="9"/>
  <c r="L76" i="9"/>
  <c r="E24" i="9"/>
  <c r="H233" i="9"/>
  <c r="C48" i="9"/>
  <c r="F186" i="9"/>
  <c r="I110" i="9"/>
  <c r="I256" i="9"/>
  <c r="E25" i="9"/>
  <c r="F268" i="9"/>
  <c r="K23" i="5"/>
  <c r="G47" i="3"/>
  <c r="E83" i="9"/>
  <c r="K83" i="9"/>
  <c r="F52" i="9"/>
  <c r="H163" i="9"/>
  <c r="E103" i="9"/>
  <c r="C32" i="9"/>
  <c r="C189" i="9"/>
  <c r="K8" i="5"/>
  <c r="H80" i="9"/>
  <c r="N270" i="9"/>
  <c r="L153" i="9"/>
  <c r="I100" i="9"/>
  <c r="O151" i="9"/>
  <c r="C192" i="9"/>
  <c r="L103" i="9"/>
  <c r="C140" i="9"/>
  <c r="N186" i="9"/>
  <c r="G49" i="3"/>
  <c r="N150" i="9"/>
  <c r="K143" i="9"/>
  <c r="E260" i="9"/>
  <c r="O119" i="9"/>
  <c r="L143" i="9"/>
  <c r="C139" i="9"/>
  <c r="E238" i="9"/>
  <c r="O51" i="9"/>
  <c r="O35" i="3"/>
  <c r="E233" i="9"/>
  <c r="I178" i="9"/>
  <c r="F143" i="9"/>
  <c r="K236" i="9"/>
  <c r="L99" i="9"/>
  <c r="K75" i="9"/>
  <c r="C22" i="9"/>
  <c r="I166" i="9"/>
  <c r="F179" i="9"/>
  <c r="F63" i="9"/>
  <c r="K231" i="9"/>
  <c r="F221" i="9"/>
  <c r="H64" i="9"/>
  <c r="I232" i="9"/>
  <c r="L61" i="9"/>
  <c r="H179" i="9"/>
  <c r="I78" i="9"/>
  <c r="E255" i="9"/>
  <c r="F117" i="9"/>
  <c r="K34" i="3"/>
  <c r="F257" i="9"/>
  <c r="O56" i="3"/>
  <c r="H137" i="9"/>
  <c r="L139" i="9"/>
  <c r="C194" i="9"/>
  <c r="H28" i="9"/>
  <c r="O36" i="9"/>
  <c r="E215" i="9"/>
  <c r="K24" i="9"/>
  <c r="O72" i="3"/>
  <c r="F113" i="9"/>
  <c r="O44" i="3"/>
  <c r="I240" i="9"/>
  <c r="K23" i="3"/>
  <c r="O31" i="3"/>
  <c r="I197" i="9"/>
  <c r="C141" i="9"/>
  <c r="L264" i="9"/>
  <c r="L90" i="9"/>
  <c r="K45" i="3"/>
  <c r="C37" i="9"/>
  <c r="C259" i="9"/>
  <c r="H218" i="9"/>
  <c r="K21" i="5"/>
  <c r="I185" i="9"/>
  <c r="C127" i="9"/>
  <c r="F100" i="9"/>
  <c r="F276" i="9"/>
  <c r="I51" i="9"/>
  <c r="F99" i="9"/>
  <c r="N120" i="9"/>
  <c r="E146" i="9"/>
  <c r="C260" i="9"/>
  <c r="O115" i="9"/>
  <c r="K62" i="9"/>
  <c r="F42" i="9"/>
  <c r="O267" i="9"/>
  <c r="E252" i="9"/>
  <c r="K65" i="3"/>
  <c r="C78" i="9"/>
  <c r="L204" i="9"/>
  <c r="F239" i="9"/>
  <c r="L258" i="9"/>
  <c r="O270" i="9"/>
  <c r="L165" i="9"/>
  <c r="L121" i="9"/>
  <c r="I146" i="9"/>
  <c r="K70" i="9"/>
  <c r="I224" i="9"/>
  <c r="F185" i="9"/>
  <c r="N232" i="9"/>
  <c r="H260" i="9"/>
  <c r="H197" i="9"/>
  <c r="L218" i="9"/>
  <c r="O26" i="9"/>
  <c r="F265" i="9"/>
  <c r="K272" i="9"/>
  <c r="E204" i="9"/>
  <c r="H275" i="9"/>
  <c r="N32" i="9"/>
  <c r="N219" i="9"/>
  <c r="O257" i="9"/>
  <c r="O50" i="9"/>
  <c r="E65" i="9"/>
  <c r="H124" i="9"/>
  <c r="G48" i="3"/>
  <c r="K144" i="9"/>
  <c r="E155" i="9"/>
  <c r="C44" i="9"/>
  <c r="L198" i="9"/>
  <c r="F108" i="9"/>
  <c r="N235" i="9"/>
  <c r="H180" i="9"/>
  <c r="I227" i="9"/>
  <c r="O111" i="9"/>
  <c r="C198" i="9"/>
  <c r="I219" i="9"/>
  <c r="C31" i="9"/>
  <c r="L146" i="9"/>
  <c r="F65" i="9"/>
  <c r="H149" i="9"/>
  <c r="L265" i="9"/>
  <c r="E195" i="9"/>
  <c r="C118" i="9"/>
  <c r="L268" i="9"/>
  <c r="H182" i="9"/>
  <c r="H79" i="9"/>
  <c r="F111" i="9"/>
  <c r="F259" i="9"/>
  <c r="N115" i="9"/>
  <c r="O116" i="9"/>
  <c r="N109" i="9"/>
  <c r="I273" i="9"/>
  <c r="E175" i="9"/>
  <c r="F255" i="9"/>
  <c r="N160" i="9"/>
  <c r="F153" i="9"/>
  <c r="N22" i="9"/>
  <c r="O121" i="9"/>
  <c r="F190" i="9"/>
  <c r="H136" i="9"/>
  <c r="O49" i="3"/>
  <c r="F226" i="9"/>
  <c r="H230" i="9"/>
  <c r="L263" i="9"/>
  <c r="F69" i="9"/>
  <c r="O232" i="9"/>
  <c r="N229" i="9"/>
  <c r="C179" i="9"/>
  <c r="N202" i="9"/>
  <c r="E115" i="9"/>
  <c r="K187" i="9"/>
  <c r="L259" i="9"/>
  <c r="O269" i="9"/>
  <c r="K72" i="9"/>
  <c r="H159" i="9"/>
  <c r="F223" i="9"/>
  <c r="O124" i="9"/>
  <c r="F182" i="9"/>
  <c r="N114" i="9"/>
  <c r="I85" i="9"/>
  <c r="H33" i="9"/>
  <c r="L215" i="9"/>
  <c r="H175" i="9"/>
  <c r="N67" i="9"/>
  <c r="F227" i="9"/>
  <c r="L120" i="9"/>
  <c r="K105" i="9"/>
  <c r="I82" i="9"/>
  <c r="L22" i="9"/>
  <c r="O279" i="9"/>
  <c r="H140" i="9"/>
  <c r="I194" i="9"/>
  <c r="H196" i="9"/>
  <c r="N117" i="9"/>
  <c r="H108" i="9"/>
  <c r="N39" i="9"/>
  <c r="I118" i="9"/>
  <c r="L101" i="9"/>
  <c r="O43" i="3"/>
  <c r="G33" i="3"/>
  <c r="O146" i="9"/>
  <c r="K221" i="9"/>
  <c r="H153" i="9"/>
  <c r="C241" i="9"/>
  <c r="I112" i="9"/>
  <c r="H272" i="9"/>
  <c r="O59" i="3"/>
  <c r="C240" i="9"/>
  <c r="H257" i="9"/>
  <c r="L160" i="9"/>
  <c r="O162" i="9"/>
  <c r="C119" i="9"/>
  <c r="N72" i="9"/>
  <c r="I266" i="9"/>
  <c r="C33" i="9"/>
  <c r="O84" i="9"/>
  <c r="K63" i="3"/>
  <c r="F25" i="9"/>
  <c r="E234" i="9"/>
  <c r="I261" i="9"/>
  <c r="K216" i="9"/>
  <c r="K45" i="9"/>
  <c r="K26" i="9"/>
  <c r="E39" i="9"/>
  <c r="H200" i="9"/>
  <c r="C66" i="9"/>
  <c r="H204" i="9"/>
  <c r="N195" i="9"/>
  <c r="O214" i="9"/>
  <c r="H109" i="9"/>
  <c r="F86" i="9"/>
  <c r="C77" i="9"/>
  <c r="L124" i="9"/>
  <c r="K178" i="9"/>
  <c r="O113" i="9"/>
  <c r="L228" i="9"/>
  <c r="H142" i="9"/>
  <c r="K162" i="9"/>
  <c r="C76" i="9"/>
  <c r="H87" i="9"/>
  <c r="O196" i="9"/>
  <c r="F51" i="9"/>
  <c r="L38" i="9"/>
  <c r="F28" i="9"/>
  <c r="L42" i="9"/>
  <c r="E148" i="9"/>
  <c r="L161" i="9"/>
  <c r="H41" i="9"/>
  <c r="C143" i="9"/>
  <c r="C176" i="9"/>
  <c r="H156" i="9"/>
  <c r="I180" i="9"/>
  <c r="H222" i="9"/>
  <c r="F68" i="9"/>
  <c r="K274" i="9"/>
  <c r="L52" i="9"/>
  <c r="O42" i="3"/>
  <c r="H30" i="9"/>
  <c r="I87" i="9"/>
  <c r="N98" i="9"/>
  <c r="C27" i="9"/>
  <c r="K106" i="9"/>
  <c r="C80" i="9"/>
  <c r="C103" i="9"/>
  <c r="N101" i="9"/>
  <c r="E150" i="9"/>
  <c r="K15" i="3"/>
  <c r="E274" i="9"/>
  <c r="C84" i="9"/>
  <c r="N215" i="9"/>
  <c r="L50" i="9"/>
  <c r="F154" i="9"/>
  <c r="H119" i="9"/>
  <c r="F180" i="9"/>
  <c r="G74" i="3"/>
  <c r="H74" i="9"/>
  <c r="O164" i="9"/>
  <c r="H78" i="9"/>
  <c r="O174" i="9"/>
  <c r="K117" i="9"/>
  <c r="E70" i="9"/>
  <c r="N271" i="9"/>
  <c r="F280" i="9"/>
  <c r="O238" i="9"/>
  <c r="I213" i="9"/>
  <c r="L227" i="9"/>
  <c r="O75" i="9"/>
  <c r="L34" i="9"/>
  <c r="I223" i="9"/>
  <c r="E154" i="9"/>
  <c r="I29" i="9"/>
  <c r="O190" i="9"/>
  <c r="O183" i="9"/>
  <c r="N105" i="9"/>
  <c r="F66" i="9"/>
  <c r="N159" i="9"/>
  <c r="L240" i="9"/>
  <c r="O240" i="9"/>
  <c r="I65" i="9"/>
  <c r="L178" i="9"/>
  <c r="E108" i="9"/>
  <c r="I90" i="9"/>
  <c r="F204" i="9"/>
  <c r="F37" i="9"/>
  <c r="L237" i="9"/>
  <c r="C151" i="9"/>
  <c r="L159" i="9"/>
  <c r="H121" i="9"/>
  <c r="N84" i="9"/>
  <c r="L217" i="9"/>
  <c r="O33" i="3"/>
  <c r="K22" i="9"/>
  <c r="E34" i="9"/>
  <c r="O52" i="9"/>
  <c r="K108" i="9"/>
  <c r="H73" i="9"/>
  <c r="L24" i="9"/>
  <c r="E62" i="9"/>
  <c r="F275" i="9"/>
  <c r="I188" i="9"/>
  <c r="N277" i="9"/>
  <c r="E242" i="9"/>
  <c r="E189" i="9"/>
  <c r="F212" i="9"/>
  <c r="H185" i="9"/>
  <c r="K59" i="3"/>
  <c r="O88" i="9"/>
  <c r="F158" i="9"/>
  <c r="H75" i="9"/>
  <c r="F194" i="9"/>
  <c r="N197" i="9"/>
  <c r="C221" i="9"/>
  <c r="O82" i="9"/>
  <c r="H157" i="9"/>
  <c r="K19" i="5"/>
  <c r="O137" i="9"/>
  <c r="H155" i="9"/>
  <c r="L46" i="9"/>
  <c r="I70" i="9"/>
  <c r="O198" i="9"/>
  <c r="I280" i="9"/>
  <c r="O79" i="9"/>
  <c r="K84" i="9"/>
  <c r="C150" i="9"/>
  <c r="F191" i="9"/>
  <c r="H65" i="9"/>
  <c r="K24" i="5"/>
  <c r="O163" i="9"/>
  <c r="E188" i="9"/>
  <c r="F193" i="9"/>
  <c r="E256" i="9"/>
  <c r="I250" i="9"/>
  <c r="E114" i="9"/>
  <c r="N52" i="9"/>
  <c r="L274" i="9"/>
  <c r="K150" i="9"/>
  <c r="K88" i="9"/>
  <c r="E87" i="9"/>
  <c r="L114" i="9"/>
  <c r="F147" i="9"/>
  <c r="E268" i="9"/>
  <c r="F114" i="9"/>
  <c r="K252" i="9"/>
  <c r="O68" i="9"/>
  <c r="O192" i="9"/>
  <c r="E227" i="9"/>
  <c r="N116" i="9"/>
  <c r="I86" i="9"/>
  <c r="K65" i="9"/>
  <c r="K268" i="9"/>
  <c r="F105" i="9"/>
  <c r="K147" i="9"/>
  <c r="F101" i="9"/>
  <c r="H199" i="9"/>
  <c r="C155" i="9"/>
  <c r="L106" i="9"/>
  <c r="K118" i="9"/>
  <c r="E141" i="9"/>
  <c r="C261" i="9"/>
  <c r="K227" i="9"/>
  <c r="K11" i="5"/>
  <c r="F264" i="9"/>
  <c r="L138" i="9"/>
  <c r="H67" i="9"/>
  <c r="H271" i="9"/>
  <c r="C272" i="9"/>
  <c r="F48" i="9"/>
  <c r="K32" i="9"/>
  <c r="K23" i="9"/>
  <c r="F189" i="9"/>
  <c r="K110" i="9"/>
  <c r="O86" i="9"/>
  <c r="O273" i="9"/>
  <c r="C158" i="9"/>
  <c r="N145" i="9"/>
  <c r="L225" i="9"/>
  <c r="C188" i="9"/>
  <c r="C219" i="9"/>
  <c r="H47" i="9"/>
  <c r="I176" i="9"/>
  <c r="N259" i="9"/>
  <c r="E68" i="9"/>
  <c r="H32" i="9"/>
  <c r="N178" i="9"/>
  <c r="K218" i="9"/>
  <c r="O201" i="9"/>
  <c r="N223" i="9"/>
  <c r="K251" i="9"/>
  <c r="K234" i="9"/>
  <c r="F46" i="9"/>
  <c r="E222" i="9"/>
  <c r="L152" i="9"/>
  <c r="I44" i="9"/>
  <c r="C75" i="9"/>
  <c r="O25" i="9"/>
  <c r="C104" i="9"/>
  <c r="E80" i="9"/>
  <c r="K25" i="5"/>
  <c r="N181" i="9"/>
  <c r="F127" i="9"/>
  <c r="I52" i="9"/>
  <c r="H50" i="9"/>
  <c r="E72" i="9"/>
  <c r="K35" i="3"/>
  <c r="K51" i="9"/>
  <c r="F234" i="9"/>
  <c r="K38" i="9"/>
  <c r="E44" i="9"/>
  <c r="C106" i="9"/>
  <c r="N256" i="9"/>
  <c r="L149" i="9"/>
  <c r="L260" i="9"/>
  <c r="H226" i="9"/>
  <c r="K100" i="9"/>
  <c r="O112" i="9"/>
  <c r="H22" i="9"/>
  <c r="H178" i="9"/>
  <c r="E183" i="9"/>
  <c r="H241" i="9"/>
  <c r="E32" i="9"/>
  <c r="K75" i="3"/>
  <c r="I177" i="9"/>
  <c r="L255" i="9"/>
  <c r="F178" i="9"/>
  <c r="N233" i="9"/>
  <c r="L193" i="9"/>
  <c r="I125" i="9"/>
  <c r="E275" i="9"/>
  <c r="O34" i="3"/>
  <c r="F83" i="9"/>
  <c r="O204" i="9"/>
  <c r="C217" i="9"/>
  <c r="N213" i="9"/>
  <c r="E273" i="9"/>
  <c r="I217" i="9"/>
  <c r="L250" i="9"/>
  <c r="N238" i="9"/>
  <c r="I257" i="9"/>
  <c r="O142" i="9"/>
  <c r="F254" i="9"/>
  <c r="O186" i="9"/>
  <c r="O219" i="9"/>
  <c r="C263" i="9"/>
  <c r="O191" i="9"/>
  <c r="E71" i="9"/>
  <c r="G68" i="3"/>
  <c r="K141" i="9"/>
  <c r="I137" i="9"/>
  <c r="N112" i="9"/>
  <c r="F146" i="9"/>
  <c r="K50" i="3"/>
  <c r="E127" i="9"/>
  <c r="F136" i="9"/>
  <c r="N265" i="9"/>
  <c r="H261" i="9"/>
  <c r="N185" i="9"/>
  <c r="E27" i="9"/>
  <c r="C125" i="9"/>
  <c r="H125" i="9"/>
  <c r="F104" i="9"/>
  <c r="F236" i="9"/>
  <c r="K31" i="9"/>
  <c r="I228" i="9"/>
  <c r="C107" i="9"/>
  <c r="O199" i="9"/>
  <c r="N30" i="9"/>
  <c r="N82" i="9"/>
  <c r="K126" i="9"/>
  <c r="F60" i="9"/>
  <c r="I88" i="9"/>
  <c r="H239" i="9"/>
  <c r="K42" i="3"/>
  <c r="O271" i="9"/>
  <c r="I277" i="9"/>
  <c r="E254" i="9"/>
  <c r="F38" i="9"/>
  <c r="C100" i="9"/>
  <c r="O29" i="9"/>
  <c r="O63" i="3"/>
  <c r="L123" i="9"/>
  <c r="E239" i="9"/>
  <c r="H187" i="9"/>
  <c r="E264" i="9"/>
  <c r="I221" i="9"/>
  <c r="I121" i="9"/>
  <c r="E258" i="9"/>
  <c r="C47" i="9"/>
  <c r="C63" i="9"/>
  <c r="H164" i="9"/>
  <c r="K73" i="3"/>
  <c r="N38" i="9"/>
  <c r="L88" i="9"/>
  <c r="L30" i="9"/>
  <c r="K260" i="9"/>
  <c r="E84" i="9"/>
  <c r="K66" i="9"/>
  <c r="N260" i="9"/>
  <c r="K73" i="9"/>
  <c r="N139" i="9"/>
  <c r="I229" i="9"/>
  <c r="C187" i="9"/>
  <c r="L166" i="9"/>
  <c r="N44" i="9"/>
  <c r="N225" i="9"/>
  <c r="F213" i="9"/>
  <c r="C145" i="9"/>
  <c r="N128" i="9"/>
  <c r="H148" i="9"/>
  <c r="F270" i="9"/>
  <c r="F262" i="9"/>
  <c r="I34" i="9"/>
  <c r="K41" i="9"/>
  <c r="N179" i="9"/>
  <c r="C230" i="9"/>
  <c r="L72" i="9"/>
  <c r="F263" i="9"/>
  <c r="C220" i="9"/>
  <c r="K196" i="9"/>
  <c r="L182" i="9"/>
  <c r="K278" i="9"/>
  <c r="I101" i="9"/>
  <c r="H161" i="9"/>
  <c r="I64" i="9"/>
  <c r="C111" i="9"/>
  <c r="I226" i="9"/>
  <c r="H141" i="9"/>
  <c r="K67" i="3"/>
  <c r="L269" i="9"/>
  <c r="L69" i="9"/>
  <c r="N144" i="9"/>
  <c r="E159" i="9"/>
  <c r="I39" i="9"/>
  <c r="L68" i="9"/>
  <c r="E212" i="9"/>
  <c r="L28" i="9"/>
  <c r="O39" i="3"/>
  <c r="O258" i="9"/>
  <c r="E100" i="9"/>
  <c r="H202" i="9"/>
  <c r="H193" i="9"/>
  <c r="L102" i="9"/>
  <c r="I69" i="9"/>
  <c r="K269" i="9"/>
  <c r="H68" i="9"/>
  <c r="I24" i="9"/>
  <c r="E235" i="9"/>
  <c r="N276" i="9"/>
  <c r="C88" i="9"/>
  <c r="L75" i="9"/>
  <c r="G46" i="3"/>
  <c r="H276" i="9"/>
  <c r="O159" i="9"/>
  <c r="I191" i="9"/>
  <c r="K12" i="3"/>
  <c r="K229" i="9"/>
  <c r="H139" i="9"/>
  <c r="I99" i="9"/>
  <c r="O47" i="3"/>
  <c r="E278" i="9"/>
  <c r="N280" i="9"/>
  <c r="K202" i="9"/>
  <c r="I138" i="9"/>
  <c r="E257" i="9"/>
  <c r="O241" i="9"/>
  <c r="C136" i="9"/>
  <c r="C225" i="9"/>
  <c r="K32" i="3"/>
  <c r="N23" i="9"/>
  <c r="O83" i="9"/>
  <c r="O216" i="9"/>
  <c r="H77" i="9"/>
  <c r="O89" i="9"/>
  <c r="H231" i="9"/>
  <c r="F225" i="9"/>
  <c r="E225" i="9"/>
  <c r="F140" i="9"/>
  <c r="O197" i="9"/>
  <c r="N66" i="9"/>
  <c r="H195" i="9"/>
  <c r="O233" i="9"/>
  <c r="C35" i="9"/>
  <c r="H51" i="9"/>
  <c r="K115" i="9"/>
  <c r="I26" i="9"/>
  <c r="N183" i="9"/>
  <c r="N90" i="9"/>
  <c r="I155" i="9"/>
  <c r="N212" i="9"/>
  <c r="O176" i="9"/>
  <c r="K151" i="9"/>
  <c r="C38" i="9"/>
  <c r="I108" i="9"/>
  <c r="H116" i="9"/>
  <c r="N201" i="9"/>
  <c r="H26" i="9"/>
  <c r="L155" i="9"/>
  <c r="H253" i="9"/>
  <c r="E29" i="9"/>
  <c r="C43" i="9"/>
  <c r="N274" i="9"/>
  <c r="E166" i="9"/>
  <c r="F64" i="9"/>
  <c r="I114" i="9"/>
  <c r="E137" i="9"/>
  <c r="O227" i="9"/>
  <c r="K225" i="9"/>
  <c r="E138" i="9"/>
  <c r="I31" i="9"/>
  <c r="N34" i="9"/>
  <c r="O41" i="9"/>
  <c r="F252" i="9"/>
  <c r="I25" i="9"/>
  <c r="E267" i="9"/>
  <c r="H104" i="9"/>
  <c r="C276" i="9"/>
  <c r="E265" i="9"/>
  <c r="K86" i="9"/>
  <c r="C83" i="9"/>
  <c r="I278" i="9"/>
  <c r="K242" i="9"/>
  <c r="O76" i="9"/>
  <c r="I115" i="9"/>
  <c r="I225" i="9"/>
  <c r="N227" i="9"/>
  <c r="I215" i="9"/>
  <c r="K64" i="9"/>
  <c r="K136" i="9"/>
  <c r="K270" i="9"/>
  <c r="H268" i="9"/>
  <c r="K181" i="9"/>
  <c r="E280" i="9"/>
  <c r="C256" i="9"/>
  <c r="L150" i="9"/>
  <c r="C224" i="9"/>
  <c r="K264" i="9"/>
  <c r="H216" i="9"/>
  <c r="K10" i="5"/>
  <c r="G67" i="3"/>
  <c r="G50" i="3"/>
  <c r="K163" i="9"/>
  <c r="N234" i="9"/>
  <c r="K36" i="9"/>
  <c r="H118" i="9"/>
  <c r="K182" i="9"/>
  <c r="N262" i="9"/>
  <c r="N99" i="9"/>
  <c r="L63" i="9"/>
  <c r="N76" i="9"/>
  <c r="E270" i="9"/>
  <c r="H101" i="9"/>
  <c r="C255" i="9"/>
  <c r="I30" i="9"/>
  <c r="E181" i="9"/>
  <c r="O161" i="9"/>
  <c r="F75" i="9"/>
  <c r="L117" i="9"/>
  <c r="C26" i="9"/>
  <c r="H37" i="9"/>
  <c r="E35" i="9"/>
  <c r="K63" i="9"/>
  <c r="F219" i="9"/>
  <c r="L148" i="9"/>
  <c r="C273" i="9"/>
  <c r="E139" i="9"/>
  <c r="L181" i="9"/>
  <c r="C157" i="9"/>
  <c r="O87" i="9"/>
  <c r="K101" i="9"/>
  <c r="F120" i="9"/>
  <c r="H225" i="9"/>
  <c r="L226" i="9"/>
  <c r="O179" i="9"/>
  <c r="N164" i="9"/>
  <c r="I43" i="9"/>
  <c r="N255" i="9"/>
  <c r="I156" i="9"/>
  <c r="O24" i="9"/>
  <c r="E240" i="9"/>
  <c r="N142" i="9"/>
  <c r="N122" i="9"/>
  <c r="I73" i="9"/>
  <c r="H228" i="9"/>
  <c r="C67" i="9"/>
  <c r="F250" i="9"/>
  <c r="N121" i="9"/>
  <c r="C70" i="9"/>
  <c r="I143" i="9"/>
  <c r="L79" i="9"/>
  <c r="N161" i="9"/>
  <c r="L98" i="9"/>
  <c r="C159" i="9"/>
  <c r="O156" i="9"/>
  <c r="L141" i="9"/>
  <c r="O202" i="9"/>
  <c r="K200" i="9"/>
  <c r="N141" i="9"/>
  <c r="C113" i="9"/>
  <c r="O109" i="9"/>
  <c r="O85" i="9"/>
  <c r="K235" i="9"/>
  <c r="F148" i="9"/>
  <c r="C180" i="9"/>
  <c r="F273" i="9"/>
  <c r="F253" i="9"/>
  <c r="N110" i="9"/>
  <c r="O32" i="3"/>
  <c r="L229" i="9"/>
  <c r="H31" i="9"/>
  <c r="L275" i="9"/>
  <c r="G70" i="3"/>
  <c r="K177" i="9"/>
  <c r="L276" i="9"/>
  <c r="K102" i="9"/>
  <c r="L224" i="9"/>
  <c r="K61" i="9"/>
  <c r="F156" i="9"/>
  <c r="C122" i="9"/>
  <c r="E119" i="9"/>
  <c r="O140" i="9"/>
  <c r="K17" i="5"/>
  <c r="K137" i="9"/>
  <c r="K111" i="9"/>
  <c r="N102" i="9"/>
  <c r="I76" i="9"/>
  <c r="H113" i="9"/>
  <c r="C42" i="9"/>
  <c r="C34" i="9"/>
  <c r="K158" i="9"/>
  <c r="O200" i="9"/>
  <c r="I161" i="9"/>
  <c r="E147" i="9"/>
  <c r="K121" i="9"/>
  <c r="F102" i="9"/>
  <c r="L31" i="9"/>
  <c r="C52" i="9"/>
  <c r="O65" i="3"/>
  <c r="E30" i="9"/>
  <c r="I216" i="9"/>
  <c r="O38" i="9"/>
  <c r="F260" i="9"/>
  <c r="N119" i="9"/>
  <c r="E78" i="9"/>
  <c r="N89" i="9"/>
  <c r="E73" i="9"/>
  <c r="O33" i="9"/>
  <c r="G64" i="3"/>
  <c r="C222" i="9"/>
  <c r="E60" i="9"/>
  <c r="K70" i="3"/>
  <c r="F160" i="9"/>
  <c r="F150" i="9"/>
  <c r="N175" i="9"/>
  <c r="K275" i="9"/>
  <c r="C266" i="9"/>
  <c r="F152" i="9"/>
  <c r="E279" i="9"/>
  <c r="E122" i="9"/>
  <c r="E145" i="9"/>
  <c r="C89" i="9"/>
  <c r="K257" i="9"/>
  <c r="H81" i="9"/>
  <c r="L222" i="9"/>
  <c r="E162" i="9"/>
  <c r="L201" i="9"/>
  <c r="H103" i="9"/>
  <c r="F106" i="9"/>
  <c r="E79" i="9"/>
  <c r="I181" i="9"/>
  <c r="H251" i="9"/>
  <c r="H255" i="9"/>
  <c r="K217" i="9"/>
  <c r="O39" i="9"/>
  <c r="C152" i="9"/>
  <c r="L41" i="9"/>
  <c r="L190" i="9"/>
  <c r="F89" i="9"/>
  <c r="O62" i="9"/>
  <c r="E213" i="9"/>
  <c r="I113" i="9"/>
  <c r="G43" i="3"/>
  <c r="K145" i="9"/>
  <c r="L199" i="9"/>
  <c r="N42" i="9"/>
  <c r="H227" i="9"/>
  <c r="H71" i="9"/>
  <c r="N214" i="9"/>
  <c r="C234" i="9"/>
  <c r="N153" i="9"/>
  <c r="F235" i="9"/>
  <c r="O255" i="9"/>
  <c r="I198" i="9"/>
  <c r="N165" i="9"/>
  <c r="H213" i="9"/>
  <c r="L40" i="9"/>
  <c r="E223" i="9"/>
  <c r="F218" i="9"/>
  <c r="E89" i="9"/>
  <c r="I187" i="9"/>
  <c r="L36" i="9"/>
  <c r="E116" i="9"/>
  <c r="F77" i="9"/>
  <c r="O155" i="9"/>
  <c r="O218" i="9"/>
  <c r="E102" i="9"/>
  <c r="C90" i="9"/>
  <c r="C202" i="9"/>
  <c r="G44" i="3"/>
  <c r="O274" i="9"/>
  <c r="F78" i="9"/>
  <c r="H217" i="9"/>
  <c r="L145" i="9"/>
  <c r="G60" i="3"/>
  <c r="L191" i="9"/>
  <c r="L180" i="9"/>
  <c r="H115" i="9"/>
  <c r="I204" i="9"/>
  <c r="H38" i="9"/>
  <c r="F162" i="9"/>
  <c r="C178" i="9"/>
  <c r="K14" i="5"/>
  <c r="E276" i="9"/>
  <c r="C102" i="9"/>
  <c r="H99" i="9"/>
  <c r="E198" i="9"/>
  <c r="K82" i="9"/>
  <c r="F118" i="9"/>
  <c r="F82" i="9"/>
  <c r="N158" i="9"/>
  <c r="H221" i="9"/>
  <c r="L66" i="9"/>
  <c r="H186" i="9"/>
  <c r="G35" i="3"/>
  <c r="F197" i="9"/>
  <c r="K238" i="9"/>
  <c r="F198" i="9"/>
  <c r="O225" i="9"/>
  <c r="K165" i="9"/>
  <c r="F161" i="9"/>
  <c r="N49" i="9"/>
  <c r="L122" i="9"/>
  <c r="F81" i="9"/>
  <c r="K215" i="9"/>
  <c r="H24" i="9"/>
  <c r="H166" i="9"/>
  <c r="K49" i="3"/>
  <c r="K49" i="9"/>
  <c r="K64" i="3"/>
  <c r="K13" i="5"/>
  <c r="I252" i="9"/>
  <c r="I163" i="9"/>
  <c r="K152" i="9"/>
  <c r="G63" i="3"/>
  <c r="E151" i="9"/>
  <c r="O40" i="9"/>
  <c r="E201" i="9"/>
  <c r="C72" i="9"/>
  <c r="G61" i="3"/>
  <c r="K232" i="9"/>
  <c r="C24" i="9"/>
  <c r="E121" i="9"/>
  <c r="K258" i="9"/>
  <c r="E165" i="9"/>
  <c r="O253" i="9"/>
  <c r="E186" i="9"/>
  <c r="K273" i="9"/>
  <c r="F232" i="9"/>
  <c r="H145" i="9"/>
  <c r="N182" i="9"/>
  <c r="I258" i="9"/>
  <c r="O229" i="9"/>
  <c r="K10" i="3"/>
  <c r="L242" i="9"/>
  <c r="L154" i="9"/>
  <c r="N250" i="9"/>
  <c r="K30" i="9"/>
  <c r="L212" i="9"/>
  <c r="F274" i="9"/>
  <c r="F163" i="9"/>
  <c r="I38" i="9"/>
  <c r="K154" i="9"/>
  <c r="E31" i="9"/>
  <c r="G75" i="3"/>
  <c r="E196" i="9"/>
  <c r="I122" i="9"/>
  <c r="O44" i="9"/>
  <c r="H188" i="9"/>
  <c r="K267" i="9"/>
  <c r="I182" i="9"/>
  <c r="O180" i="9"/>
  <c r="N60" i="9"/>
  <c r="L44" i="9"/>
  <c r="O68" i="3"/>
  <c r="O224" i="9"/>
  <c r="H35" i="9"/>
  <c r="K39" i="3"/>
  <c r="K195" i="9"/>
  <c r="F26" i="9"/>
  <c r="G58" i="3"/>
  <c r="C223" i="9"/>
  <c r="C174" i="9"/>
  <c r="F278" i="9"/>
  <c r="C175" i="9"/>
  <c r="C40" i="9"/>
  <c r="O28" i="9"/>
  <c r="K69" i="9"/>
  <c r="C181" i="9"/>
  <c r="N253" i="9"/>
  <c r="L196" i="9"/>
  <c r="O185" i="9"/>
  <c r="N75" i="9"/>
  <c r="O98" i="9"/>
  <c r="E142" i="9"/>
  <c r="H250" i="9"/>
  <c r="I84" i="9"/>
  <c r="N190" i="9"/>
  <c r="I75" i="9"/>
  <c r="K27" i="9"/>
  <c r="F24" i="9"/>
  <c r="C227" i="9"/>
  <c r="K184" i="9"/>
  <c r="I189" i="9"/>
  <c r="E42" i="9"/>
  <c r="K104" i="9"/>
  <c r="I142" i="9"/>
  <c r="K138" i="9"/>
  <c r="F165" i="9"/>
  <c r="N106" i="9"/>
  <c r="E41" i="9"/>
  <c r="O57" i="3"/>
  <c r="H190" i="9"/>
  <c r="C214" i="9"/>
  <c r="N146" i="9"/>
  <c r="K60" i="3"/>
  <c r="F22" i="9"/>
  <c r="H49" i="9"/>
  <c r="L252" i="9"/>
  <c r="F269" i="9"/>
  <c r="K6" i="3"/>
  <c r="O78" i="9"/>
  <c r="I22" i="9"/>
  <c r="N263" i="9"/>
  <c r="I32" i="9"/>
  <c r="C99" i="9"/>
  <c r="E81" i="9"/>
  <c r="F159" i="9"/>
  <c r="O22" i="9"/>
  <c r="K183" i="9"/>
  <c r="E259" i="9"/>
  <c r="L257" i="9"/>
  <c r="F145" i="9"/>
  <c r="L82" i="9"/>
  <c r="E98" i="9"/>
  <c r="E111" i="9"/>
  <c r="H146" i="9"/>
  <c r="N188" i="9"/>
  <c r="E271" i="9"/>
  <c r="C196" i="9"/>
  <c r="I139" i="9"/>
  <c r="C108" i="9"/>
  <c r="L87" i="9"/>
  <c r="F122" i="9"/>
  <c r="C177" i="9"/>
  <c r="F267" i="9"/>
  <c r="E66" i="9"/>
  <c r="H76" i="9"/>
  <c r="K140" i="9"/>
  <c r="F181" i="9"/>
  <c r="N88" i="9"/>
  <c r="L29" i="9"/>
  <c r="K56" i="3"/>
  <c r="N79" i="9"/>
  <c r="F80" i="9"/>
  <c r="L179" i="9"/>
  <c r="F116" i="9"/>
  <c r="F72" i="9"/>
  <c r="G73" i="3"/>
  <c r="K176" i="9"/>
  <c r="N152" i="9"/>
  <c r="C186" i="9"/>
  <c r="I270" i="9"/>
  <c r="N69" i="9"/>
  <c r="F166" i="9"/>
  <c r="O231" i="9"/>
  <c r="E101" i="9"/>
  <c r="E174" i="9"/>
  <c r="H34" i="9"/>
  <c r="E23" i="9"/>
  <c r="E200" i="9"/>
  <c r="L254" i="9"/>
  <c r="C154" i="9"/>
  <c r="K9" i="3"/>
  <c r="F215" i="9"/>
  <c r="E85" i="9"/>
  <c r="L220" i="9"/>
  <c r="H189" i="9"/>
  <c r="L23" i="9"/>
  <c r="I151" i="9"/>
  <c r="I107" i="9"/>
  <c r="F228" i="9"/>
  <c r="I80" i="9"/>
  <c r="K164" i="9"/>
  <c r="L186" i="9"/>
  <c r="O144" i="9"/>
  <c r="E64" i="9"/>
  <c r="H240" i="9"/>
  <c r="F34" i="9"/>
  <c r="N239" i="9"/>
  <c r="K71" i="3"/>
  <c r="O107" i="9"/>
  <c r="I136" i="9"/>
  <c r="K220" i="9"/>
  <c r="H90" i="9"/>
  <c r="F202" i="9"/>
  <c r="K114" i="9"/>
  <c r="O223" i="9"/>
  <c r="I102" i="9"/>
  <c r="K240" i="9"/>
  <c r="C229" i="9"/>
  <c r="K22" i="3"/>
  <c r="N143" i="9"/>
  <c r="L48" i="9"/>
  <c r="C191" i="9"/>
  <c r="L162" i="9"/>
  <c r="O70" i="3"/>
  <c r="O99" i="9"/>
  <c r="I81" i="9"/>
  <c r="E75" i="9"/>
  <c r="K266" i="9"/>
  <c r="K71" i="9"/>
  <c r="E50" i="9"/>
  <c r="E33" i="9"/>
  <c r="H234" i="9"/>
  <c r="O118" i="9"/>
  <c r="N151" i="9"/>
  <c r="K201" i="9"/>
  <c r="H126" i="9"/>
  <c r="F125" i="9"/>
  <c r="C193" i="9"/>
  <c r="E149" i="9"/>
  <c r="L158" i="9"/>
  <c r="O194" i="9"/>
  <c r="K85" i="9"/>
  <c r="K34" i="9"/>
  <c r="L83" i="9"/>
  <c r="F44" i="9"/>
  <c r="E118" i="9"/>
  <c r="O102" i="9"/>
  <c r="C252" i="9"/>
  <c r="I199" i="9"/>
  <c r="H23" i="9"/>
  <c r="G38" i="3"/>
  <c r="O252" i="9"/>
  <c r="C232" i="9"/>
  <c r="N157" i="9"/>
  <c r="L188" i="9"/>
  <c r="I238" i="9"/>
  <c r="L230" i="9"/>
  <c r="F43" i="9"/>
  <c r="C238" i="9"/>
  <c r="N83" i="9"/>
  <c r="I49" i="9"/>
  <c r="L175" i="9"/>
  <c r="L77" i="9"/>
  <c r="L203" i="9"/>
  <c r="O40" i="3"/>
  <c r="L116" i="9"/>
  <c r="H223" i="9"/>
  <c r="E187" i="9"/>
  <c r="N258" i="9"/>
  <c r="G56" i="3"/>
  <c r="C242" i="9"/>
  <c r="H176" i="9"/>
  <c r="H203" i="9"/>
  <c r="F175" i="9"/>
  <c r="K214" i="9"/>
  <c r="K33" i="9"/>
  <c r="O74" i="3"/>
  <c r="F155" i="9"/>
  <c r="F203" i="9"/>
  <c r="K22" i="5"/>
  <c r="C110" i="9"/>
  <c r="E163" i="9"/>
  <c r="K193" i="9"/>
  <c r="O234" i="9"/>
  <c r="E203" i="9"/>
  <c r="H160" i="9"/>
  <c r="K78" i="9"/>
  <c r="K230" i="9"/>
  <c r="N37" i="9"/>
  <c r="N187" i="9"/>
  <c r="L239" i="9"/>
  <c r="L235" i="9"/>
  <c r="F110" i="9"/>
  <c r="H89" i="9"/>
  <c r="I159" i="9"/>
  <c r="E261" i="9"/>
  <c r="I254" i="9"/>
  <c r="C64" i="9"/>
  <c r="O154" i="9"/>
  <c r="C65" i="9"/>
  <c r="N104" i="9"/>
  <c r="N268" i="9"/>
  <c r="F241" i="9"/>
  <c r="I47" i="9"/>
  <c r="I61" i="9"/>
  <c r="O152" i="9"/>
  <c r="I268" i="9"/>
  <c r="F222" i="9"/>
  <c r="E250" i="9"/>
  <c r="F261" i="9"/>
  <c r="H69" i="9"/>
  <c r="F103" i="9"/>
  <c r="L32" i="9"/>
  <c r="E179" i="9"/>
  <c r="E77" i="9"/>
  <c r="E228" i="9"/>
  <c r="N113" i="9"/>
  <c r="C270" i="9"/>
  <c r="C236" i="9"/>
  <c r="H144" i="9"/>
  <c r="E110" i="9"/>
  <c r="C258" i="9"/>
  <c r="O254" i="9"/>
  <c r="C183" i="9"/>
  <c r="O157" i="9"/>
  <c r="E136" i="9"/>
  <c r="F141" i="9"/>
  <c r="N251" i="9"/>
  <c r="K37" i="9"/>
  <c r="K68" i="9"/>
  <c r="I41" i="9"/>
  <c r="O226" i="9"/>
  <c r="E88" i="9"/>
  <c r="K46" i="3"/>
  <c r="O45" i="9"/>
  <c r="K66" i="3"/>
  <c r="C23" i="9"/>
  <c r="E61" i="9"/>
  <c r="N166" i="9"/>
  <c r="C200" i="9"/>
  <c r="K255" i="9"/>
  <c r="H117" i="9"/>
  <c r="O61" i="9"/>
  <c r="N192" i="9"/>
  <c r="H62" i="9"/>
  <c r="O58" i="3"/>
  <c r="F49" i="9"/>
  <c r="C87" i="9"/>
  <c r="C195" i="9"/>
  <c r="I66" i="9"/>
  <c r="L64" i="9"/>
  <c r="K157" i="9"/>
  <c r="E277" i="9"/>
  <c r="E229" i="9"/>
  <c r="F192" i="9"/>
  <c r="C269" i="9"/>
  <c r="I152" i="9"/>
  <c r="C163" i="9"/>
  <c r="E99" i="9"/>
  <c r="N107" i="9"/>
  <c r="F90" i="9"/>
  <c r="N147" i="9"/>
  <c r="L174" i="9"/>
  <c r="C86" i="9"/>
  <c r="C165" i="9"/>
  <c r="I241" i="9"/>
  <c r="K186" i="9"/>
  <c r="I45" i="9"/>
  <c r="C280" i="9"/>
  <c r="F151" i="9"/>
  <c r="O236" i="9"/>
  <c r="N125" i="9"/>
  <c r="O60" i="9"/>
  <c r="G39" i="3"/>
  <c r="O149" i="9"/>
  <c r="N64" i="9"/>
  <c r="F138" i="9"/>
  <c r="N272" i="9"/>
  <c r="H280" i="9"/>
  <c r="C73" i="9"/>
  <c r="K16" i="5"/>
  <c r="I230" i="9"/>
  <c r="C162" i="9"/>
  <c r="O103" i="9"/>
  <c r="N163" i="9"/>
  <c r="C199" i="9"/>
  <c r="E37" i="9"/>
  <c r="L85" i="9"/>
  <c r="F85" i="9"/>
  <c r="L126" i="9"/>
  <c r="L127" i="9"/>
  <c r="O178" i="9"/>
  <c r="L267" i="9"/>
  <c r="N261" i="9"/>
  <c r="I203" i="9"/>
  <c r="E218" i="9"/>
  <c r="K149" i="9"/>
  <c r="O105" i="9"/>
  <c r="K174" i="9"/>
  <c r="K31" i="3"/>
  <c r="K99" i="9"/>
  <c r="K153" i="9"/>
  <c r="K43" i="9"/>
  <c r="H273" i="9"/>
  <c r="L107" i="9"/>
  <c r="O264" i="9"/>
  <c r="L261" i="9"/>
  <c r="N26" i="9"/>
  <c r="E177" i="9"/>
  <c r="O66" i="9"/>
  <c r="O27" i="9"/>
  <c r="O50" i="3"/>
  <c r="O122" i="9"/>
  <c r="E128" i="9"/>
  <c r="K7" i="3"/>
  <c r="I147" i="9"/>
  <c r="K8" i="3"/>
  <c r="C146" i="9"/>
  <c r="K113" i="9"/>
  <c r="G62" i="3"/>
  <c r="C45" i="9"/>
  <c r="I127" i="9"/>
  <c r="H154" i="9"/>
  <c r="N218" i="9"/>
  <c r="K17" i="3"/>
  <c r="E160" i="9"/>
  <c r="L194" i="9"/>
  <c r="I89" i="9"/>
  <c r="C216" i="9"/>
  <c r="N123" i="9"/>
  <c r="K198" i="9"/>
  <c r="K161" i="9"/>
  <c r="I42" i="9"/>
  <c r="I150" i="9"/>
  <c r="E106" i="9"/>
  <c r="N217" i="9"/>
  <c r="K15" i="5"/>
  <c r="H219" i="9"/>
  <c r="C39" i="9"/>
  <c r="O222" i="9"/>
  <c r="N62" i="9"/>
  <c r="E190" i="9"/>
  <c r="N45" i="9"/>
  <c r="K276" i="9"/>
  <c r="N191" i="9"/>
  <c r="H235" i="9"/>
  <c r="I35" i="9"/>
  <c r="K11" i="3"/>
  <c r="L74" i="9"/>
  <c r="K37" i="3"/>
  <c r="O48" i="9"/>
  <c r="K254" i="9"/>
  <c r="L183" i="9"/>
  <c r="L80" i="9"/>
  <c r="I106" i="9"/>
  <c r="C116" i="9"/>
  <c r="K122" i="9"/>
  <c r="N40" i="9"/>
  <c r="O230" i="9"/>
  <c r="K41" i="3"/>
  <c r="H181" i="9"/>
  <c r="N140" i="9"/>
  <c r="L78" i="9"/>
  <c r="C138" i="9"/>
  <c r="O147" i="9"/>
  <c r="C128" i="9"/>
  <c r="E51" i="9"/>
  <c r="I117" i="9"/>
  <c r="G45" i="3"/>
  <c r="H256" i="9"/>
  <c r="K18" i="3"/>
  <c r="N124" i="9"/>
  <c r="O177" i="9"/>
  <c r="I195" i="9"/>
  <c r="C148" i="9"/>
  <c r="H27" i="9"/>
  <c r="N267" i="9"/>
  <c r="H201" i="9"/>
  <c r="O189" i="9"/>
  <c r="K263" i="9"/>
  <c r="F251" i="9"/>
  <c r="H259" i="9"/>
  <c r="O145" i="9"/>
  <c r="N266" i="9"/>
  <c r="C226" i="9"/>
  <c r="O37" i="3"/>
  <c r="F76" i="9"/>
  <c r="E232" i="9"/>
  <c r="N33" i="9"/>
  <c r="L185" i="9"/>
  <c r="I200" i="9"/>
  <c r="N254" i="9"/>
  <c r="I120" i="9"/>
  <c r="O80" i="9"/>
  <c r="E86" i="9"/>
  <c r="K28" i="9"/>
  <c r="N221" i="9"/>
  <c r="F238" i="9"/>
  <c r="I253" i="9"/>
  <c r="O275" i="9"/>
  <c r="H128" i="9"/>
  <c r="E74" i="9"/>
  <c r="O213" i="9"/>
  <c r="E185" i="9"/>
  <c r="N36" i="9"/>
  <c r="F217" i="9"/>
  <c r="F266" i="9"/>
  <c r="E49" i="9"/>
  <c r="N241" i="9"/>
  <c r="C203" i="9"/>
  <c r="H229" i="9"/>
  <c r="L213" i="9"/>
  <c r="E124" i="9"/>
  <c r="C51" i="9"/>
  <c r="H105" i="9"/>
  <c r="E76" i="9"/>
  <c r="H52" i="9"/>
  <c r="N222" i="9"/>
  <c r="H212" i="9"/>
  <c r="O71" i="3"/>
  <c r="I212" i="9"/>
  <c r="E191" i="9"/>
  <c r="C160" i="9"/>
  <c r="F177" i="9"/>
  <c r="F45" i="9"/>
  <c r="C50" i="9"/>
  <c r="H83" i="9"/>
  <c r="K76" i="9"/>
  <c r="N226" i="9"/>
  <c r="C271" i="9"/>
  <c r="I124" i="9"/>
  <c r="E48" i="9"/>
  <c r="G37" i="3"/>
  <c r="I165" i="9"/>
  <c r="E140" i="9"/>
  <c r="K237" i="9"/>
  <c r="C218" i="9"/>
  <c r="L197" i="9"/>
  <c r="O203" i="9"/>
  <c r="H45" i="9"/>
  <c r="N220" i="9"/>
  <c r="E216" i="9"/>
  <c r="F112" i="9"/>
  <c r="C251" i="9"/>
  <c r="N240" i="9"/>
  <c r="C98" i="9"/>
  <c r="N74" i="9"/>
  <c r="E219" i="9"/>
  <c r="O117" i="9"/>
  <c r="C81" i="9"/>
  <c r="I267" i="9"/>
  <c r="O263" i="9"/>
  <c r="K241" i="9"/>
  <c r="N126" i="9"/>
  <c r="C49" i="9"/>
  <c r="O81" i="9"/>
  <c r="C239" i="9"/>
  <c r="L270" i="9"/>
  <c r="F164" i="9"/>
  <c r="F50" i="9"/>
  <c r="O228" i="9"/>
  <c r="O73" i="9"/>
  <c r="N198" i="9"/>
  <c r="N51" i="9"/>
  <c r="K197" i="9"/>
  <c r="K39" i="9"/>
  <c r="N278" i="9"/>
  <c r="F74" i="9"/>
  <c r="L81" i="9"/>
  <c r="O184" i="9"/>
  <c r="C123" i="9"/>
  <c r="K279" i="9"/>
  <c r="O188" i="9"/>
  <c r="O141" i="9"/>
  <c r="E112" i="9"/>
  <c r="K44" i="9"/>
  <c r="K43" i="3"/>
  <c r="E253" i="9"/>
  <c r="L128" i="9"/>
  <c r="O90" i="9"/>
  <c r="I157" i="9"/>
  <c r="H25" i="9"/>
  <c r="K35" i="9"/>
  <c r="F128" i="9"/>
  <c r="K189" i="9"/>
  <c r="C79" i="9"/>
  <c r="C253" i="9"/>
  <c r="H278" i="9"/>
  <c r="H267" i="9"/>
  <c r="E43" i="9"/>
  <c r="N273" i="9"/>
  <c r="F139" i="9"/>
  <c r="N118" i="9"/>
  <c r="L136" i="9"/>
  <c r="N35" i="9"/>
  <c r="C254" i="9"/>
  <c r="C278" i="9"/>
  <c r="I40" i="9"/>
  <c r="K46" i="9"/>
  <c r="K155" i="9"/>
  <c r="I67" i="9"/>
  <c r="H42" i="9"/>
  <c r="I202" i="9"/>
  <c r="C265" i="9"/>
  <c r="L110" i="9"/>
  <c r="H162" i="9"/>
  <c r="L45" i="9"/>
  <c r="C60" i="9"/>
  <c r="I192" i="9"/>
  <c r="O42" i="9"/>
  <c r="E152" i="9"/>
  <c r="L119" i="9"/>
  <c r="I71" i="9"/>
  <c r="N275" i="9"/>
  <c r="N176" i="9"/>
  <c r="N136" i="9"/>
  <c r="E178" i="9"/>
  <c r="F84" i="9"/>
  <c r="I255" i="9"/>
  <c r="H198" i="9"/>
  <c r="N148" i="9"/>
  <c r="L70" i="9"/>
  <c r="O138" i="9"/>
  <c r="E269" i="9"/>
  <c r="O150" i="9"/>
  <c r="O108" i="9"/>
  <c r="C124" i="9"/>
  <c r="C237" i="9"/>
  <c r="K146" i="9"/>
  <c r="I128" i="9"/>
  <c r="O125" i="9"/>
  <c r="H70" i="9"/>
  <c r="K185" i="9"/>
  <c r="F200" i="9"/>
  <c r="N24" i="9"/>
  <c r="N73" i="9"/>
  <c r="F279" i="9"/>
  <c r="O237" i="9"/>
  <c r="O36" i="3"/>
  <c r="I220" i="9"/>
  <c r="K36" i="3"/>
  <c r="O181" i="9"/>
  <c r="E40" i="9"/>
  <c r="H174" i="9"/>
  <c r="H242" i="9"/>
  <c r="E266" i="9"/>
  <c r="K6" i="5"/>
  <c r="H238" i="9"/>
  <c r="I235" i="9"/>
  <c r="K62" i="3"/>
  <c r="K9" i="5"/>
  <c r="F271" i="9"/>
  <c r="K12" i="5"/>
  <c r="E224" i="9"/>
  <c r="I193" i="9"/>
  <c r="I98" i="9"/>
  <c r="N252" i="9"/>
  <c r="O272" i="9"/>
  <c r="H43" i="9"/>
  <c r="H183" i="9"/>
  <c r="E45" i="9"/>
  <c r="H215" i="9"/>
  <c r="F157" i="9"/>
  <c r="C213" i="9"/>
  <c r="H147" i="9"/>
  <c r="I239" i="9"/>
  <c r="N41" i="9"/>
  <c r="K204" i="9"/>
  <c r="H265" i="9"/>
  <c r="O61" i="3"/>
  <c r="N177" i="9"/>
  <c r="N50" i="9"/>
  <c r="O43" i="9"/>
  <c r="K166" i="9"/>
  <c r="L216" i="9"/>
  <c r="F31" i="9"/>
  <c r="N100" i="9"/>
  <c r="H214" i="9"/>
  <c r="C105" i="9"/>
  <c r="K261" i="9"/>
  <c r="H60" i="9"/>
  <c r="L49" i="9"/>
  <c r="K233" i="9"/>
  <c r="I154" i="9"/>
  <c r="F119" i="9"/>
  <c r="L234" i="9"/>
  <c r="C112" i="9"/>
  <c r="O67" i="9"/>
  <c r="I179" i="9"/>
  <c r="N155" i="9"/>
  <c r="K250" i="9"/>
  <c r="K194" i="9"/>
  <c r="I116" i="9"/>
  <c r="C264" i="9"/>
  <c r="O187" i="9"/>
  <c r="O114" i="9"/>
  <c r="K29" i="9"/>
  <c r="O128" i="9"/>
  <c r="F67" i="9"/>
  <c r="K203" i="9"/>
  <c r="K77" i="9"/>
  <c r="O63" i="9"/>
  <c r="C142" i="9"/>
  <c r="O265" i="9"/>
  <c r="L232" i="9"/>
  <c r="O182" i="9"/>
  <c r="C156" i="9"/>
  <c r="L89" i="9"/>
  <c r="G72" i="3"/>
  <c r="O126" i="9"/>
  <c r="L236" i="9"/>
  <c r="O266" i="9"/>
  <c r="I201" i="9"/>
  <c r="K47" i="9"/>
  <c r="N279" i="9"/>
  <c r="H220" i="9"/>
  <c r="C185" i="9"/>
  <c r="C120" i="9"/>
  <c r="O215" i="9"/>
  <c r="G32" i="3"/>
  <c r="O67" i="3"/>
  <c r="I48" i="9"/>
  <c r="I162" i="9"/>
  <c r="N174" i="9"/>
  <c r="O136" i="9"/>
  <c r="E197" i="9"/>
  <c r="I174" i="9"/>
  <c r="K112" i="9"/>
  <c r="F195" i="9"/>
  <c r="F39" i="9"/>
  <c r="L147" i="9"/>
  <c r="E125" i="9"/>
  <c r="O71" i="9"/>
  <c r="K139" i="9"/>
  <c r="L279" i="9"/>
  <c r="I23" i="9"/>
  <c r="F123" i="9"/>
  <c r="I33" i="9"/>
  <c r="K16" i="3"/>
  <c r="K25" i="3"/>
  <c r="K47" i="3"/>
  <c r="K40" i="9"/>
  <c r="L27" i="9"/>
  <c r="C228" i="9"/>
  <c r="K280" i="9"/>
  <c r="O64" i="3"/>
  <c r="F126" i="9"/>
  <c r="F176" i="9"/>
  <c r="K259" i="9"/>
  <c r="G42" i="3"/>
  <c r="H152" i="9"/>
  <c r="K160" i="9"/>
  <c r="L184" i="9"/>
  <c r="I158" i="9"/>
  <c r="I218" i="9"/>
  <c r="I79" i="9"/>
  <c r="L73" i="9"/>
  <c r="C184" i="9"/>
  <c r="N65" i="9"/>
  <c r="E214" i="9"/>
  <c r="L39" i="9"/>
  <c r="K222" i="9"/>
  <c r="G41" i="3"/>
  <c r="I222" i="9"/>
  <c r="E22" i="9"/>
  <c r="F272" i="9"/>
  <c r="N200" i="9"/>
  <c r="C190" i="9"/>
  <c r="C25" i="9"/>
  <c r="C268" i="9"/>
  <c r="O166" i="9"/>
  <c r="C62" i="9"/>
  <c r="K74" i="3"/>
  <c r="O217" i="9"/>
  <c r="H85" i="9"/>
  <c r="F214" i="9"/>
  <c r="L241" i="9"/>
  <c r="K127" i="9"/>
  <c r="N27" i="9"/>
  <c r="O195" i="9"/>
  <c r="G69" i="3"/>
  <c r="O49" i="9"/>
  <c r="I262" i="9"/>
  <c r="L164" i="9"/>
  <c r="E251" i="9"/>
  <c r="I28" i="9"/>
  <c r="K253" i="9"/>
  <c r="O64" i="9"/>
  <c r="O37" i="9"/>
  <c r="C71" i="9"/>
  <c r="G40" i="3"/>
  <c r="L231" i="9"/>
  <c r="E117" i="9"/>
  <c r="H191" i="9"/>
  <c r="K119" i="9"/>
  <c r="N138" i="9"/>
  <c r="I279" i="9"/>
  <c r="O47" i="9"/>
  <c r="N199" i="9"/>
  <c r="O30" i="9"/>
  <c r="I153" i="9"/>
  <c r="H61" i="9"/>
  <c r="C101" i="9"/>
  <c r="C149" i="9"/>
  <c r="G57" i="3"/>
  <c r="O46" i="3"/>
  <c r="F230" i="9"/>
  <c r="I148" i="9"/>
  <c r="E123" i="9"/>
  <c r="C250" i="9"/>
  <c r="L271" i="9"/>
  <c r="F224" i="9"/>
  <c r="O280" i="9"/>
  <c r="L251" i="9"/>
  <c r="H277" i="9"/>
  <c r="N70" i="9"/>
  <c r="K81" i="9"/>
  <c r="H72" i="9"/>
  <c r="F61" i="9"/>
  <c r="H44" i="9"/>
  <c r="N189" i="9"/>
  <c r="L163" i="9"/>
  <c r="K20" i="5"/>
  <c r="H258" i="9"/>
  <c r="K179" i="9"/>
  <c r="K44" i="3"/>
  <c r="K79" i="9"/>
  <c r="E36" i="9"/>
  <c r="C161" i="9"/>
  <c r="O75" i="3"/>
  <c r="F29" i="9"/>
  <c r="H112" i="9"/>
  <c r="C46" i="9"/>
  <c r="N61" i="9"/>
  <c r="F196" i="9"/>
  <c r="N127" i="9"/>
  <c r="C204" i="9"/>
  <c r="K58" i="3"/>
  <c r="N29" i="9"/>
  <c r="L125" i="9"/>
  <c r="N204" i="9"/>
  <c r="F41" i="9"/>
  <c r="O104" i="9"/>
  <c r="H98" i="9"/>
  <c r="F47" i="9"/>
  <c r="N196" i="9"/>
  <c r="E221" i="9"/>
  <c r="E47" i="9"/>
  <c r="K128" i="9"/>
  <c r="L140" i="9"/>
  <c r="E217" i="9"/>
  <c r="F35" i="9"/>
  <c r="I184" i="9"/>
  <c r="K21" i="3"/>
  <c r="I214" i="9"/>
  <c r="F216" i="9"/>
  <c r="I50" i="9"/>
  <c r="L84" i="9"/>
  <c r="H252" i="9"/>
  <c r="N230" i="9"/>
  <c r="C197" i="9"/>
  <c r="K25" i="9"/>
  <c r="H100" i="9"/>
  <c r="E164" i="9"/>
  <c r="C147" i="9"/>
  <c r="N43" i="9"/>
  <c r="L47" i="9"/>
  <c r="I111" i="9"/>
  <c r="I77" i="9"/>
  <c r="F220" i="9"/>
  <c r="I274" i="9"/>
  <c r="K80" i="9"/>
  <c r="O251" i="9"/>
  <c r="H232" i="9"/>
  <c r="K90" i="9"/>
  <c r="E161" i="9"/>
  <c r="H194" i="9"/>
  <c r="N203" i="9"/>
  <c r="I263" i="9"/>
  <c r="K40" i="3"/>
  <c r="N154" i="9"/>
  <c r="L37" i="9"/>
  <c r="K219" i="9"/>
  <c r="H263" i="9"/>
  <c r="H138" i="9"/>
  <c r="C215" i="9"/>
  <c r="L35" i="9"/>
  <c r="O106" i="9"/>
  <c r="C82" i="9"/>
  <c r="L238" i="9"/>
  <c r="F40" i="9"/>
  <c r="L262" i="9"/>
  <c r="K191" i="9"/>
  <c r="I46" i="9"/>
  <c r="K256" i="9"/>
  <c r="K107" i="9"/>
  <c r="N68" i="9"/>
  <c r="I72" i="9"/>
  <c r="H165" i="9"/>
  <c r="K277" i="9"/>
  <c r="H237" i="9"/>
  <c r="L280" i="9"/>
  <c r="I27" i="9"/>
  <c r="F115" i="9"/>
  <c r="O123" i="9"/>
  <c r="F233" i="9"/>
  <c r="C74" i="9"/>
  <c r="L111" i="9"/>
  <c r="C262" i="9"/>
  <c r="H84" i="9"/>
  <c r="F27" i="9"/>
  <c r="E120" i="9"/>
  <c r="L151" i="9"/>
  <c r="O127" i="9"/>
  <c r="E126" i="9"/>
  <c r="K212" i="9"/>
  <c r="O143" i="9"/>
  <c r="E236" i="9"/>
  <c r="F188" i="9"/>
  <c r="F79" i="9"/>
  <c r="F98" i="9"/>
  <c r="N269" i="9"/>
  <c r="I68" i="9"/>
  <c r="E143" i="9"/>
  <c r="L266" i="9"/>
  <c r="F73" i="9"/>
  <c r="N108" i="9"/>
  <c r="F183" i="9"/>
  <c r="K120" i="9"/>
  <c r="F62" i="9"/>
  <c r="L219" i="9"/>
  <c r="O69" i="9"/>
  <c r="C30" i="9"/>
  <c r="K7" i="5"/>
  <c r="I264" i="9"/>
  <c r="K262" i="9"/>
  <c r="L67" i="9"/>
  <c r="F229" i="9"/>
  <c r="H114" i="9"/>
  <c r="L51" i="9"/>
  <c r="O278" i="9"/>
  <c r="K14" i="3"/>
  <c r="H102" i="9"/>
  <c r="I104" i="9"/>
  <c r="O239" i="9"/>
  <c r="K224" i="9"/>
  <c r="H36" i="9"/>
  <c r="N264" i="9"/>
  <c r="L33" i="9"/>
  <c r="H48" i="9"/>
  <c r="K103" i="9"/>
  <c r="I140" i="9"/>
  <c r="O45" i="3"/>
  <c r="I145" i="9"/>
  <c r="H46" i="9"/>
  <c r="O48" i="3"/>
  <c r="L118" i="9"/>
  <c r="I175" i="9"/>
  <c r="C109" i="9"/>
  <c r="H123" i="9"/>
  <c r="K42" i="9"/>
  <c r="N71" i="9"/>
  <c r="G66" i="3"/>
  <c r="H262" i="9"/>
  <c r="I272" i="9"/>
  <c r="O62" i="3"/>
  <c r="L43" i="9"/>
  <c r="O100" i="9"/>
  <c r="I123" i="9"/>
  <c r="N31" i="9"/>
  <c r="O160" i="9"/>
  <c r="N48" i="9"/>
  <c r="C164" i="9"/>
  <c r="K124" i="9"/>
  <c r="C233" i="9"/>
  <c r="I237" i="9"/>
  <c r="O165" i="9"/>
  <c r="K52" i="9"/>
  <c r="E157" i="9"/>
  <c r="F144" i="9"/>
  <c r="F199" i="9"/>
  <c r="I37" i="9"/>
  <c r="O139" i="9"/>
  <c r="C201" i="9"/>
  <c r="I190" i="9"/>
  <c r="K67" i="9"/>
  <c r="H264" i="9"/>
  <c r="E262" i="9"/>
  <c r="H29" i="9"/>
  <c r="K20" i="3"/>
  <c r="H274" i="9"/>
  <c r="N46" i="9"/>
  <c r="K223" i="9"/>
  <c r="N224" i="9"/>
  <c r="I126" i="9"/>
  <c r="K33" i="3"/>
  <c r="E184" i="9"/>
  <c r="F142" i="9"/>
  <c r="O256" i="9"/>
  <c r="F174" i="9"/>
  <c r="N63" i="9"/>
  <c r="O101" i="9"/>
  <c r="G31" i="3"/>
  <c r="N47" i="9"/>
  <c r="E199" i="9"/>
  <c r="F242" i="9"/>
  <c r="O65" i="9"/>
  <c r="C267" i="9"/>
  <c r="O70" i="9"/>
  <c r="L112" i="9"/>
  <c r="L105" i="9"/>
  <c r="I251" i="9"/>
  <c r="L200" i="9"/>
  <c r="E237" i="9"/>
  <c r="H107" i="9"/>
  <c r="E26" i="9"/>
  <c r="K74" i="9"/>
  <c r="H122" i="9"/>
  <c r="N236" i="9"/>
  <c r="K48" i="3"/>
  <c r="O259" i="9"/>
  <c r="F121" i="9"/>
  <c r="H266" i="9"/>
  <c r="C69" i="9"/>
  <c r="K123" i="9"/>
  <c r="L277" i="9"/>
  <c r="I186" i="9"/>
  <c r="C277" i="9"/>
  <c r="I236" i="9"/>
  <c r="C68" i="9"/>
  <c r="L62" i="9"/>
  <c r="I103" i="9"/>
  <c r="K239" i="9"/>
  <c r="N77" i="9"/>
  <c r="O69" i="3"/>
  <c r="H279" i="9"/>
  <c r="E220" i="9"/>
  <c r="L177" i="9"/>
  <c r="C28" i="9"/>
  <c r="I83" i="9"/>
  <c r="O120" i="9"/>
  <c r="K180" i="9"/>
  <c r="O220" i="9"/>
  <c r="F88" i="9"/>
  <c r="K60" i="9"/>
  <c r="K50" i="9"/>
  <c r="E38" i="9"/>
  <c r="H236" i="9"/>
  <c r="K188" i="9"/>
  <c r="E263" i="9"/>
  <c r="K18" i="5"/>
  <c r="C166" i="9"/>
  <c r="L115" i="9"/>
  <c r="N80" i="9"/>
  <c r="K24" i="3"/>
  <c r="N156" i="9"/>
  <c r="F184" i="9"/>
  <c r="K226" i="9"/>
  <c r="I105" i="9"/>
  <c r="K156" i="9"/>
  <c r="I119" i="9"/>
  <c r="C275" i="9"/>
  <c r="O175" i="9"/>
  <c r="H39" i="9"/>
  <c r="C279" i="9"/>
  <c r="N162" i="9"/>
  <c r="C153" i="9"/>
  <c r="H151" i="9"/>
  <c r="K213" i="9"/>
  <c r="K72" i="3"/>
  <c r="G65" i="3"/>
  <c r="C117" i="9"/>
  <c r="H106" i="9"/>
  <c r="H270" i="9"/>
  <c r="C274" i="9"/>
  <c r="I242" i="9"/>
  <c r="K192" i="9"/>
  <c r="E202" i="9"/>
  <c r="E109" i="9"/>
  <c r="L113" i="9"/>
  <c r="N242" i="9"/>
  <c r="N228" i="9"/>
  <c r="E241" i="9"/>
  <c r="N25" i="9"/>
  <c r="O32" i="9"/>
  <c r="L25" i="9"/>
  <c r="K265" i="9"/>
  <c r="N137" i="9"/>
  <c r="E46" i="9"/>
  <c r="O250" i="9"/>
  <c r="F187" i="9"/>
  <c r="O60" i="3"/>
  <c r="L60" i="9"/>
  <c r="L202" i="9"/>
  <c r="L26" i="9"/>
  <c r="I109" i="9"/>
  <c r="K190" i="9"/>
  <c r="E231" i="9"/>
  <c r="L195" i="9"/>
  <c r="H150" i="9"/>
  <c r="H269" i="9"/>
  <c r="H120" i="9"/>
  <c r="O158" i="9"/>
  <c r="L273" i="9"/>
  <c r="E194" i="9"/>
  <c r="F32" i="9"/>
  <c r="H127" i="9"/>
  <c r="F71" i="9"/>
  <c r="C235" i="9"/>
  <c r="H192" i="9"/>
  <c r="L71" i="9"/>
  <c r="C231" i="9"/>
  <c r="F23" i="9"/>
  <c r="K116" i="9"/>
  <c r="H143" i="9"/>
  <c r="I160" i="9"/>
  <c r="E153" i="9"/>
  <c r="I63" i="9"/>
  <c r="H63" i="9"/>
  <c r="I74" i="9"/>
  <c r="L256" i="9"/>
  <c r="C114" i="9"/>
  <c r="O276" i="9"/>
  <c r="O41" i="3"/>
  <c r="N194" i="9"/>
  <c r="N78" i="9"/>
  <c r="E90" i="9"/>
  <c r="F124" i="9"/>
  <c r="E156" i="9"/>
  <c r="L157" i="9"/>
  <c r="F33" i="9"/>
  <c r="E69" i="9"/>
  <c r="L176" i="9"/>
  <c r="F70" i="9"/>
  <c r="O77" i="9"/>
  <c r="K87" i="9"/>
  <c r="L156" i="9"/>
  <c r="I260" i="9"/>
  <c r="H224" i="9"/>
  <c r="F277" i="9"/>
  <c r="I164" i="9"/>
  <c r="N216" i="9"/>
  <c r="E52" i="9"/>
  <c r="K13" i="3"/>
  <c r="I149" i="9"/>
  <c r="F30" i="9"/>
  <c r="L272" i="9"/>
  <c r="F87" i="9"/>
  <c r="C126" i="9"/>
  <c r="H82" i="9"/>
  <c r="G34" i="3"/>
  <c r="K228" i="9"/>
  <c r="L233" i="9"/>
  <c r="O212" i="9"/>
  <c r="K69" i="3"/>
  <c r="O73" i="3"/>
  <c r="E104" i="9"/>
  <c r="K159" i="9"/>
  <c r="I275" i="9"/>
  <c r="N81" i="9"/>
  <c r="C137" i="9"/>
  <c r="E272" i="9"/>
  <c r="C212" i="9"/>
  <c r="H86" i="9"/>
  <c r="F36" i="9"/>
  <c r="N111" i="9"/>
  <c r="O66" i="3"/>
  <c r="E107" i="9"/>
  <c r="C115" i="9"/>
  <c r="E176" i="9"/>
  <c r="K89" i="9"/>
  <c r="O148" i="9"/>
  <c r="O277" i="9"/>
  <c r="L192" i="9"/>
  <c r="N87" i="9"/>
  <c r="K109" i="9"/>
  <c r="E226" i="9"/>
  <c r="O31" i="9"/>
  <c r="C41" i="9"/>
  <c r="L137" i="9"/>
  <c r="L278" i="9"/>
  <c r="O221" i="9"/>
  <c r="E182" i="9"/>
  <c r="K48" i="9"/>
  <c r="O261" i="9"/>
  <c r="F109" i="9"/>
  <c r="K175" i="9"/>
  <c r="H254" i="9"/>
  <c r="F231" i="9"/>
  <c r="N180" i="9"/>
  <c r="O242" i="9"/>
  <c r="C29" i="9"/>
  <c r="H111" i="9"/>
  <c r="L253" i="9"/>
  <c r="C257" i="9"/>
  <c r="N28" i="9"/>
  <c r="E144" i="9"/>
  <c r="I231" i="9"/>
  <c r="C36" i="9"/>
  <c r="N237" i="9"/>
  <c r="H177" i="9"/>
  <c r="N86" i="9"/>
  <c r="I144" i="9"/>
  <c r="E192" i="9"/>
  <c r="K98" i="9"/>
  <c r="I271" i="9"/>
  <c r="I276" i="9"/>
  <c r="K19" i="3"/>
  <c r="L189" i="9"/>
  <c r="O110" i="9"/>
  <c r="K148" i="9"/>
  <c r="O34" i="9"/>
  <c r="C182" i="9"/>
  <c r="G36" i="3"/>
  <c r="L100" i="9"/>
  <c r="E105" i="9"/>
  <c r="E158" i="9"/>
  <c r="H110" i="9"/>
  <c r="N103" i="9"/>
  <c r="F137" i="9"/>
  <c r="N193" i="9"/>
  <c r="N257" i="9"/>
  <c r="I183" i="9"/>
  <c r="K68" i="3"/>
  <c r="K125" i="9"/>
  <c r="E67" i="9"/>
  <c r="H184" i="9"/>
  <c r="C85" i="9"/>
  <c r="E82" i="9"/>
  <c r="E193" i="9"/>
  <c r="F201" i="9"/>
  <c r="I62" i="9"/>
  <c r="I265" i="9"/>
  <c r="H88" i="9"/>
  <c r="O46" i="9"/>
  <c r="I233" i="9"/>
  <c r="F258" i="9"/>
  <c r="F237" i="9"/>
  <c r="I196" i="9"/>
  <c r="L86" i="9"/>
  <c r="O260" i="9"/>
  <c r="L221" i="9"/>
  <c r="E28" i="9"/>
  <c r="I60" i="9"/>
  <c r="L214" i="9"/>
  <c r="O23" i="9"/>
  <c r="O193" i="9"/>
  <c r="L223" i="9"/>
  <c r="O262" i="9"/>
  <c r="K199" i="9"/>
  <c r="K142" i="9"/>
  <c r="N231" i="9"/>
  <c r="E230" i="9"/>
  <c r="E63" i="9"/>
  <c r="N85" i="9"/>
  <c r="E180" i="9"/>
  <c r="H66" i="9"/>
  <c r="E113" i="9"/>
  <c r="O72" i="9"/>
  <c r="K61" i="3"/>
  <c r="F107" i="9"/>
  <c r="L108" i="9"/>
  <c r="I141" i="9"/>
  <c r="I259" i="9"/>
  <c r="N184" i="9"/>
  <c r="H158" i="9"/>
  <c r="O35" i="9"/>
  <c r="L65" i="9"/>
  <c r="O74" i="9"/>
  <c r="L61" i="3" l="1"/>
  <c r="N61" i="3"/>
  <c r="M61" i="3"/>
  <c r="I92" i="9"/>
  <c r="H92" i="9" s="1"/>
  <c r="G4" i="9" s="1"/>
  <c r="D85" i="9"/>
  <c r="G85" i="9"/>
  <c r="J85" i="9"/>
  <c r="M85" i="9"/>
  <c r="N68" i="3"/>
  <c r="M68" i="3"/>
  <c r="L68" i="3"/>
  <c r="J36" i="3"/>
  <c r="H36" i="3"/>
  <c r="I36" i="3"/>
  <c r="J182" i="9"/>
  <c r="G182" i="9"/>
  <c r="M182" i="9"/>
  <c r="D182" i="9"/>
  <c r="N19" i="3"/>
  <c r="M19" i="3"/>
  <c r="L19" i="3"/>
  <c r="M36" i="9"/>
  <c r="J36" i="9"/>
  <c r="D36" i="9"/>
  <c r="G36" i="9"/>
  <c r="D257" i="9"/>
  <c r="M257" i="9"/>
  <c r="J257" i="9"/>
  <c r="G257" i="9"/>
  <c r="M29" i="9"/>
  <c r="D29" i="9"/>
  <c r="G29" i="9"/>
  <c r="J29" i="9"/>
  <c r="G41" i="9"/>
  <c r="D41" i="9"/>
  <c r="M41" i="9"/>
  <c r="J41" i="9"/>
  <c r="D115" i="9"/>
  <c r="M115" i="9"/>
  <c r="J115" i="9"/>
  <c r="G115" i="9"/>
  <c r="R66" i="3"/>
  <c r="Q66" i="3"/>
  <c r="P66" i="3"/>
  <c r="C244" i="9"/>
  <c r="G212" i="9"/>
  <c r="M212" i="9"/>
  <c r="J212" i="9"/>
  <c r="D212" i="9"/>
  <c r="J137" i="9"/>
  <c r="D137" i="9"/>
  <c r="G137" i="9"/>
  <c r="M137" i="9"/>
  <c r="Q73" i="3"/>
  <c r="P73" i="3"/>
  <c r="R73" i="3"/>
  <c r="L69" i="3"/>
  <c r="M69" i="3"/>
  <c r="N69" i="3"/>
  <c r="O244" i="9"/>
  <c r="N244" i="9" s="1"/>
  <c r="M10" i="9" s="1"/>
  <c r="H34" i="3"/>
  <c r="I34" i="3"/>
  <c r="J34" i="3"/>
  <c r="D126" i="9"/>
  <c r="G126" i="9"/>
  <c r="M126" i="9"/>
  <c r="J126" i="9"/>
  <c r="L13" i="3"/>
  <c r="N13" i="3"/>
  <c r="M13" i="3"/>
  <c r="Q41" i="3"/>
  <c r="R41" i="3"/>
  <c r="P41" i="3"/>
  <c r="G114" i="9"/>
  <c r="M114" i="9"/>
  <c r="D114" i="9"/>
  <c r="J114" i="9"/>
  <c r="D231" i="9"/>
  <c r="G231" i="9"/>
  <c r="J231" i="9"/>
  <c r="M231" i="9"/>
  <c r="M235" i="9"/>
  <c r="G235" i="9"/>
  <c r="D235" i="9"/>
  <c r="J235" i="9"/>
  <c r="L92" i="9"/>
  <c r="K92" i="9" s="1"/>
  <c r="J4" i="9" s="1"/>
  <c r="Q60" i="3"/>
  <c r="R60" i="3"/>
  <c r="P60" i="3"/>
  <c r="O282" i="9"/>
  <c r="N282" i="9" s="1"/>
  <c r="M14" i="9" s="1"/>
  <c r="G274" i="9"/>
  <c r="J274" i="9"/>
  <c r="M274" i="9"/>
  <c r="D274" i="9"/>
  <c r="G117" i="9"/>
  <c r="M117" i="9"/>
  <c r="J117" i="9"/>
  <c r="D117" i="9"/>
  <c r="I65" i="3"/>
  <c r="H65" i="3"/>
  <c r="J65" i="3"/>
  <c r="N72" i="3"/>
  <c r="L72" i="3"/>
  <c r="M72" i="3"/>
  <c r="M153" i="9"/>
  <c r="D153" i="9"/>
  <c r="G153" i="9"/>
  <c r="J153" i="9"/>
  <c r="J279" i="9"/>
  <c r="D279" i="9"/>
  <c r="G279" i="9"/>
  <c r="M279" i="9"/>
  <c r="D275" i="9"/>
  <c r="G275" i="9"/>
  <c r="M275" i="9"/>
  <c r="J275" i="9"/>
  <c r="L24" i="3"/>
  <c r="N24" i="3"/>
  <c r="M24" i="3"/>
  <c r="J166" i="9"/>
  <c r="D166" i="9"/>
  <c r="G166" i="9"/>
  <c r="M166" i="9"/>
  <c r="M18" i="5"/>
  <c r="L18" i="5"/>
  <c r="N18" i="5"/>
  <c r="M28" i="9"/>
  <c r="J28" i="9"/>
  <c r="G28" i="9"/>
  <c r="D28" i="9"/>
  <c r="R69" i="3"/>
  <c r="Q69" i="3"/>
  <c r="P69" i="3"/>
  <c r="M68" i="9"/>
  <c r="J68" i="9"/>
  <c r="G68" i="9"/>
  <c r="D68" i="9"/>
  <c r="M277" i="9"/>
  <c r="G277" i="9"/>
  <c r="D277" i="9"/>
  <c r="J277" i="9"/>
  <c r="D69" i="9"/>
  <c r="J69" i="9"/>
  <c r="M69" i="9"/>
  <c r="G69" i="9"/>
  <c r="M48" i="3"/>
  <c r="N48" i="3"/>
  <c r="L48" i="3"/>
  <c r="M267" i="9"/>
  <c r="J267" i="9"/>
  <c r="G267" i="9"/>
  <c r="D267" i="9"/>
  <c r="J31" i="3"/>
  <c r="I31" i="3"/>
  <c r="H31" i="3"/>
  <c r="F206" i="9"/>
  <c r="E206" i="9" s="1"/>
  <c r="D8" i="9" s="1"/>
  <c r="M33" i="3"/>
  <c r="N33" i="3"/>
  <c r="L33" i="3"/>
  <c r="M20" i="3"/>
  <c r="N20" i="3"/>
  <c r="L20" i="3"/>
  <c r="M201" i="9"/>
  <c r="D201" i="9"/>
  <c r="G201" i="9"/>
  <c r="J201" i="9"/>
  <c r="G233" i="9"/>
  <c r="M233" i="9"/>
  <c r="D233" i="9"/>
  <c r="J233" i="9"/>
  <c r="G164" i="9"/>
  <c r="D164" i="9"/>
  <c r="M164" i="9"/>
  <c r="J164" i="9"/>
  <c r="P62" i="3"/>
  <c r="R62" i="3"/>
  <c r="Q62" i="3"/>
  <c r="H66" i="3"/>
  <c r="J66" i="3"/>
  <c r="I66" i="3"/>
  <c r="J109" i="9"/>
  <c r="G109" i="9"/>
  <c r="D109" i="9"/>
  <c r="M109" i="9"/>
  <c r="P48" i="3"/>
  <c r="Q48" i="3"/>
  <c r="R48" i="3"/>
  <c r="P45" i="3"/>
  <c r="Q45" i="3"/>
  <c r="R45" i="3"/>
  <c r="N14" i="3"/>
  <c r="M14" i="3"/>
  <c r="L14" i="3"/>
  <c r="M7" i="5"/>
  <c r="L7" i="5"/>
  <c r="N7" i="5"/>
  <c r="J30" i="9"/>
  <c r="D30" i="9"/>
  <c r="M30" i="9"/>
  <c r="G30" i="9"/>
  <c r="F130" i="9"/>
  <c r="E130" i="9" s="1"/>
  <c r="D6" i="9" s="1"/>
  <c r="D262" i="9"/>
  <c r="M262" i="9"/>
  <c r="J262" i="9"/>
  <c r="G262" i="9"/>
  <c r="D74" i="9"/>
  <c r="M74" i="9"/>
  <c r="G74" i="9"/>
  <c r="J74" i="9"/>
  <c r="D82" i="9"/>
  <c r="J82" i="9"/>
  <c r="G82" i="9"/>
  <c r="M82" i="9"/>
  <c r="J215" i="9"/>
  <c r="G215" i="9"/>
  <c r="D215" i="9"/>
  <c r="M215" i="9"/>
  <c r="N40" i="3"/>
  <c r="M40" i="3"/>
  <c r="L40" i="3"/>
  <c r="J147" i="9"/>
  <c r="G147" i="9"/>
  <c r="D147" i="9"/>
  <c r="M147" i="9"/>
  <c r="G197" i="9"/>
  <c r="M197" i="9"/>
  <c r="D197" i="9"/>
  <c r="J197" i="9"/>
  <c r="N21" i="3"/>
  <c r="M21" i="3"/>
  <c r="L21" i="3"/>
  <c r="N58" i="3"/>
  <c r="M58" i="3"/>
  <c r="L58" i="3"/>
  <c r="D204" i="9"/>
  <c r="M204" i="9"/>
  <c r="J204" i="9"/>
  <c r="G204" i="9"/>
  <c r="G46" i="9"/>
  <c r="D46" i="9"/>
  <c r="J46" i="9"/>
  <c r="M46" i="9"/>
  <c r="R75" i="3"/>
  <c r="Q75" i="3"/>
  <c r="P75" i="3"/>
  <c r="J161" i="9"/>
  <c r="G161" i="9"/>
  <c r="M161" i="9"/>
  <c r="D161" i="9"/>
  <c r="M44" i="3"/>
  <c r="L44" i="3"/>
  <c r="N44" i="3"/>
  <c r="M20" i="5"/>
  <c r="N20" i="5"/>
  <c r="L20" i="5"/>
  <c r="M250" i="9"/>
  <c r="G250" i="9"/>
  <c r="J250" i="9"/>
  <c r="C282" i="9"/>
  <c r="D250" i="9"/>
  <c r="Q46" i="3"/>
  <c r="R46" i="3"/>
  <c r="P46" i="3"/>
  <c r="J57" i="3"/>
  <c r="I57" i="3"/>
  <c r="H57" i="3"/>
  <c r="M149" i="9"/>
  <c r="G149" i="9"/>
  <c r="D149" i="9"/>
  <c r="J149" i="9"/>
  <c r="J101" i="9"/>
  <c r="M101" i="9"/>
  <c r="G101" i="9"/>
  <c r="D101" i="9"/>
  <c r="I40" i="3"/>
  <c r="J40" i="3"/>
  <c r="H40" i="3"/>
  <c r="G71" i="9"/>
  <c r="M71" i="9"/>
  <c r="D71" i="9"/>
  <c r="J71" i="9"/>
  <c r="H69" i="3"/>
  <c r="I69" i="3"/>
  <c r="J69" i="3"/>
  <c r="N74" i="3"/>
  <c r="L74" i="3"/>
  <c r="M74" i="3"/>
  <c r="J62" i="9"/>
  <c r="M62" i="9"/>
  <c r="D62" i="9"/>
  <c r="G62" i="9"/>
  <c r="G268" i="9"/>
  <c r="M268" i="9"/>
  <c r="D268" i="9"/>
  <c r="J268" i="9"/>
  <c r="D25" i="9"/>
  <c r="M25" i="9"/>
  <c r="G25" i="9"/>
  <c r="J25" i="9"/>
  <c r="M190" i="9"/>
  <c r="D190" i="9"/>
  <c r="J190" i="9"/>
  <c r="G190" i="9"/>
  <c r="J41" i="3"/>
  <c r="H41" i="3"/>
  <c r="I41" i="3"/>
  <c r="G184" i="9"/>
  <c r="M184" i="9"/>
  <c r="J184" i="9"/>
  <c r="D184" i="9"/>
  <c r="J42" i="3"/>
  <c r="I42" i="3"/>
  <c r="H42" i="3"/>
  <c r="Q64" i="3"/>
  <c r="R64" i="3"/>
  <c r="P64" i="3"/>
  <c r="J228" i="9"/>
  <c r="D228" i="9"/>
  <c r="G228" i="9"/>
  <c r="M228" i="9"/>
  <c r="M47" i="3"/>
  <c r="N47" i="3"/>
  <c r="L47" i="3"/>
  <c r="M25" i="3"/>
  <c r="L25" i="3"/>
  <c r="N25" i="3"/>
  <c r="M16" i="3"/>
  <c r="L16" i="3"/>
  <c r="N16" i="3"/>
  <c r="I206" i="9"/>
  <c r="H206" i="9" s="1"/>
  <c r="G8" i="9" s="1"/>
  <c r="O168" i="9"/>
  <c r="N168" i="9" s="1"/>
  <c r="M12" i="9" s="1"/>
  <c r="P67" i="3"/>
  <c r="R67" i="3"/>
  <c r="Q67" i="3"/>
  <c r="H32" i="3"/>
  <c r="I32" i="3"/>
  <c r="J32" i="3"/>
  <c r="M120" i="9"/>
  <c r="J120" i="9"/>
  <c r="D120" i="9"/>
  <c r="G120" i="9"/>
  <c r="G185" i="9"/>
  <c r="J185" i="9"/>
  <c r="M185" i="9"/>
  <c r="D185" i="9"/>
  <c r="I72" i="3"/>
  <c r="H72" i="3"/>
  <c r="J72" i="3"/>
  <c r="D156" i="9"/>
  <c r="G156" i="9"/>
  <c r="J156" i="9"/>
  <c r="M156" i="9"/>
  <c r="M142" i="9"/>
  <c r="J142" i="9"/>
  <c r="D142" i="9"/>
  <c r="G142" i="9"/>
  <c r="J264" i="9"/>
  <c r="M264" i="9"/>
  <c r="D264" i="9"/>
  <c r="G264" i="9"/>
  <c r="G112" i="9"/>
  <c r="J112" i="9"/>
  <c r="D112" i="9"/>
  <c r="M112" i="9"/>
  <c r="M105" i="9"/>
  <c r="G105" i="9"/>
  <c r="D105" i="9"/>
  <c r="J105" i="9"/>
  <c r="R61" i="3"/>
  <c r="P61" i="3"/>
  <c r="Q61" i="3"/>
  <c r="G213" i="9"/>
  <c r="D213" i="9"/>
  <c r="M213" i="9"/>
  <c r="J213" i="9"/>
  <c r="I130" i="9"/>
  <c r="H130" i="9" s="1"/>
  <c r="G6" i="9" s="1"/>
  <c r="N12" i="5"/>
  <c r="L12" i="5"/>
  <c r="M12" i="5"/>
  <c r="N9" i="5"/>
  <c r="M9" i="5"/>
  <c r="L9" i="5"/>
  <c r="M62" i="3"/>
  <c r="L62" i="3"/>
  <c r="N62" i="3"/>
  <c r="M6" i="5"/>
  <c r="N6" i="5"/>
  <c r="L6" i="5"/>
  <c r="N36" i="3"/>
  <c r="M36" i="3"/>
  <c r="L36" i="3"/>
  <c r="R36" i="3"/>
  <c r="Q36" i="3"/>
  <c r="P36" i="3"/>
  <c r="G237" i="9"/>
  <c r="J237" i="9"/>
  <c r="D237" i="9"/>
  <c r="M237" i="9"/>
  <c r="G124" i="9"/>
  <c r="D124" i="9"/>
  <c r="M124" i="9"/>
  <c r="J124" i="9"/>
  <c r="G60" i="9"/>
  <c r="C92" i="9"/>
  <c r="M60" i="9"/>
  <c r="D60" i="9"/>
  <c r="J60" i="9"/>
  <c r="G265" i="9"/>
  <c r="D265" i="9"/>
  <c r="J265" i="9"/>
  <c r="M265" i="9"/>
  <c r="G278" i="9"/>
  <c r="M278" i="9"/>
  <c r="D278" i="9"/>
  <c r="J278" i="9"/>
  <c r="M254" i="9"/>
  <c r="G254" i="9"/>
  <c r="D254" i="9"/>
  <c r="J254" i="9"/>
  <c r="L168" i="9"/>
  <c r="K168" i="9" s="1"/>
  <c r="J12" i="9" s="1"/>
  <c r="M253" i="9"/>
  <c r="G253" i="9"/>
  <c r="D253" i="9"/>
  <c r="J253" i="9"/>
  <c r="G79" i="9"/>
  <c r="D79" i="9"/>
  <c r="M79" i="9"/>
  <c r="J79" i="9"/>
  <c r="L43" i="3"/>
  <c r="N43" i="3"/>
  <c r="M43" i="3"/>
  <c r="J123" i="9"/>
  <c r="M123" i="9"/>
  <c r="D123" i="9"/>
  <c r="G123" i="9"/>
  <c r="G239" i="9"/>
  <c r="M239" i="9"/>
  <c r="D239" i="9"/>
  <c r="J239" i="9"/>
  <c r="D49" i="9"/>
  <c r="J49" i="9"/>
  <c r="M49" i="9"/>
  <c r="G49" i="9"/>
  <c r="G81" i="9"/>
  <c r="J81" i="9"/>
  <c r="M81" i="9"/>
  <c r="D81" i="9"/>
  <c r="G98" i="9"/>
  <c r="C130" i="9"/>
  <c r="D98" i="9"/>
  <c r="M98" i="9"/>
  <c r="J98" i="9"/>
  <c r="D251" i="9"/>
  <c r="G251" i="9"/>
  <c r="M251" i="9"/>
  <c r="J251" i="9"/>
  <c r="J218" i="9"/>
  <c r="M218" i="9"/>
  <c r="G218" i="9"/>
  <c r="D218" i="9"/>
  <c r="H37" i="3"/>
  <c r="I37" i="3"/>
  <c r="J37" i="3"/>
  <c r="D271" i="9"/>
  <c r="J271" i="9"/>
  <c r="G271" i="9"/>
  <c r="M271" i="9"/>
  <c r="M50" i="9"/>
  <c r="D50" i="9"/>
  <c r="G50" i="9"/>
  <c r="J50" i="9"/>
  <c r="M160" i="9"/>
  <c r="G160" i="9"/>
  <c r="D160" i="9"/>
  <c r="J160" i="9"/>
  <c r="I244" i="9"/>
  <c r="H244" i="9" s="1"/>
  <c r="G10" i="9" s="1"/>
  <c r="R71" i="3"/>
  <c r="P71" i="3"/>
  <c r="Q71" i="3"/>
  <c r="J51" i="9"/>
  <c r="M51" i="9"/>
  <c r="G51" i="9"/>
  <c r="D51" i="9"/>
  <c r="J203" i="9"/>
  <c r="D203" i="9"/>
  <c r="M203" i="9"/>
  <c r="G203" i="9"/>
  <c r="Q37" i="3"/>
  <c r="R37" i="3"/>
  <c r="P37" i="3"/>
  <c r="G226" i="9"/>
  <c r="M226" i="9"/>
  <c r="J226" i="9"/>
  <c r="D226" i="9"/>
  <c r="D148" i="9"/>
  <c r="J148" i="9"/>
  <c r="M148" i="9"/>
  <c r="G148" i="9"/>
  <c r="L18" i="3"/>
  <c r="N18" i="3"/>
  <c r="M18" i="3"/>
  <c r="H45" i="3"/>
  <c r="J45" i="3"/>
  <c r="I45" i="3"/>
  <c r="G128" i="9"/>
  <c r="J128" i="9"/>
  <c r="D128" i="9"/>
  <c r="M128" i="9"/>
  <c r="J138" i="9"/>
  <c r="D138" i="9"/>
  <c r="M138" i="9"/>
  <c r="G138" i="9"/>
  <c r="N41" i="3"/>
  <c r="L41" i="3"/>
  <c r="M41" i="3"/>
  <c r="D116" i="9"/>
  <c r="M116" i="9"/>
  <c r="J116" i="9"/>
  <c r="G116" i="9"/>
  <c r="L37" i="3"/>
  <c r="M37" i="3"/>
  <c r="N37" i="3"/>
  <c r="N11" i="3"/>
  <c r="M11" i="3"/>
  <c r="L11" i="3"/>
  <c r="D39" i="9"/>
  <c r="G39" i="9"/>
  <c r="M39" i="9"/>
  <c r="J39" i="9"/>
  <c r="N15" i="5"/>
  <c r="L15" i="5"/>
  <c r="M15" i="5"/>
  <c r="D216" i="9"/>
  <c r="J216" i="9"/>
  <c r="G216" i="9"/>
  <c r="M216" i="9"/>
  <c r="L17" i="3"/>
  <c r="N17" i="3"/>
  <c r="M17" i="3"/>
  <c r="M45" i="9"/>
  <c r="J45" i="9"/>
  <c r="D45" i="9"/>
  <c r="G45" i="9"/>
  <c r="H62" i="3"/>
  <c r="I62" i="3"/>
  <c r="J62" i="3"/>
  <c r="G146" i="9"/>
  <c r="D146" i="9"/>
  <c r="M146" i="9"/>
  <c r="J146" i="9"/>
  <c r="N8" i="3"/>
  <c r="L8" i="3"/>
  <c r="M8" i="3"/>
  <c r="L7" i="3"/>
  <c r="M7" i="3"/>
  <c r="N7" i="3"/>
  <c r="P50" i="3"/>
  <c r="R50" i="3"/>
  <c r="Q50" i="3"/>
  <c r="N31" i="3"/>
  <c r="L31" i="3"/>
  <c r="M31" i="3"/>
  <c r="M199" i="9"/>
  <c r="D199" i="9"/>
  <c r="G199" i="9"/>
  <c r="J199" i="9"/>
  <c r="D162" i="9"/>
  <c r="J162" i="9"/>
  <c r="G162" i="9"/>
  <c r="M162" i="9"/>
  <c r="M16" i="5"/>
  <c r="N16" i="5"/>
  <c r="L16" i="5"/>
  <c r="M73" i="9"/>
  <c r="G73" i="9"/>
  <c r="J73" i="9"/>
  <c r="D73" i="9"/>
  <c r="I39" i="3"/>
  <c r="H39" i="3"/>
  <c r="J39" i="3"/>
  <c r="O92" i="9"/>
  <c r="N92" i="9" s="1"/>
  <c r="M4" i="9" s="1"/>
  <c r="M280" i="9"/>
  <c r="G280" i="9"/>
  <c r="J280" i="9"/>
  <c r="D280" i="9"/>
  <c r="G165" i="9"/>
  <c r="J165" i="9"/>
  <c r="D165" i="9"/>
  <c r="M165" i="9"/>
  <c r="M86" i="9"/>
  <c r="G86" i="9"/>
  <c r="J86" i="9"/>
  <c r="D86" i="9"/>
  <c r="L206" i="9"/>
  <c r="K206" i="9" s="1"/>
  <c r="J8" i="9" s="1"/>
  <c r="J163" i="9"/>
  <c r="G163" i="9"/>
  <c r="D163" i="9"/>
  <c r="M163" i="9"/>
  <c r="M269" i="9"/>
  <c r="D269" i="9"/>
  <c r="G269" i="9"/>
  <c r="J269" i="9"/>
  <c r="M195" i="9"/>
  <c r="G195" i="9"/>
  <c r="J195" i="9"/>
  <c r="D195" i="9"/>
  <c r="G87" i="9"/>
  <c r="J87" i="9"/>
  <c r="D87" i="9"/>
  <c r="M87" i="9"/>
  <c r="P58" i="3"/>
  <c r="Q58" i="3"/>
  <c r="R58" i="3"/>
  <c r="M200" i="9"/>
  <c r="J200" i="9"/>
  <c r="G200" i="9"/>
  <c r="D200" i="9"/>
  <c r="G23" i="9"/>
  <c r="D23" i="9"/>
  <c r="J23" i="9"/>
  <c r="M23" i="9"/>
  <c r="L66" i="3"/>
  <c r="N66" i="3"/>
  <c r="M66" i="3"/>
  <c r="M46" i="3"/>
  <c r="L46" i="3"/>
  <c r="N46" i="3"/>
  <c r="M183" i="9"/>
  <c r="G183" i="9"/>
  <c r="D183" i="9"/>
  <c r="J183" i="9"/>
  <c r="G258" i="9"/>
  <c r="M258" i="9"/>
  <c r="D258" i="9"/>
  <c r="J258" i="9"/>
  <c r="D236" i="9"/>
  <c r="J236" i="9"/>
  <c r="M236" i="9"/>
  <c r="G236" i="9"/>
  <c r="D270" i="9"/>
  <c r="J270" i="9"/>
  <c r="M270" i="9"/>
  <c r="G270" i="9"/>
  <c r="M65" i="9"/>
  <c r="G65" i="9"/>
  <c r="J65" i="9"/>
  <c r="D65" i="9"/>
  <c r="M64" i="9"/>
  <c r="D64" i="9"/>
  <c r="J64" i="9"/>
  <c r="G64" i="9"/>
  <c r="D110" i="9"/>
  <c r="M110" i="9"/>
  <c r="G110" i="9"/>
  <c r="J110" i="9"/>
  <c r="N22" i="5"/>
  <c r="L22" i="5"/>
  <c r="M22" i="5"/>
  <c r="R74" i="3"/>
  <c r="Q74" i="3"/>
  <c r="P74" i="3"/>
  <c r="J242" i="9"/>
  <c r="M242" i="9"/>
  <c r="D242" i="9"/>
  <c r="G242" i="9"/>
  <c r="J56" i="3"/>
  <c r="H56" i="3"/>
  <c r="I56" i="3"/>
  <c r="Q40" i="3"/>
  <c r="R40" i="3"/>
  <c r="P40" i="3"/>
  <c r="M238" i="9"/>
  <c r="D238" i="9"/>
  <c r="J238" i="9"/>
  <c r="G238" i="9"/>
  <c r="M232" i="9"/>
  <c r="D232" i="9"/>
  <c r="J232" i="9"/>
  <c r="G232" i="9"/>
  <c r="J38" i="3"/>
  <c r="H38" i="3"/>
  <c r="I38" i="3"/>
  <c r="G252" i="9"/>
  <c r="D252" i="9"/>
  <c r="M252" i="9"/>
  <c r="J252" i="9"/>
  <c r="J193" i="9"/>
  <c r="G193" i="9"/>
  <c r="D193" i="9"/>
  <c r="M193" i="9"/>
  <c r="Q70" i="3"/>
  <c r="R70" i="3"/>
  <c r="P70" i="3"/>
  <c r="M191" i="9"/>
  <c r="G191" i="9"/>
  <c r="J191" i="9"/>
  <c r="D191" i="9"/>
  <c r="N22" i="3"/>
  <c r="M22" i="3"/>
  <c r="L22" i="3"/>
  <c r="M229" i="9"/>
  <c r="D229" i="9"/>
  <c r="G229" i="9"/>
  <c r="J229" i="9"/>
  <c r="I168" i="9"/>
  <c r="H168" i="9" s="1"/>
  <c r="G12" i="9" s="1"/>
  <c r="N71" i="3"/>
  <c r="L71" i="3"/>
  <c r="M71" i="3"/>
  <c r="M9" i="3"/>
  <c r="N9" i="3"/>
  <c r="L9" i="3"/>
  <c r="J154" i="9"/>
  <c r="G154" i="9"/>
  <c r="M154" i="9"/>
  <c r="D154" i="9"/>
  <c r="J186" i="9"/>
  <c r="D186" i="9"/>
  <c r="M186" i="9"/>
  <c r="G186" i="9"/>
  <c r="I73" i="3"/>
  <c r="H73" i="3"/>
  <c r="J73" i="3"/>
  <c r="L56" i="3"/>
  <c r="N56" i="3"/>
  <c r="M56" i="3"/>
  <c r="G177" i="9"/>
  <c r="J177" i="9"/>
  <c r="M177" i="9"/>
  <c r="D177" i="9"/>
  <c r="M108" i="9"/>
  <c r="D108" i="9"/>
  <c r="J108" i="9"/>
  <c r="G108" i="9"/>
  <c r="J196" i="9"/>
  <c r="G196" i="9"/>
  <c r="M196" i="9"/>
  <c r="D196" i="9"/>
  <c r="O54" i="9"/>
  <c r="N54" i="9" s="1"/>
  <c r="M16" i="9" s="1"/>
  <c r="J99" i="9"/>
  <c r="G99" i="9"/>
  <c r="M99" i="9"/>
  <c r="D99" i="9"/>
  <c r="I54" i="9"/>
  <c r="H54" i="9" s="1"/>
  <c r="G16" i="9" s="1"/>
  <c r="L6" i="3"/>
  <c r="N6" i="3"/>
  <c r="M6" i="3"/>
  <c r="F54" i="9"/>
  <c r="L60" i="3"/>
  <c r="M60" i="3"/>
  <c r="N60" i="3"/>
  <c r="J214" i="9"/>
  <c r="D214" i="9"/>
  <c r="G214" i="9"/>
  <c r="M214" i="9"/>
  <c r="Q57" i="3"/>
  <c r="R57" i="3"/>
  <c r="P57" i="3"/>
  <c r="J227" i="9"/>
  <c r="G227" i="9"/>
  <c r="D227" i="9"/>
  <c r="M227" i="9"/>
  <c r="O130" i="9"/>
  <c r="N130" i="9" s="1"/>
  <c r="M6" i="9" s="1"/>
  <c r="M181" i="9"/>
  <c r="G181" i="9"/>
  <c r="D181" i="9"/>
  <c r="J181" i="9"/>
  <c r="M40" i="9"/>
  <c r="G40" i="9"/>
  <c r="J40" i="9"/>
  <c r="D40" i="9"/>
  <c r="M175" i="9"/>
  <c r="J175" i="9"/>
  <c r="G175" i="9"/>
  <c r="D175" i="9"/>
  <c r="C206" i="9"/>
  <c r="M174" i="9"/>
  <c r="J174" i="9"/>
  <c r="D174" i="9"/>
  <c r="G174" i="9"/>
  <c r="M223" i="9"/>
  <c r="D223" i="9"/>
  <c r="G223" i="9"/>
  <c r="J223" i="9"/>
  <c r="H58" i="3"/>
  <c r="I58" i="3"/>
  <c r="J58" i="3"/>
  <c r="L39" i="3"/>
  <c r="M39" i="3"/>
  <c r="N39" i="3"/>
  <c r="P68" i="3"/>
  <c r="Q68" i="3"/>
  <c r="R68" i="3"/>
  <c r="J75" i="3"/>
  <c r="H75" i="3"/>
  <c r="I75" i="3"/>
  <c r="L244" i="9"/>
  <c r="K244" i="9" s="1"/>
  <c r="J10" i="9" s="1"/>
  <c r="N10" i="3"/>
  <c r="L10" i="3"/>
  <c r="M10" i="3"/>
  <c r="J24" i="9"/>
  <c r="D24" i="9"/>
  <c r="G24" i="9"/>
  <c r="M24" i="9"/>
  <c r="I61" i="3"/>
  <c r="H61" i="3"/>
  <c r="J61" i="3"/>
  <c r="G72" i="9"/>
  <c r="D72" i="9"/>
  <c r="M72" i="9"/>
  <c r="J72" i="9"/>
  <c r="J63" i="3"/>
  <c r="I63" i="3"/>
  <c r="H63" i="3"/>
  <c r="M13" i="5"/>
  <c r="L13" i="5"/>
  <c r="N13" i="5"/>
  <c r="N64" i="3"/>
  <c r="L64" i="3"/>
  <c r="M64" i="3"/>
  <c r="M49" i="3"/>
  <c r="L49" i="3"/>
  <c r="N49" i="3"/>
  <c r="I35" i="3"/>
  <c r="H35" i="3"/>
  <c r="J35" i="3"/>
  <c r="D102" i="9"/>
  <c r="M102" i="9"/>
  <c r="G102" i="9"/>
  <c r="J102" i="9"/>
  <c r="L14" i="5"/>
  <c r="N14" i="5"/>
  <c r="M14" i="5"/>
  <c r="M178" i="9"/>
  <c r="G178" i="9"/>
  <c r="D178" i="9"/>
  <c r="J178" i="9"/>
  <c r="I60" i="3"/>
  <c r="H60" i="3"/>
  <c r="J60" i="3"/>
  <c r="H44" i="3"/>
  <c r="J44" i="3"/>
  <c r="I44" i="3"/>
  <c r="M202" i="9"/>
  <c r="J202" i="9"/>
  <c r="D202" i="9"/>
  <c r="G202" i="9"/>
  <c r="D90" i="9"/>
  <c r="M90" i="9"/>
  <c r="G90" i="9"/>
  <c r="J90" i="9"/>
  <c r="J234" i="9"/>
  <c r="G234" i="9"/>
  <c r="D234" i="9"/>
  <c r="M234" i="9"/>
  <c r="I43" i="3"/>
  <c r="J43" i="3"/>
  <c r="H43" i="3"/>
  <c r="D152" i="9"/>
  <c r="J152" i="9"/>
  <c r="M152" i="9"/>
  <c r="G152" i="9"/>
  <c r="D89" i="9"/>
  <c r="G89" i="9"/>
  <c r="M89" i="9"/>
  <c r="J89" i="9"/>
  <c r="G266" i="9"/>
  <c r="D266" i="9"/>
  <c r="J266" i="9"/>
  <c r="M266" i="9"/>
  <c r="L70" i="3"/>
  <c r="M70" i="3"/>
  <c r="N70" i="3"/>
  <c r="J222" i="9"/>
  <c r="D222" i="9"/>
  <c r="M222" i="9"/>
  <c r="G222" i="9"/>
  <c r="J64" i="3"/>
  <c r="H64" i="3"/>
  <c r="I64" i="3"/>
  <c r="Q65" i="3"/>
  <c r="P65" i="3"/>
  <c r="R65" i="3"/>
  <c r="M52" i="9"/>
  <c r="G52" i="9"/>
  <c r="D52" i="9"/>
  <c r="J52" i="9"/>
  <c r="J34" i="9"/>
  <c r="M34" i="9"/>
  <c r="D34" i="9"/>
  <c r="G34" i="9"/>
  <c r="J42" i="9"/>
  <c r="D42" i="9"/>
  <c r="G42" i="9"/>
  <c r="M42" i="9"/>
  <c r="M17" i="5"/>
  <c r="L17" i="5"/>
  <c r="N17" i="5"/>
  <c r="G122" i="9"/>
  <c r="J122" i="9"/>
  <c r="D122" i="9"/>
  <c r="M122" i="9"/>
  <c r="H70" i="3"/>
  <c r="I70" i="3"/>
  <c r="J70" i="3"/>
  <c r="P32" i="3"/>
  <c r="Q32" i="3"/>
  <c r="R32" i="3"/>
  <c r="D180" i="9"/>
  <c r="G180" i="9"/>
  <c r="J180" i="9"/>
  <c r="M180" i="9"/>
  <c r="D113" i="9"/>
  <c r="M113" i="9"/>
  <c r="G113" i="9"/>
  <c r="J113" i="9"/>
  <c r="J159" i="9"/>
  <c r="G159" i="9"/>
  <c r="D159" i="9"/>
  <c r="M159" i="9"/>
  <c r="L130" i="9"/>
  <c r="K130" i="9" s="1"/>
  <c r="J6" i="9" s="1"/>
  <c r="J70" i="9"/>
  <c r="M70" i="9"/>
  <c r="D70" i="9"/>
  <c r="G70" i="9"/>
  <c r="F282" i="9"/>
  <c r="E282" i="9" s="1"/>
  <c r="D14" i="9" s="1"/>
  <c r="M67" i="9"/>
  <c r="J67" i="9"/>
  <c r="D67" i="9"/>
  <c r="G67" i="9"/>
  <c r="D157" i="9"/>
  <c r="M157" i="9"/>
  <c r="G157" i="9"/>
  <c r="J157" i="9"/>
  <c r="M273" i="9"/>
  <c r="J273" i="9"/>
  <c r="D273" i="9"/>
  <c r="G273" i="9"/>
  <c r="J26" i="9"/>
  <c r="M26" i="9"/>
  <c r="D26" i="9"/>
  <c r="G26" i="9"/>
  <c r="J255" i="9"/>
  <c r="M255" i="9"/>
  <c r="D255" i="9"/>
  <c r="G255" i="9"/>
  <c r="H50" i="3"/>
  <c r="J50" i="3"/>
  <c r="I50" i="3"/>
  <c r="J67" i="3"/>
  <c r="H67" i="3"/>
  <c r="I67" i="3"/>
  <c r="L10" i="5"/>
  <c r="M10" i="5"/>
  <c r="N10" i="5"/>
  <c r="J224" i="9"/>
  <c r="M224" i="9"/>
  <c r="D224" i="9"/>
  <c r="G224" i="9"/>
  <c r="J256" i="9"/>
  <c r="D256" i="9"/>
  <c r="M256" i="9"/>
  <c r="G256" i="9"/>
  <c r="J83" i="9"/>
  <c r="G83" i="9"/>
  <c r="M83" i="9"/>
  <c r="D83" i="9"/>
  <c r="M276" i="9"/>
  <c r="J276" i="9"/>
  <c r="G276" i="9"/>
  <c r="D276" i="9"/>
  <c r="M43" i="9"/>
  <c r="D43" i="9"/>
  <c r="J43" i="9"/>
  <c r="G43" i="9"/>
  <c r="G38" i="9"/>
  <c r="J38" i="9"/>
  <c r="M38" i="9"/>
  <c r="D38" i="9"/>
  <c r="D35" i="9"/>
  <c r="M35" i="9"/>
  <c r="G35" i="9"/>
  <c r="J35" i="9"/>
  <c r="M32" i="3"/>
  <c r="N32" i="3"/>
  <c r="L32" i="3"/>
  <c r="M225" i="9"/>
  <c r="G225" i="9"/>
  <c r="D225" i="9"/>
  <c r="J225" i="9"/>
  <c r="D136" i="9"/>
  <c r="G136" i="9"/>
  <c r="J136" i="9"/>
  <c r="M136" i="9"/>
  <c r="C168" i="9"/>
  <c r="R47" i="3"/>
  <c r="P47" i="3"/>
  <c r="Q47" i="3"/>
  <c r="L12" i="3"/>
  <c r="M12" i="3"/>
  <c r="N12" i="3"/>
  <c r="I46" i="3"/>
  <c r="J46" i="3"/>
  <c r="H46" i="3"/>
  <c r="M88" i="9"/>
  <c r="J88" i="9"/>
  <c r="D88" i="9"/>
  <c r="G88" i="9"/>
  <c r="Q39" i="3"/>
  <c r="P39" i="3"/>
  <c r="R39" i="3"/>
  <c r="L67" i="3"/>
  <c r="M67" i="3"/>
  <c r="N67" i="3"/>
  <c r="M111" i="9"/>
  <c r="G111" i="9"/>
  <c r="J111" i="9"/>
  <c r="D111" i="9"/>
  <c r="J220" i="9"/>
  <c r="G220" i="9"/>
  <c r="D220" i="9"/>
  <c r="M220" i="9"/>
  <c r="M230" i="9"/>
  <c r="G230" i="9"/>
  <c r="D230" i="9"/>
  <c r="J230" i="9"/>
  <c r="G145" i="9"/>
  <c r="M145" i="9"/>
  <c r="J145" i="9"/>
  <c r="D145" i="9"/>
  <c r="M187" i="9"/>
  <c r="D187" i="9"/>
  <c r="J187" i="9"/>
  <c r="G187" i="9"/>
  <c r="L73" i="3"/>
  <c r="N73" i="3"/>
  <c r="M73" i="3"/>
  <c r="G63" i="9"/>
  <c r="D63" i="9"/>
  <c r="J63" i="9"/>
  <c r="M63" i="9"/>
  <c r="D47" i="9"/>
  <c r="G47" i="9"/>
  <c r="M47" i="9"/>
  <c r="J47" i="9"/>
  <c r="Q63" i="3"/>
  <c r="R63" i="3"/>
  <c r="P63" i="3"/>
  <c r="D100" i="9"/>
  <c r="M100" i="9"/>
  <c r="J100" i="9"/>
  <c r="G100" i="9"/>
  <c r="M42" i="3"/>
  <c r="L42" i="3"/>
  <c r="N42" i="3"/>
  <c r="F92" i="9"/>
  <c r="E92" i="9" s="1"/>
  <c r="D4" i="9" s="1"/>
  <c r="J107" i="9"/>
  <c r="M107" i="9"/>
  <c r="G107" i="9"/>
  <c r="D107" i="9"/>
  <c r="G125" i="9"/>
  <c r="J125" i="9"/>
  <c r="M125" i="9"/>
  <c r="D125" i="9"/>
  <c r="F168" i="9"/>
  <c r="E168" i="9" s="1"/>
  <c r="D12" i="9" s="1"/>
  <c r="N50" i="3"/>
  <c r="M50" i="3"/>
  <c r="L50" i="3"/>
  <c r="H68" i="3"/>
  <c r="J68" i="3"/>
  <c r="I68" i="3"/>
  <c r="J263" i="9"/>
  <c r="D263" i="9"/>
  <c r="G263" i="9"/>
  <c r="M263" i="9"/>
  <c r="L282" i="9"/>
  <c r="K282" i="9" s="1"/>
  <c r="J14" i="9" s="1"/>
  <c r="M217" i="9"/>
  <c r="G217" i="9"/>
  <c r="J217" i="9"/>
  <c r="D217" i="9"/>
  <c r="Q34" i="3"/>
  <c r="R34" i="3"/>
  <c r="P34" i="3"/>
  <c r="M75" i="3"/>
  <c r="N75" i="3"/>
  <c r="L75" i="3"/>
  <c r="G106" i="9"/>
  <c r="D106" i="9"/>
  <c r="J106" i="9"/>
  <c r="M106" i="9"/>
  <c r="N35" i="3"/>
  <c r="M35" i="3"/>
  <c r="L35" i="3"/>
  <c r="M25" i="5"/>
  <c r="N25" i="5"/>
  <c r="L25" i="5"/>
  <c r="J104" i="9"/>
  <c r="M104" i="9"/>
  <c r="D104" i="9"/>
  <c r="G104" i="9"/>
  <c r="M75" i="9"/>
  <c r="G75" i="9"/>
  <c r="D75" i="9"/>
  <c r="J75" i="9"/>
  <c r="G219" i="9"/>
  <c r="J219" i="9"/>
  <c r="D219" i="9"/>
  <c r="M219" i="9"/>
  <c r="D188" i="9"/>
  <c r="G188" i="9"/>
  <c r="J188" i="9"/>
  <c r="M188" i="9"/>
  <c r="J158" i="9"/>
  <c r="D158" i="9"/>
  <c r="G158" i="9"/>
  <c r="M158" i="9"/>
  <c r="G272" i="9"/>
  <c r="M272" i="9"/>
  <c r="J272" i="9"/>
  <c r="D272" i="9"/>
  <c r="N11" i="5"/>
  <c r="L11" i="5"/>
  <c r="M11" i="5"/>
  <c r="J261" i="9"/>
  <c r="M261" i="9"/>
  <c r="D261" i="9"/>
  <c r="G261" i="9"/>
  <c r="M155" i="9"/>
  <c r="G155" i="9"/>
  <c r="J155" i="9"/>
  <c r="D155" i="9"/>
  <c r="I282" i="9"/>
  <c r="H282" i="9" s="1"/>
  <c r="G14" i="9" s="1"/>
  <c r="N24" i="5"/>
  <c r="L24" i="5"/>
  <c r="M24" i="5"/>
  <c r="D150" i="9"/>
  <c r="M150" i="9"/>
  <c r="G150" i="9"/>
  <c r="J150" i="9"/>
  <c r="L19" i="5"/>
  <c r="N19" i="5"/>
  <c r="M19" i="5"/>
  <c r="M221" i="9"/>
  <c r="D221" i="9"/>
  <c r="G221" i="9"/>
  <c r="J221" i="9"/>
  <c r="N59" i="3"/>
  <c r="L59" i="3"/>
  <c r="M59" i="3"/>
  <c r="F244" i="9"/>
  <c r="E244" i="9" s="1"/>
  <c r="D10" i="9" s="1"/>
  <c r="R33" i="3"/>
  <c r="P33" i="3"/>
  <c r="Q33" i="3"/>
  <c r="M151" i="9"/>
  <c r="G151" i="9"/>
  <c r="D151" i="9"/>
  <c r="J151" i="9"/>
  <c r="O206" i="9"/>
  <c r="N206" i="9" s="1"/>
  <c r="M8" i="9" s="1"/>
  <c r="I74" i="3"/>
  <c r="H74" i="3"/>
  <c r="J74" i="3"/>
  <c r="G84" i="9"/>
  <c r="D84" i="9"/>
  <c r="J84" i="9"/>
  <c r="M84" i="9"/>
  <c r="M15" i="3"/>
  <c r="L15" i="3"/>
  <c r="N15" i="3"/>
  <c r="J103" i="9"/>
  <c r="M103" i="9"/>
  <c r="G103" i="9"/>
  <c r="D103" i="9"/>
  <c r="J80" i="9"/>
  <c r="G80" i="9"/>
  <c r="D80" i="9"/>
  <c r="M80" i="9"/>
  <c r="G27" i="9"/>
  <c r="J27" i="9"/>
  <c r="M27" i="9"/>
  <c r="D27" i="9"/>
  <c r="R42" i="3"/>
  <c r="Q42" i="3"/>
  <c r="P42" i="3"/>
  <c r="G176" i="9"/>
  <c r="D176" i="9"/>
  <c r="J176" i="9"/>
  <c r="M176" i="9"/>
  <c r="G143" i="9"/>
  <c r="D143" i="9"/>
  <c r="M143" i="9"/>
  <c r="J143" i="9"/>
  <c r="G76" i="9"/>
  <c r="M76" i="9"/>
  <c r="J76" i="9"/>
  <c r="D76" i="9"/>
  <c r="M77" i="9"/>
  <c r="G77" i="9"/>
  <c r="D77" i="9"/>
  <c r="J77" i="9"/>
  <c r="M66" i="9"/>
  <c r="D66" i="9"/>
  <c r="J66" i="9"/>
  <c r="G66" i="9"/>
  <c r="N63" i="3"/>
  <c r="M63" i="3"/>
  <c r="L63" i="3"/>
  <c r="G33" i="9"/>
  <c r="M33" i="9"/>
  <c r="D33" i="9"/>
  <c r="J33" i="9"/>
  <c r="M119" i="9"/>
  <c r="G119" i="9"/>
  <c r="J119" i="9"/>
  <c r="D119" i="9"/>
  <c r="J240" i="9"/>
  <c r="D240" i="9"/>
  <c r="M240" i="9"/>
  <c r="G240" i="9"/>
  <c r="Q59" i="3"/>
  <c r="P59" i="3"/>
  <c r="R59" i="3"/>
  <c r="D241" i="9"/>
  <c r="J241" i="9"/>
  <c r="M241" i="9"/>
  <c r="G241" i="9"/>
  <c r="J33" i="3"/>
  <c r="I33" i="3"/>
  <c r="H33" i="3"/>
  <c r="R43" i="3"/>
  <c r="P43" i="3"/>
  <c r="Q43" i="3"/>
  <c r="L54" i="9"/>
  <c r="K54" i="9" s="1"/>
  <c r="J16" i="9" s="1"/>
  <c r="G179" i="9"/>
  <c r="M179" i="9"/>
  <c r="D179" i="9"/>
  <c r="J179" i="9"/>
  <c r="R49" i="3"/>
  <c r="P49" i="3"/>
  <c r="Q49" i="3"/>
  <c r="G118" i="9"/>
  <c r="M118" i="9"/>
  <c r="D118" i="9"/>
  <c r="J118" i="9"/>
  <c r="M31" i="9"/>
  <c r="G31" i="9"/>
  <c r="J31" i="9"/>
  <c r="D31" i="9"/>
  <c r="D198" i="9"/>
  <c r="M198" i="9"/>
  <c r="J198" i="9"/>
  <c r="G198" i="9"/>
  <c r="G44" i="9"/>
  <c r="M44" i="9"/>
  <c r="D44" i="9"/>
  <c r="J44" i="9"/>
  <c r="I48" i="3"/>
  <c r="J48" i="3"/>
  <c r="H48" i="3"/>
  <c r="G78" i="9"/>
  <c r="J78" i="9"/>
  <c r="M78" i="9"/>
  <c r="D78" i="9"/>
  <c r="L65" i="3"/>
  <c r="M65" i="3"/>
  <c r="N65" i="3"/>
  <c r="J260" i="9"/>
  <c r="G260" i="9"/>
  <c r="D260" i="9"/>
  <c r="M260" i="9"/>
  <c r="J127" i="9"/>
  <c r="G127" i="9"/>
  <c r="D127" i="9"/>
  <c r="M127" i="9"/>
  <c r="M21" i="5"/>
  <c r="N21" i="5"/>
  <c r="L21" i="5"/>
  <c r="J259" i="9"/>
  <c r="M259" i="9"/>
  <c r="D259" i="9"/>
  <c r="G259" i="9"/>
  <c r="J37" i="9"/>
  <c r="M37" i="9"/>
  <c r="D37" i="9"/>
  <c r="G37" i="9"/>
  <c r="M45" i="3"/>
  <c r="N45" i="3"/>
  <c r="L45" i="3"/>
  <c r="J141" i="9"/>
  <c r="G141" i="9"/>
  <c r="D141" i="9"/>
  <c r="M141" i="9"/>
  <c r="Q31" i="3"/>
  <c r="R31" i="3"/>
  <c r="P31" i="3"/>
  <c r="M23" i="3"/>
  <c r="N23" i="3"/>
  <c r="L23" i="3"/>
  <c r="R44" i="3"/>
  <c r="Q44" i="3"/>
  <c r="P44" i="3"/>
  <c r="R72" i="3"/>
  <c r="Q72" i="3"/>
  <c r="P72" i="3"/>
  <c r="G194" i="9"/>
  <c r="J194" i="9"/>
  <c r="M194" i="9"/>
  <c r="D194" i="9"/>
  <c r="R56" i="3"/>
  <c r="Q56" i="3"/>
  <c r="P56" i="3"/>
  <c r="N34" i="3"/>
  <c r="L34" i="3"/>
  <c r="M34" i="3"/>
  <c r="D22" i="9"/>
  <c r="J22" i="9"/>
  <c r="C54" i="9"/>
  <c r="M22" i="9"/>
  <c r="G22" i="9"/>
  <c r="P35" i="3"/>
  <c r="R35" i="3"/>
  <c r="Q35" i="3"/>
  <c r="J139" i="9"/>
  <c r="D139" i="9"/>
  <c r="M139" i="9"/>
  <c r="G139" i="9"/>
  <c r="H49" i="3"/>
  <c r="I49" i="3"/>
  <c r="J49" i="3"/>
  <c r="J140" i="9"/>
  <c r="G140" i="9"/>
  <c r="D140" i="9"/>
  <c r="M140" i="9"/>
  <c r="G192" i="9"/>
  <c r="J192" i="9"/>
  <c r="D192" i="9"/>
  <c r="M192" i="9"/>
  <c r="M8" i="5"/>
  <c r="N8" i="5"/>
  <c r="L8" i="5"/>
  <c r="M189" i="9"/>
  <c r="G189" i="9"/>
  <c r="D189" i="9"/>
  <c r="J189" i="9"/>
  <c r="G32" i="9"/>
  <c r="M32" i="9"/>
  <c r="J32" i="9"/>
  <c r="D32" i="9"/>
  <c r="J47" i="3"/>
  <c r="I47" i="3"/>
  <c r="H47" i="3"/>
  <c r="N23" i="5"/>
  <c r="M23" i="5"/>
  <c r="L23" i="5"/>
  <c r="J48" i="9"/>
  <c r="D48" i="9"/>
  <c r="G48" i="9"/>
  <c r="M48" i="9"/>
  <c r="M144" i="9"/>
  <c r="D144" i="9"/>
  <c r="G144" i="9"/>
  <c r="J144" i="9"/>
  <c r="I71" i="3"/>
  <c r="J71" i="3"/>
  <c r="H71" i="3"/>
  <c r="M38" i="3"/>
  <c r="N38" i="3"/>
  <c r="L38" i="3"/>
  <c r="I59" i="3"/>
  <c r="J59" i="3"/>
  <c r="H59" i="3"/>
  <c r="M61" i="9"/>
  <c r="J61" i="9"/>
  <c r="G61" i="9"/>
  <c r="D61" i="9"/>
  <c r="G121" i="9"/>
  <c r="D121" i="9"/>
  <c r="M121" i="9"/>
  <c r="J121" i="9"/>
  <c r="M57" i="3"/>
  <c r="L57" i="3"/>
  <c r="N57" i="3"/>
  <c r="R38" i="3"/>
  <c r="Q38" i="3"/>
  <c r="P38" i="3"/>
  <c r="D54" i="9" l="1"/>
  <c r="G54" i="9"/>
  <c r="M54" i="9"/>
  <c r="J168" i="9"/>
  <c r="M206" i="9"/>
  <c r="J130" i="9"/>
  <c r="G130" i="9"/>
  <c r="D282" i="9"/>
  <c r="M282" i="9"/>
  <c r="J244" i="9"/>
  <c r="G168" i="9"/>
  <c r="G206" i="9"/>
  <c r="E54" i="9"/>
  <c r="D16" i="9" s="1"/>
  <c r="B12" i="9" s="1"/>
  <c r="M130" i="9"/>
  <c r="J92" i="9"/>
  <c r="G92" i="9"/>
  <c r="M244" i="9"/>
  <c r="J54" i="9"/>
  <c r="D168" i="9"/>
  <c r="D206" i="9"/>
  <c r="D130" i="9"/>
  <c r="D92" i="9"/>
  <c r="J282" i="9"/>
  <c r="G244" i="9"/>
  <c r="M168" i="9"/>
  <c r="J206" i="9"/>
  <c r="M92" i="9"/>
  <c r="G282" i="9"/>
  <c r="D244" i="9"/>
  <c r="B11" i="9" l="1"/>
  <c r="B13" i="9"/>
  <c r="B5" i="9"/>
  <c r="B15" i="9"/>
  <c r="B6" i="9"/>
  <c r="B7" i="9"/>
  <c r="B9" i="9"/>
  <c r="B10" i="9"/>
  <c r="B8" i="9"/>
  <c r="B3" i="9"/>
  <c r="B4" i="9"/>
  <c r="B16" i="9"/>
  <c r="B14" i="9"/>
</calcChain>
</file>

<file path=xl/sharedStrings.xml><?xml version="1.0" encoding="utf-8"?>
<sst xmlns="http://schemas.openxmlformats.org/spreadsheetml/2006/main" count="3483" uniqueCount="350">
  <si>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</si>
  <si>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</si>
  <si>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</si>
  <si>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</si>
  <si>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</si>
  <si>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</si>
  <si>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</si>
  <si>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</si>
  <si>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</si>
  <si>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</si>
  <si>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</si>
  <si>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</si>
  <si>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</si>
  <si>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</si>
  <si>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</si>
  <si>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</si>
  <si>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</si>
  <si>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</si>
  <si>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</si>
  <si>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</si>
  <si>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</si>
  <si>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</si>
  <si>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</si>
  <si>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</si>
  <si>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</si>
  <si>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</si>
  <si>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</si>
  <si>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</si>
  <si>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</si>
  <si>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</si>
  <si>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</si>
  <si>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</si>
  <si>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</si>
  <si>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</si>
  <si>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</si>
  <si>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</si>
  <si>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</si>
  <si>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</si>
  <si>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</si>
  <si>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</si>
  <si>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</si>
  <si>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</si>
  <si>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</si>
  <si>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</si>
  <si>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</si>
  <si>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</si>
  <si>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</si>
  <si>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</si>
  <si>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</si>
  <si>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</si>
  <si>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</si>
  <si>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</si>
  <si>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</si>
  <si>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</si>
  <si>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</si>
  <si>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</si>
  <si>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</si>
  <si>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</si>
  <si>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</si>
  <si>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</si>
  <si>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</si>
  <si>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</si>
  <si>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</si>
  <si>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</si>
  <si>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</si>
  <si>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</si>
  <si>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</si>
  <si>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</si>
  <si>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</si>
  <si>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</si>
  <si>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</si>
  <si>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</si>
  <si>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</si>
  <si>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</si>
  <si>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</si>
  <si>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</si>
  <si>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</si>
  <si>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</si>
  <si>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</si>
  <si>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</si>
  <si>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</si>
  <si>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</si>
  <si>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</si>
  <si>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</si>
  <si>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</si>
  <si>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</si>
  <si>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</si>
  <si>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</si>
  <si>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</si>
  <si>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</si>
  <si>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</si>
  <si>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</si>
  <si>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</si>
  <si>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</si>
  <si>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</si>
  <si>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</si>
  <si>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</si>
  <si>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</si>
  <si>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</si>
  <si>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</si>
  <si>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</si>
  <si>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</si>
  <si>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</si>
  <si>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</si>
  <si>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</si>
  <si>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</si>
  <si>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</si>
  <si>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</si>
  <si>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</si>
  <si>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</si>
  <si>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</si>
  <si>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</si>
  <si>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</si>
  <si>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</si>
  <si>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</si>
  <si>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</si>
  <si>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</si>
  <si>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</si>
  <si>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</si>
  <si>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</si>
  <si>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</si>
  <si>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</si>
  <si>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</si>
  <si>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</si>
  <si>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</si>
  <si>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</si>
  <si>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</si>
  <si>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</si>
  <si>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</si>
  <si>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</si>
  <si>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</si>
  <si>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</si>
  <si>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</si>
  <si>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</si>
  <si>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</si>
  <si>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</si>
  <si>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</si>
  <si>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</si>
  <si>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</si>
  <si>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</si>
  <si>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</si>
  <si>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</si>
  <si>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</si>
  <si>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</si>
  <si>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</si>
  <si>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</si>
  <si>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</si>
  <si>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</si>
  <si>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</si>
  <si>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</si>
  <si>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</si>
  <si>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</si>
  <si>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</si>
  <si>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</si>
  <si>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</si>
  <si>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</si>
  <si>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</si>
  <si>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</si>
  <si>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</si>
  <si>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</si>
  <si>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</si>
  <si>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</si>
  <si>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</si>
  <si>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</si>
  <si>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</si>
  <si>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</si>
  <si>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</si>
  <si>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</si>
  <si>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</si>
  <si>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</si>
  <si>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</si>
  <si>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</si>
  <si>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</si>
  <si>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</si>
  <si>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</si>
  <si>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</si>
  <si>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</si>
  <si>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</si>
  <si>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</si>
  <si>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</si>
  <si>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</si>
  <si>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</si>
  <si>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</si>
  <si>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</si>
  <si>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</si>
  <si>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</si>
  <si>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</si>
  <si>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</si>
  <si>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</si>
  <si>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</si>
  <si>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</si>
  <si>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</si>
  <si>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</si>
  <si>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</si>
  <si>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</si>
  <si>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</si>
  <si>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</si>
  <si>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</si>
  <si>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</si>
  <si>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</si>
  <si>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</si>
  <si>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</si>
  <si>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</si>
  <si>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</si>
  <si>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</si>
  <si>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</si>
  <si>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</si>
  <si>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</si>
  <si>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</si>
  <si>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</si>
  <si>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</si>
  <si>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</si>
  <si>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</si>
  <si>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</si>
  <si>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</si>
  <si>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</si>
  <si>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</si>
  <si>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</si>
  <si>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</si>
  <si>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</si>
  <si>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</si>
  <si>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</si>
  <si>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</si>
  <si>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</si>
  <si>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</si>
  <si>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</si>
  <si>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</si>
  <si>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</si>
  <si>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</si>
  <si>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</si>
  <si>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</si>
  <si>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</si>
  <si>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</si>
  <si>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</si>
  <si>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</si>
  <si>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</si>
  <si>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</si>
  <si>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</si>
  <si>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</si>
  <si>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</si>
  <si>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</si>
  <si>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</si>
  <si>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</si>
  <si>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</si>
  <si>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</si>
  <si>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</si>
  <si>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</si>
  <si>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</si>
  <si>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</si>
  <si>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</si>
  <si>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</si>
  <si>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</si>
  <si>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</si>
  <si>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</si>
  <si>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</si>
  <si>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</si>
  <si>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</si>
  <si>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</si>
  <si>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</si>
  <si>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</si>
  <si>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</si>
  <si>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</si>
  <si>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</si>
  <si>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</si>
  <si>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</si>
  <si>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</si>
  <si>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</si>
  <si>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</si>
  <si>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</si>
  <si>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</si>
  <si>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</si>
  <si>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</si>
  <si>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</si>
  <si>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</si>
  <si>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</si>
  <si>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</si>
  <si>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</si>
  <si>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</si>
  <si>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</si>
  <si>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</si>
  <si>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</si>
  <si>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</si>
  <si>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</si>
  <si>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</si>
  <si>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</si>
  <si>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</si>
  <si>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</si>
  <si>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</si>
  <si>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</si>
  <si>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</si>
  <si>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</si>
  <si>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</si>
  <si>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</si>
  <si>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</si>
  <si>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</si>
  <si>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</si>
  <si>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</si>
  <si>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</si>
  <si>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</si>
  <si>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</si>
  <si>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</si>
  <si>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</si>
  <si>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</si>
  <si>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</si>
  <si>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</si>
  <si>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</si>
  <si>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</si>
  <si>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</si>
  <si>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</si>
  <si>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</si>
  <si>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</si>
  <si>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</si>
  <si>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</si>
  <si>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</si>
  <si>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</si>
  <si>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</si>
  <si>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</si>
  <si>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</si>
  <si>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</si>
  <si>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</si>
  <si>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</si>
  <si>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</si>
  <si>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</si>
  <si>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</si>
  <si>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KRW-SOL</t>
  </si>
  <si>
    <t>솔라나</t>
  </si>
  <si>
    <t>KRW-NU</t>
  </si>
  <si>
    <t>누사이퍼</t>
  </si>
  <si>
    <t>KRW-AVAX</t>
  </si>
  <si>
    <t>아발란체</t>
  </si>
  <si>
    <t>KRW-ALGO</t>
  </si>
  <si>
    <t>알고랜드</t>
  </si>
  <si>
    <t>KRW-AAVE</t>
  </si>
  <si>
    <t>에이브</t>
  </si>
  <si>
    <t>KRW-MATIC</t>
  </si>
  <si>
    <t>폴리곤</t>
  </si>
  <si>
    <t>KRW-NEAR</t>
  </si>
  <si>
    <t>니어프로토콜</t>
  </si>
  <si>
    <t>헤데라</t>
  </si>
  <si>
    <t>크로노스</t>
  </si>
  <si>
    <t>KRW-XEC</t>
  </si>
  <si>
    <t>이캐시</t>
  </si>
  <si>
    <t>KRW-WEMIX</t>
  </si>
  <si>
    <t>위믹스</t>
  </si>
  <si>
    <t>KRW-1INCH</t>
  </si>
  <si>
    <t>1인치네트워크</t>
  </si>
  <si>
    <t>썬더코어</t>
  </si>
  <si>
    <t>KRW-T</t>
  </si>
  <si>
    <t>쓰레스홀드</t>
  </si>
  <si>
    <t>2022.03.06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</si>
</sst>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12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u/>
      <sz val="11"/>
      <color theme="1"/>
      <name val="맑은 고딕"/>
      <family val="3"/>
      <charset val="129"/>
      <scheme val="minor"/>
    </font>
    <font>
      <b/>
      <u/>
      <sz val="11"/>
      <color rgb="FFFF0000"/>
      <name val="맑은 고딕"/>
      <family val="3"/>
      <charset val="129"/>
      <scheme val="minor"/>
    </font>
    <font>
      <b/>
      <u/>
      <sz val="11"/>
      <color rgb="FF0070C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52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0" borderId="30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4" xfId="0" applyFont="1" applyBorder="1" applyAlignment="1">
      <alignment horizontal="center" vertical="center"/>
    </xf>
    <xf numFmtId="0" fontId="11" fillId="0" borderId="3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67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AA1D29B3-C6C8-4EC9-B15C-3ABB6C685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33DD4C53-C6BE-4894-963F-5D97392CE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ADE71E72-63B8-4350-9AF3-8B01DD4DF6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B8A2CE85-82DE-4B9D-BAC1-79C8D4747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A343DD96-1AB3-4F8E-B14E-EDEDE7427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2BE6A472-739E-4D21-B5E1-E414D9E0E6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B74A2137-5FDC-4EA0-9ABF-FF30820FEB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B9031592-1F4E-46C1-A0D0-732980CCFA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5683E82F-99F9-4F82-988D-B6398B8B3B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17019FF-4AAA-4D7A-98C0-F8E51A3C0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87B001F0-FEF0-4617-90F8-FD789ED48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FD0021E6-6C77-4F8D-A76D-85D7956291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25F01CA0-FE91-471D-801E-C89399916A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C1AA1379-5BB3-411F-8BED-A2EEB5516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133205D5-2BAA-4CBA-A99C-11CA0EC7CF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4405955-7744-4727-A6E3-5BF3757DD3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C4A25AFF-5694-4CBF-8819-76137C2C5A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61CA838F-9284-4AB6-BD82-4EE7038C7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21E151A5-E3D3-4A1F-9C2E-F28DEFB031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BEEB52FB-9421-4D3D-BA1D-88BB71A4D3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E0632300-33A3-48C5-9369-43A1A2B421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61AF5EAF-F25B-47E5-B785-F3BE175D01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3BBD9EDA-0566-41B1-80F1-A327068A6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B12FAE22-0B82-4EA2-9817-D143A40689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19053AFC-9A2C-470E-B026-01F6AAB957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15453421-89A6-467C-A1FF-64408341A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719D88D0-55F0-4E1B-A8BA-D1050BA4CB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1547DACD-A2B2-454A-AEBD-81D6E5738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6DA89DBB-2385-41FE-A062-72B56C67AE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D4FB10EC-5679-4616-BDFF-FDADDBB8F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6DFFE223-A499-47E8-AC1E-CC03C9A057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6870961D-81EF-4F76-BCD2-186DE28001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500481DE-9F7D-4AD4-BE74-9C54D60F0E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A32DBEA4-CF14-42AF-A385-8F83D35C4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3888364C-A27B-4249-AE35-DFF08C1A48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2AB7F6AC-843F-4196-A0EE-FD75569095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D7A01CE4-A457-454D-8DB6-46E1D109B5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D048EFB6-B2B1-4FB2-88F4-3CF695E61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9B7977DE-AC36-4156-87BD-9276EB0BA5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A6C56571-1635-4AAE-90B8-332829EC8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8620AC0-ED50-43BF-AC1F-BCE82616D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E2C1337E-76AF-46AC-A97E-5B90A4CE80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D78E1198-5F95-4E55-A19C-FD06C60AA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C78C4D9E-1E9B-4861-988D-14D9ECBEFE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176967D5-12CE-4B3C-B154-ED08BA5523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B6C8603D-0A3C-4E6E-9A46-64B3964AE2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9A15021-92DF-4128-888C-A402FAE1B8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4E0D181A-A111-4257-9FCE-ECA38751D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C5A4DE5A-FB6F-4DE8-AF2B-1664AE91AF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137B7D89-F245-4598-8113-EE2BE8C72E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9EFC48ED-A528-4CDA-AA9C-1BFA280764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CD1544AA-AAF7-404A-BE90-3D3AB1AEB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E4BB3792-26BE-4AD0-866E-9069B51DE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AF6E6163-ABDF-40A8-B35D-E179141698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57B17A9E-9905-4B4E-BBC3-B00DD9239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2D48DFD7-EF55-403F-9A8E-5CA1290872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82E065F0-9A91-40AE-9AA6-A612A20D67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A36CA284-1B83-4A06-B674-471B41400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7859B280-5A9C-4F79-8F1A-922645923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72D27424-7E71-4E4E-894B-0339AB244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2B092543-1BC0-4544-AC88-2E84DFA68F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B4794F36-825F-4C1C-927B-B9DBD1A73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81652661-A1A1-4E5D-95DB-4714FC2AEF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EA4B2822-1919-4AB1-AEE5-62166C3AC4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F81768F6-2915-45F2-AF70-27889DFC7C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CD7BDDEC-83D4-4039-BA45-F0F164682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960B1377-C9AA-4D23-BBCF-3A21BED850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245849EB-1B1D-4F75-97B6-D69E8E39BB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FAAE024A-3CFC-4085-84F0-6D40EC2FD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3E41AF05-9E62-436E-B9EA-F9A11D61E2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6D96396-C029-46D2-BB5B-0A2456709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E7716633-B549-40C7-B20B-DACBEB1F2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4B1E0891-B4C2-4113-9059-4320650C7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4A9C1858-AABA-4853-8C2E-773F3608B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B855BB0-7445-44B6-BF51-B4263397B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7636203D-98F0-411E-8F46-424FC16763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E3AC10F8-6FD6-4CCE-B2B7-C09EE22D12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E19C6209-6CB8-49C8-8267-16DE2BFFA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847C7DCA-097C-4428-AED1-B5B08D975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39A7A930-2CD1-4F07-91E8-ACBA661F66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758AED74-5DEC-4DFA-886F-15C2AA20A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DD32F8B9-0627-4BDD-B53D-EDA596F14E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528526AD-0D5E-406B-AF67-95B5E993C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8E03C30E-3414-4BF1-B59C-59AA7F1649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476E33B5-49C0-411B-BBF6-B94830B8DF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1FABF9D2-2928-4B24-A944-16664FC59C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3B8A9796-203D-4AA2-9BBD-95F60904A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8EA139F1-9261-4BC6-B2AC-3AE05B77DB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703A9221-243A-4628-99D9-5140715D1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ACB4DDE1-9967-43F5-9692-4467B764F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FB883501-CA9E-4980-AC15-6698783E44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EDDE8CEB-3153-460B-AABA-04CBF65FD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620A24EF-67E6-44B1-8A25-8AD46C6D8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614E2F9-7BF4-4A61-87FC-F8A9058687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12561943-8387-433F-9E62-5170DC3532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5295398F-9EA3-4225-8D75-236AD5DDD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4E5706BF-372F-4E63-A797-87D93AF63A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3A4185C1-6E03-4F95-B84D-D8C46C2B32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7234E032-035C-4737-A7EF-0C5DA057DB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DAE2DB0-CA57-4700-AA49-04313F229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DB1B50DE-A1BC-4010-AD89-9EA9D3F85F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EFE725-29FE-442B-8EF4-EC49CBEF4F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11426C2B-7CA2-4B23-B8DC-A55D6DD280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AA849007-5CF9-4CAA-8753-A33254559B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21FA5EE-F5A6-4B28-960A-76815D596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13E8B771-A695-4982-A54D-83D0F17BB6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88450B21-DFD6-4BD1-91FB-A153F019FA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B3E319A7-5A68-499F-BA56-D5327C32F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1CC2E3A9-D193-4D9A-9AEF-DD22156AC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8659B6EE-8945-48A3-BFF1-46F5BC819E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7776F884-DF65-4B49-A882-FE6CE46767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DE3902A7-F222-4872-8CE6-FC479C869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AB725569-54A4-4361-828C-3FBFED129B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1B596F15-EB4B-44DD-BAEA-B6CE084D0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3F690F46-782D-4191-875F-B69DA7C2B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91FF13FD-DC5F-48AA-ABF7-525E8C07BF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F925DA54-E9F0-414B-BB0F-AD257D9FD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E0337E62-7006-4150-8DCF-30B88E027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75EE8D39-304F-41C1-A1C8-8302360C8B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9E75661D-207C-4CE1-9DC3-200D113960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B81AE80F-1332-44CE-B72C-8BA4713B9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D4FD67F7-9702-46B2-A773-10178A3D29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B9F0B49C-BB36-4E1B-BABE-00C99B93BE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9C3B2E42-0C89-4C7E-AB10-3290671F35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E7A2E3A4-2644-4988-BD19-4B9C989CFF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E13CD1A-9DA1-4A1B-AB08-91039FF48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DF8BF957-940E-406A-A4CD-7B4E2D6FC8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88B50F7F-D32E-483D-984E-44917B03D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185D24AA-022D-4C97-BD54-2C036E9DD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2B45DA10-E9A5-46F7-ABF1-2EC336AF2B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8BA1EEAC-EC12-41CF-A72B-D1A84EB3CC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7DAB6E81-0526-421B-A90B-DB8594926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9E6A0462-286E-4B73-AC1E-6F7DA382F6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E0DC1F74-4AA3-4A78-B264-787B62A016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7FFCE187-E115-4F67-86AD-030B67E3E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D7C118B5-2E4E-4BDC-AB2A-08553208BD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A26FD13F-159A-4E9E-95BF-5F0BF65FFB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196FA34E-71DA-484B-905C-B94C36DAB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A643F9BB-B0C9-44BE-90FB-3173215265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CD25405-1528-46AC-B8C0-9C43480F9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6047755C-D634-4609-8ED7-0F1A765BD5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FEC0D00E-71B1-49EF-825A-7752D0844B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A47563AB-7461-435C-9512-B9E1EEE00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803F8C46-9123-4D8C-8D97-1BCBC7630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24AD2EEC-3A1E-4253-AAD8-F6DF6F7641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F3C52D1D-8D36-46F2-B617-DC675D43B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8C52769E-578E-4693-A1DB-38EB2BAF75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2284C1AF-FCD7-455D-A10A-6B53CA62C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851B3F28-9B13-4051-884B-84B68BC3F0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BFA2B30D-2566-464C-B09D-62EE4D534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F84302D4-87BA-4907-9ED5-C5851ECFB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20ADD2AC-43DE-4F0F-B691-257AE34EF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62E2DD67-A2A7-4420-A030-719EA0351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A1935445-EE66-4F67-9119-AEAA3FA64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EEBFA9A1-7B5B-48D9-86CE-FF02D6624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121BBBC7-1100-4E5B-AA2E-57FA086A58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35D284C4-8A1C-4E1D-9985-6334B18EEC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4822FAB7-C143-402D-993D-C225819E55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C473FA17-3E6C-41EA-8899-11EFEE6D6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8571DEAD-93C4-4C1C-9BD8-AE6A78C94A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E44018A2-2003-4D14-A5C3-8F5C3BF3C5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44FDE604-861C-47DC-92BC-83A8076E55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6AD54F12-FA37-4048-834C-CDC29985E9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2D46D0D0-E7DF-4B73-A513-0794AC126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F543E4F7-AB1F-4B80-903D-CE90EEC6B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79FB11D3-43FA-4383-8878-3ADD076A7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52150A8E-4E15-4C72-BB9D-9B23EA891E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9B06E2D6-3002-4790-BE4F-F4F23D86AA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3492B668-1316-454D-A647-6DA21E0DAE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7BD2B00C-8CBC-4902-8ACF-B7B622E94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5CC160CF-69E7-4AE6-A362-8DA70C831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DB65CA85-1096-4FEE-AEBE-449C7BF205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CDC571E1-C7FA-42A4-AD76-A42F08D36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FA2C2707-2E44-4145-853A-C1BDF455C8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D7FAE1E1-499D-4FFD-B276-9C5674760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E4B3DB6E-3EBA-4693-904D-18882B3A4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EF2064EA-A362-428B-A2E8-FF82938FC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CBC21A64-A03B-4AD1-A11A-E2F307CA1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774E379F-4673-4095-9A5C-94EE68158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F97372F8-7960-4223-9799-6DC61A8243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B7E37336-41C1-490F-8FAC-F1E9C33C6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92416F2A-F4C9-4F7D-9E7F-3A8A66A07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4644F6BE-630D-4AE1-9A1A-587326BB0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FA9AE40C-3B92-42EB-A1A9-7A09D7471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24321A7C-F6FE-4604-8739-1105318C6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42C8FD66-0066-45E7-A9A3-3CB4DA2996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A0F1584D-EF30-4D73-BDDC-DD0EDD8844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E775A31A-B358-4EF2-8458-79AF68DD0A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1FD13C83-A1D4-4DE3-8038-256790448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FF01FAEA-375B-4BE0-BEA3-E0797F6B1A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BE60518C-EA5D-45F9-B799-DA0C354E0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E0A24468-4F39-44C4-B7BF-B2F9097B84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9D53CD79-485E-426E-8E58-F6FC7B413A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79D78A7B-541C-4EDE-9FE1-955E922DB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10257441-7624-478A-88E6-75B624F99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3E01DDC2-CB91-4352-9927-695E39D4D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8BAF821A-D505-45CF-9CCA-703D9D2674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1E433930-CE44-4AB4-B019-EADB4B0FA9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1D20EC9B-141A-4E27-B3C2-6F5D0BA207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CA563380-8585-415B-B4A4-EF7B2C0729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D5C848D9-6C77-4A78-98A2-E4FD26289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4A9CCA7A-E35B-4028-90EB-5500FF924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CA59092F-41B3-40B7-9C37-3AA03F1DE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17472A65-55A2-40C9-89B7-792D6521A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493AFA06-E1EE-4BD1-8D69-7F33C1823A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DB9A3261-F4B4-4C58-BAEF-A4F0A093D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859F42B9-FFD1-4775-8E0C-0B3643B7A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9E11024B-CBCA-47E2-BB1C-30D52E1EA7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85A0E47B-2482-4852-ADEC-ADB9DAC00A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96601EF0-3C8F-4CB5-9D41-A619DB3AE2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2E165804-B727-4156-8F2E-1E6CFD3113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B8958B8A-D8DB-4594-B0F1-2E81A62DE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393E810D-952B-453E-9C1F-5A14CDDD2F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A222909E-273F-44F1-B86D-EFD1088EE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D75CED6B-0536-4CFE-AC6B-E36F179350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8AB52122-4848-4832-ADBA-08444A8334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1037B425-4008-46FD-83BD-C118C3AEF2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16BAA5FF-7C1B-4D97-8E1A-C22136267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97EFCC87-4D2F-45CF-B2F6-BF337F6E15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6EC5987C-DED2-4991-8C7F-7A2A6476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CEDABD5-3881-497B-962D-6146683027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D3718BAF-48AE-4E06-ADD1-701DB8A823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E41107AD-826F-4B9B-ADA6-069E46532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B725DD5A-DEFA-4C1A-AACC-7E5C3C9CE8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97B90DE7-DD35-4FC8-BC7B-3924B2993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439FD32F-A8CB-4C4A-9099-0CF1D8D845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E63DAE61-C648-4F0E-9DF4-33FB84821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9BC64565-06C3-418B-AD84-1AE969203D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271E292E-8E07-420D-BB1F-5704B2CDF4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BF84957E-D3AF-4FE7-886B-1178A71EA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429E2F34-2D8E-43F9-B437-D25F43F8C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9567B243-F50C-4C04-AF8C-94AB033D96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EF51D0BC-D52E-4833-A3BC-9131EE394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416CD03C-959C-4B64-B9E8-96C0AF8257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9A0B53C0-0423-404A-BF26-F50556FAA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3CF86E4F-ECB8-4429-9251-2702A32BD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98860231-D718-4F17-B775-906B71C23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49EA5FA3-AB85-42AD-90A8-180AF5D346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1E750425-20B9-4771-8AD9-1A8E10E5F9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8C2D792-95D6-4E72-BB92-6AB8BABAA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CBAD2355-8F81-497E-98F8-6CC1B4918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BA7FF04F-04B2-4FA8-AD5E-44C4DA0BA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1243B4FF-30F9-406C-8753-B955C3F4F3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18A41EDF-5C26-4D49-A1BA-4E54E93BF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A838F6D1-1AFC-4C1A-899F-97537AA019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5139FC92-0175-4220-89D8-C933714188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FCE1263C-4426-4B70-BCB1-353AC8475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D51D5DDD-93D0-4B62-B93A-87CA09F25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9048EE3-C9EC-4B0C-BF72-24FA88B849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5055918-23FC-425F-942D-774BD399F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D986FF06-42F0-40A5-891E-4B732A094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6CF4964C-55CE-40D5-B7B1-76FAC66CA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9E522D78-93E8-418C-BCCF-5BA9BB28B0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3AA548F4-61DD-4B37-AFA1-FC29D564B5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4F5F0BD4-A915-48FD-99CD-A70B88B51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C42E55F5-3B96-4960-B15A-706FFD04FD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515C0242-F40D-4BDF-8E3E-39B588CA6B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CB692031-070C-4D23-9ED2-B07C883A6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58200BE6-4823-43F7-ABCF-1FA4F608D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35695E99-8DE6-4E29-82FD-B11E0740D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EAFE2FF6-65E8-4B17-8A26-3B2D3D9779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10344ED2-697E-4112-9C08-166769DA81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22C5AA30-4872-4528-96FB-FFDD79F34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4ED862C6-1843-49D0-81AF-3499BE37FC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522E70D1-38FA-4C4C-B2DF-91F7876558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2F8459C9-EDEC-4EA7-95E1-E866E8C27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9E37AA91-21FF-4B89-824C-06D0DC75D0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723721C3-5458-4EB3-BEEF-3638C93139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F164F967-7958-4ADB-AF9D-A44D34A93B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D3AC93ED-4306-4345-A8AF-0017E3B39A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6F482893-03EC-4E19-875B-9ED7C46FEE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D667AE67-8A13-4DDE-8AEC-C783D2915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566BEF36-AECA-4C82-9A16-7002FBC06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735306AE-6678-4040-AEB1-BC10B3ED89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388EE6AC-3CB2-4301-BA44-7B0C3B8CDC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2B2B21F9-8837-472E-8E2D-02EDC25EC7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1A110682-3EDB-406C-9044-D37264EBBD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1E997B5-2C28-4F9C-B914-001CA1FCCB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A2CC6E73-6E46-4888-B0AC-9F9D30F39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CD5D75BD-8D86-4A41-9F48-450738A029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3BA6143C-FE85-4CB3-BFA3-B95298D513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DE6A3012-5E6E-49F8-9D80-C9E160481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E3943742-A45F-4D1D-93BC-BD0F51586B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661C1F92-30F1-4DB0-92FE-058AE7DED2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90713223-3EFD-4858-A85E-D7B7A4479B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2B621BEA-4C43-482C-B3E6-580AC3EEF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E947B215-CE8F-4797-86EF-72D7ED713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FB6B37CA-D68E-4E26-9EB0-C4B5A22B8D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27556AFA-BB70-4784-B6BF-2BF2B2E539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D30A5E4C-144C-4741-BCA3-2792E3B62A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1AA0DE3D-46D7-4D94-A7E9-EC619F48F7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980BFA0C-6E13-40AB-9A73-904E75BD0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F4CE57E8-E765-449D-BF07-B6A968CEC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8F96DCA4-218E-4869-BDF2-5512F5552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4C868CF0-A364-4CD4-A995-2108CD040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12EAB169-A1A0-4456-8AE4-0954BE6EFA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CA63B8D2-CA03-43BA-8EBA-28644E2C9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9BA3BD2E-39D6-44F4-8588-FB6CF0749F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9034F9FC-A229-40F9-AF60-F3B3F8D81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95BBB73-2D0D-435F-B75D-1F6D3F7358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B807C8AE-2568-429C-95BC-9318877731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447B2A12-27FE-466D-BE44-356775DE01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196AC1AA-C44F-4D33-9766-18D8F9475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47EE98D1-1416-4892-94AA-8596E25DC6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8040DE59-9C8C-47E0-A906-2A6D1478BC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2EA901D2-ED67-4FC1-BAD4-5A9A536A90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BDFCADF5-D4C1-42AF-857C-8B653D1F49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60E5A347-04D3-4D72-AF20-BF27233089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D20D511E-AFC3-42C5-B447-B84F4FE3D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592F32C8-2C03-4A20-BFEE-C9A2F76FA6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94D1BB1F-A1A8-4633-A2BF-B3A114A22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D0DB51FD-0F3B-486B-AF1C-69DE249737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BEE38C0C-29E7-4C1D-A943-840A8A767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E51101E7-061A-4A93-8CD4-CCDA71A1F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28F58A5A-8269-462F-A32C-A4B9E85EB2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6EFF9AE0-4029-45C0-96C2-2C58BD2DBE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5F1B0BB3-951A-490C-845F-819F6D07EE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99BD732B-0DD7-469C-8705-D63BDD91E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A96B0499-DD72-4F72-AF03-E93C712EC5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85894EC5-4ADE-4B2B-B0DA-9E0632E9E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D79AA96-657E-4AD4-A4C8-81950DEA2A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12E7ADA-DD42-4C8E-8D31-00359F831F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5557FBE9-69A8-4832-9A5D-1DFFD20F03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235673E0-03A3-42EB-ADFF-F7395F997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7E284C7E-A66D-412E-99F1-8067F363CE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93100896-B84D-49CA-8B23-82A9C2BD0C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6BDFDE16-5B2D-441F-A08A-6F3CC5EDA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2488D2EC-249C-47AE-9CC7-6D13086D32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27F0EB19-755B-4EF5-9463-735BB7410E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1086C732-9771-43B2-B08E-0B988968A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CEC8C5F7-F4D0-4E20-88C5-F4C1CA87B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1A6550FC-6710-446F-8F1C-7C44B90C1B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14048FA6-2614-47B6-B7B4-9323E05205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26D9490F-532B-44A7-9B87-C1661D228D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5895A88F-2C46-4747-8306-0F073BDED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40D1F173-45DE-4717-BD61-C46B094FB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A1D554DD-2322-482E-9772-4E9E4AA235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7022AC76-5FC5-4C60-9263-A07B1D808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69E8ACFE-8063-456F-9D8D-C5BF7E511B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377A949F-1A88-4F64-8CB4-8E120D8CF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5E0CBD64-FECC-4CA4-ABF0-DEF96CE9D5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66D641DF-09BB-4A9A-89FF-3ED3632FB1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BD13B5B-961F-4B1A-986F-BF2F573B97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B0D99D02-49D3-489A-9EA6-30556F2D1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5C7FC174-BA8E-423E-8089-5BD88F85E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80DAF3BA-7E90-430F-A4CB-9123CE568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60878006-1B66-4D52-9BC9-4487F38DEF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8BCC3B5-A47B-458C-AF2A-0BFEA7A55E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66304ED-1163-4189-83F1-6A91BFEEC9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89DA712A-1FAB-4D86-A230-B0C3DA000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4909851B-06EB-4ED5-8A34-D6954D2CFC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5963A3C6-6537-4841-B0C5-D5E37DC275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31750D9B-CF4F-49E2-8099-A4CA84847B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A067AFEA-B492-40D5-93E8-9148F312B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C56A6EC6-061E-44E4-AE55-5217E809A1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DBF8C5DB-5701-4C43-90D4-494F1229F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A2D6D686-F5C2-43FD-97F9-7B5B5FF66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45AA03E6-BD56-4F4B-8F4C-F7D8F0C7E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647A72A6-5D56-4FF9-8DFF-0C19670043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F81CF4E7-445A-4E82-BC1A-4A0E0F1BD4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4D6DF1C7-835B-4998-9BC7-F088AB9F9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B00AD3FB-CD68-4D6F-9093-E3384F35BF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9AB411E7-E917-4ACB-9E01-BEC684E846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8C915D6-DC9C-4D96-8430-B7C4E3A395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F155ACF7-D0DA-4893-88FC-3367246601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C1EBA21A-FB69-451C-B836-0CE16A8E0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F02B26F7-869A-4E2B-A5D4-DFD2E7877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C22A5811-31F2-40BB-B2A4-23F7AC468B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CBDC442E-AA30-43A4-8F16-B868AA1A99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35295E19-C27A-4686-AE45-1D8477307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ADBF260D-7A75-4CA8-8E1E-F6623EE7E0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41218FEF-2CB6-4558-8354-5C8802D5AD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15F090D8-8096-487B-9113-A7B969E0A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14DADC85-4198-43C0-8F47-EA4C82DCD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4FECEF4F-C85D-424B-85A5-31F67FC9BD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221D39FA-2D78-4150-8CB6-F08380A770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42AA9869-0CC4-49A4-9B93-00A0DC3580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DBDA12B4-EDAC-4D72-8F9E-7211F3ADCF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FCAD0231-7F5E-4771-8758-A9A7F48A9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D2A445E4-369E-4EF1-B732-9C0853B9DA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632CCF40-8D3A-4374-A207-9F2D24741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9836551-1FF5-4272-8465-D5C13ACE9F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BF89AC8B-AFCF-488B-B8A3-A9EE2A872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B4665A5E-4E98-4E2D-89B6-D438500F4F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24C1F706-E80A-4AD1-BE63-2336186BE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C5E5A2F8-E256-448B-A280-8C92283CF2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237E7B13-F6F4-456F-8E66-DEE9678F4C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4B65D043-F2D8-41F1-8FDD-A5475CED3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5F4B7A71-B6DF-4C71-B5B6-AEF23A27D5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BEF9CC0F-2C78-4A9E-AB4B-87BD3DA9B6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50972D55-E51C-4F35-8441-B09142D4D2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9F57E328-3369-4B2B-960C-46B75370CC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4A7198E4-3398-4BF1-850B-D54C802038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AF4C2AE-A83D-4078-B3A2-F97336391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FFD60F16-782A-4B12-9BA8-B5B4F8BB90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79EFC1CE-4AFB-4063-9098-6D708E1DED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E4321903-557B-4034-ADD1-074FD14FB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E1A1E848-D2DD-4C62-8333-8B810F725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9A7B8524-1721-48FF-8B30-E8DB41EDE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C8B4BE5D-EF5A-42A5-8FD8-4FC095C840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DE0BCCA5-86A0-4FD8-A676-40696E142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58F58CFA-8AB3-41E0-96B5-53BEBB8726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400967E2-A390-4BF6-B3FA-D6D7EC47AC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A824CFD6-796D-43BF-AB4F-08A51FCED8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EF7FB7C1-81E2-466F-BFBD-FA38561218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200AC4EB-F6FD-4F11-AB4A-2C9E3DDA4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2847F8E5-F4B7-4C0E-8AE9-0B986094DF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C89BAC45-74CA-465C-AEA5-8596D4D7B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350BD4-1C8A-405A-9C45-F152500D46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8AD9979F-BF6A-4948-8D18-C601D277B1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BBB46B7B-DDDE-4430-B1DE-981CC3117C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38FAFEA4-A8CB-49DC-A902-992CEEE292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6A984A4-9205-4E37-8991-0DB491183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B665F2DB-9093-4D5F-BC68-F4C6BF196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E4272CBE-5063-4B87-B391-5D13DF7114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7A1B87B9-C7C2-4014-96CC-2B13B25B11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D057788-847B-4340-98A3-FC5E8CBFF8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3DDC1F1E-1857-4526-BC8F-2486910C4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EC09902C-7279-4239-BAD4-E337868683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2A5342A5-9EF9-4D3B-B7AD-1DD1935105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94DFAD2F-4F92-435C-AB44-299F390319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572269DC-41C1-4B57-8C2D-39D4087C8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10B066EC-61E7-449A-B205-74C0696720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A2A81BB8-B9B4-4AA4-AA9A-3E727B4019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D5EB4646-174A-491E-AF8B-31FFACBBA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A8EAEABE-502B-4277-B49A-80EA1F630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FEAC0F0-2D28-4D6F-97BB-ECC00DE57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C5550904-5562-4594-A11A-A9E5F60CC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563749F-D191-4102-A5CC-72B6420B4F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F059DAF4-37C3-4E4A-B04B-3BDF6896F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263E7316-FD7F-45AE-8C01-1A9BAA627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7D262900-2081-412C-BAFE-B5CE02DF1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FF5D84B5-07AE-49DC-819C-90E77C0D28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F5D6F64C-99C2-4D65-9E5F-47794D172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7157556E-56EF-41F1-BEFD-AC57F9BFD6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64208E6E-95A1-4485-B7EB-60B6A7872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CC543383-A1A6-46C8-B994-563E37BEB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8F5696B5-200E-4BF6-AE97-F04855746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275E8259-E885-40E3-8B78-14AAE7CDCC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374BAE6B-79C6-4DC3-AFD0-84C902B48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82CFBCAE-A13B-4714-AA63-5288960F99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5015E6C1-1ECF-42A3-9604-A380259FB5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933EA37B-0F7D-4A61-8AB3-960F0B5D3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A5482D0-EEBC-4826-8B50-31FE32717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3DE61CAF-CD8C-4EE2-86ED-03E4379547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E97A81A7-1038-414C-A027-9DAE60B048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EF45696-4AEE-43EB-A18D-B19A79B14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B48B1299-5622-4FEC-A178-8C5170C3EC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86F6AA5C-71B5-4D3E-B0B0-E376D70A1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5AC5804C-6901-418A-80E8-0603035422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8C6F9552-9680-44CC-9D3C-B0A95B3548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8F141DAB-2BF6-4615-B3F8-A960CEA16B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A4AEF4E5-5379-4D08-9CDE-3F3B7FD07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226BFF0D-58D2-42E0-88B7-388FF082A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EC115AE6-F70A-41DD-BC55-781035C6E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36DB7D2-5E59-438E-965A-DDDA6D1EB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40FD7A78-A22F-45ED-B86A-246A3F3565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EB62D798-238C-4D00-A7D0-12D213442F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C31105AD-4DCB-4383-BD57-41C4195F2A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6E9C7F27-14F4-4984-897F-8AE149F543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54AB8E47-B997-4FE1-8F5E-E0949F7B9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4E712726-D05B-46F8-AF2C-62EA0C26FF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BDC0A404-8F21-438F-8431-DEF972AB1F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F7AE3C18-3A50-47B5-B5BD-4BF1C82CF6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DCEC44CC-1D5B-418C-A463-DFB7422AD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1E1543CE-58F4-4578-B327-F99DCED96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A00FA08D-D53C-4E78-BCBF-8690BB475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6B718580-C4C6-4454-9C87-0077FC1B8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46ABA4CD-F2E5-4754-8ECC-B1D0B8AF03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A9C83FE8-4E81-461A-B462-B283DC38E4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65EA702D-67FF-417D-8888-F9949CED8F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AD03EE11-A373-4CEE-90EA-D4B5F289AC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ADEA0D09-F6F4-473F-9CF4-CE97B570C8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2F4459A7-5474-4C32-AE4D-1893AFB85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27C4EAE-8D31-4474-A569-69DCFCC079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323781CC-B4CC-4254-8BB9-74711070C1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76A0FF43-B379-444B-8DCC-E627743CDD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C071C565-4978-4435-81BA-DD2B290BC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B2E8D3DF-91D4-42BD-84F2-8578D1E52C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E8CE6C7A-9A35-46BE-B9BC-FCC30C230C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2AF29C39-80D5-4A16-BD71-9BFFAC12D9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89018E42-7C16-4869-AB48-18522A6DEF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E66406B1-E0C6-452C-8706-5C9418B216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716EA733-B68F-41E5-B00D-0EF060F1F2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FC56E7E9-CE11-45B1-B637-4C7829482A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80FF9956-F3F4-45E3-9EF8-8C11B804B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39EED316-27FB-439E-BC96-4E639A8118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C04FBC0-9747-4736-B7E5-378F20E8D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5A5D9602-C36B-4D84-B485-C3D5936A8B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6DBCB802-CC78-4413-BC43-55E9DEEB4E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563F3059-BEAF-4315-BF40-8B7786F91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6E6EF536-6C5F-43BE-960A-DCDA167A6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AFD325B1-5EA7-4D2C-B6AC-89BF3631E6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FD688C00-C2BC-4C54-AF3F-4AC0FCFFDA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D42A680D-4966-4B8A-93FA-75F9CB8C05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635AC34-BBE2-45F2-9AF9-70313BA438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1C662225-966B-4490-9C23-205955D0DD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51B8E24C-EC76-421F-AF7C-C09883060E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ACEE9C5-77C2-4F34-B968-59B5E38CE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E4701F4-D4C8-4179-B254-DC3467F7B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AE41D27-D012-4A44-AB59-DA93672C09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3EFA848A-5212-4A89-88D1-7709CB6BAB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BB758A-3240-40F3-A4A5-1E5980A3C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5A6799BE-C035-49CD-8E9E-C15E6593F2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D7117796-9853-4C15-AC0D-16241BA04E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D888A23D-9D5F-4C93-A114-460A079741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849EC8DB-8ACB-49D1-A2B3-4C66DB9C0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F1B55BB3-2C39-4900-8AC9-56743D9565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A6548C27-6327-4BEB-B468-7D82E6B8EF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A1E68F94-6000-4A3F-9143-F2B97A8F4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96E41269-542B-4CEF-922C-53FF3B98E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180FC1C2-3174-4679-97AA-9943B5EAC0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8135399E-A845-40DC-A68D-349153B40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239FE193-D1EF-4116-B36D-0733CD4CBA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3BA7E72-A88E-4D09-901D-E63BD80B1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17F9567-70A6-46E3-BB0D-C2F15D8C8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E133F143-211A-43E1-B8BE-B1F71EB11A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CBC28C18-787F-4EF6-9604-735EE9BC19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A0FDC3EE-CA42-4B4D-981F-ADBF1A8B01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763F2F1B-97CE-4793-9DC0-EC3E0EBED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5B0E9D4-BF43-49A4-A1E4-02C4CF2C4F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D71B1485-4D6E-488C-BFD2-6944D130E6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17410831-3AF2-465B-8516-3695AD1F01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848D3FA2-CAD9-4122-AE15-1A1D307E8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91BB14FF-6720-4BB7-933F-7DBFB7FFD4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9FF2BC7-D8C3-44A0-ABB9-0AE53636BE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7467B70A-3F4D-40DD-A7B5-E422184C4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EB4B80A4-DED3-4CF5-8643-EE55894A01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BC0EEB95-3499-484F-AE2E-024C19F30D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F4DCF81E-6648-4381-81ED-978F0F6BF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EB2CE09A-305E-4CDB-8D52-453C482F8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31D8D37C-053D-4BF9-988C-4B08B125D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739A81E1-1C4E-4AA9-A7CB-3FC2C4E11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3877C810-0772-40EB-B606-0F5A4936D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C354C1C1-3A0D-45C3-AA4C-36F301EB6E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A8007EF9-B83F-4541-8018-F1E890E21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79FE0575-11F7-46D6-AB66-1315126D11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47E31994-8000-4499-9598-B5586E3FD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4B92CD5E-A4DA-440A-BB6D-5876E74397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A9746095-AAC4-463B-B373-4791A736D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481CEF16-2397-41C2-8A37-D57A0D77B8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DDF5A49B-6E6F-4061-B057-4B50EE266D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67D2844E-9DB4-4A79-B887-130A0976E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B332E359-4BF0-45ED-AFFC-B5AFF4BC97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B8687E50-E34F-4A16-8E74-CF85F47911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3674DD3A-43E6-4C4D-9EC5-255985B0C8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FB295AB9-9C3A-44C3-9908-94A666F9F5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E5CEA0D2-C6F6-4E5F-842F-6B0E5ABD6F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93DA2446-D551-43E6-AA71-8D90FA31C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A78274-FC68-4514-AAFD-D59F1873F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919FADB1-C6EE-4272-8B94-6A5A61A0F9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316A62C5-4F9F-47C7-B30F-2DF9BC698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80244A11-8ACF-4445-85FB-B326E68A3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4569CC3D-89AA-4DA7-9EE5-F960366B2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E7DCCC8B-7AA0-4A83-A569-E707874B1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B9ECCF1E-3B2D-481A-A48A-1082E07A4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DE8C57BD-0F7A-4CF5-AE75-2A1C2481FA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C89C7FB-464D-4ADD-B7D9-A11E491156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235291DE-DA21-4FEF-9A44-278CE9AA79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5C3E203E-2C86-408A-A39E-E163D8AF64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CBA3791E-4D03-43F9-B6E1-04949942BA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5D79C5F2-D5B3-4AD1-BFE7-1640A052CD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8A697C9D-80FD-4932-978A-9FBA9C98FD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5A4F18E0-75B8-4177-AB74-F5B83FF9F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E10C6E51-3AB7-42BB-8F79-710E71615D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BB59F8EA-CD6A-4072-A510-0152499298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D2FD1049-9023-4CED-B131-2896523449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57E15091-ECE3-438D-85D2-172FD5233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716A4D92-552D-418E-AE9B-89FF698CD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A8BF3200-6061-439A-A7C6-D04B35CF8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C23B21F8-C0F6-4C50-B034-053AB228E6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9E0862B0-A51C-4055-B24B-D9C303FC7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E146BB0C-515E-4EC2-A2B3-071BDD30A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38A22743-DC2C-499B-9C01-9F6EB33B81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977AD2CC-25EA-4DE4-A918-CDF24F24E9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CFFBA63E-D862-4307-905F-9289E6C75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EA19936D-0664-4FA4-9B22-2C895FF8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9568B340-348E-4B03-8BD5-70C1EC92DD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E70B30C3-26CD-47CB-BF30-C3F3A07E7F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612667DF-7409-4756-B705-F81E64484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AC7BD4C4-7714-4565-A540-E510AB87B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DE171D34-51C7-47BA-BCE7-3E615384BC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9A725BCC-B586-4D63-A8A6-0B6A1F3156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D8E6F5A0-388F-4803-BC4E-554D2E977D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B9B30D55-4B13-479B-944F-6F62D177FF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52061535-53EC-4202-B11A-8AC1B69970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F2E1AA27-1CC2-46D0-B2D4-A4764C599B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77AAE729-6EFB-4350-B55B-5CE86654C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2EB98AE0-FBB0-42AA-9AB1-0EF44000D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855BA026-B85F-439C-83CE-377307D92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30ADF307-6349-48B8-955C-4CBA0F2BA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E44BB5BA-5E26-427B-A4B7-B37ED91EA7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A829C32E-6690-447A-B4FC-AFE58372B9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16C19222-59F0-45C9-9F9F-45DD2FE3B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94C6B9D-9049-41A8-8F8D-03C516BF23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781F8A3E-ADF1-48F8-80B8-1B60F08FA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606B07-AFD1-42AD-A7DF-C6F543B72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759EA349-9485-455F-A077-0C78CBA08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A38174B8-D452-4A0F-80F7-A6F781A2A7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1FA829A8-92D2-46F5-B336-40349DE605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3C9E459D-82D6-4A95-94EF-02E7F4556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B31BA4CF-58B2-4307-9FB1-E7CB7A1B8C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355AA306-8D37-4FCC-989D-8889F78DA1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CF1D0BB2-5623-4024-81AA-DAAAC9E325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73EF341-2739-4D2F-A3B7-C72CC3B69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6D49D3EE-35F0-4511-94E2-BA7CECFE83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C8330C51-62C2-4799-932F-F541D9EDE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6052202B-2BB4-4D91-B9FF-C781BC99B3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B5AC957B-58FF-40AB-A4E2-E52E0947F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6CAC2861-3D74-4558-B782-F2417DD771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2D0F212E-F3F2-4F44-AAA2-90FDB5339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C7C74A54-5A98-40CF-B82A-7C5E854B2C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5E9FCD8E-959A-4AAA-BF08-48046C820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76539ECA-4561-4807-B754-4A05DA12A6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1107EA7E-0D58-4C7A-887B-4247C1B5B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79EAE686-D5A5-468F-BA97-1D1B33BD9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BD083075-9210-4FF2-938C-DCCD32625F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9FC10836-4627-4C42-A640-4D0FD45125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E9D0F421-A7EA-479C-9135-C597F2BD2D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6F81C2C1-AD94-4BAF-A28E-7A7D502C82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7362A88D-C477-4F5C-B655-347795A236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9081DCFF-CA54-4C9E-9CF9-8F4198CB40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FF124B57-6F57-4C85-A7C1-5CC122E8BE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2B74B6BA-84F8-4D43-9BF6-02B3ED4177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77A22493-35A4-4545-A723-7EC0B05C4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B4C2B7B2-E6B5-4663-AAB4-C5CF720DD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9A87F105-CB5D-4FF8-9530-70A27043A5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BB2C1786-2D47-4864-A57D-34E4B9F274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42841174-5340-498E-B2EB-266506EA71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B4B92174-259B-49DE-A491-4B7F0FBECC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DE07702D-F4A6-41A8-8445-28BA02A6DC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BB0086DC-DF64-47C9-A3A3-FE3B4BCC51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AAC3396E-01FB-4525-9244-5B7C85C29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BBAD1769-1A26-410E-BFF5-DD22626F0D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C4753BA3-9D0E-4CC6-B216-0908AAF58C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4C2A128D-55FA-4770-9398-2BDE3ECAA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D25460A8-0E0A-4275-BD73-A31070507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6D9B932E-83F7-406B-9924-1664134605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9147FC82-525D-478A-A9A5-414553FB8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5B0AA53D-78B5-433A-809B-22BD0462F7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E7D15B58-48F5-459F-B2AD-FE4802CC68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C70C8F9F-D94C-43D8-B652-2176786F9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A0EE646D-4B02-4747-B78D-1983026B7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5F8E72FE-1491-44E3-8989-5A4CDED9C6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B4C98B7C-8BD3-4FBD-91AE-33421B652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D67256B8-D392-419F-94DF-86A8C4B05D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DBABAC25-91D8-4D50-B336-364B4FADB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4A199BE1-92D1-4BDF-85A8-E67F121D9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C5EA0748-1859-43A0-B4C8-EA90AD212A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BF490944-22C5-4C5E-A4B0-AC7EC25222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170EE581-1990-4453-BE92-DC3EB2708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4D9A15BE-0C3E-4D69-846D-3DE327ECA0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93383944-4897-43C9-ADD6-5941897BB2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733C8085-0C1C-4B48-8833-6A3978EE43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7BB4B977-4EFC-4431-8B71-7CADC196C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5694D29D-ADCF-419F-BE25-D4EAD1EABC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3C352151-8BA1-4C0C-96FD-9A8D5A63E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5770AF5E-F0DF-4693-B1E7-0EC242E09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87EAD7B3-8ABB-4891-BCF1-22247A9901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8F97D3EE-BECA-49E4-91E7-C3FF6C6D08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670DFBFE-F7FD-48D4-9815-0B4262444D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99A7F52D-D05A-4244-BDFE-1F304AC759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1E6D755F-B5CF-4BC5-AB3D-C6F088961C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1C90693E-46A4-426D-85B7-2513BEBFC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F05F137-EF44-4465-AD25-B71815668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BCF807A5-6A42-4281-983B-4206EB68A8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ECE4FDF4-0283-4170-A8DF-486B0506D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C18FC431-FF45-4CB1-A0BE-CDCDA2CFBD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4EC55E7A-FCEE-4880-93EA-EF12E0372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84F702C0-93ED-40B8-AB42-A60F5E412F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AC92C7ED-6858-472C-8549-EF94FB792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7122FBAA-7842-4F78-B4E6-12C9F3DAD0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E27BF39A-8EB3-4E5D-9E2C-49D6E352AB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8481EC61-99BA-487D-AC4D-7BF045410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911245A1-0984-4690-99F3-C22AC2C04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463EE93B-8583-4545-A931-C3730DA023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F0CACC-B2D8-4459-AD3B-59A025CF9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6AAAEE22-C7AA-4339-95F8-9F3E37A005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A3D85CED-20BE-4763-ABC7-2C6D6C2F5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2F86A51E-0019-4D79-8949-2D1224EE51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F56C1A52-26BB-4562-AF67-CAE4CBCCE7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CBACBB23-FEE2-4A28-B747-9D554FCA4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C8A7A9AC-E12C-449C-BD82-FD79DBFC7D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B4B45FA8-E9E5-43CA-A31E-0A21DA15F7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CE6C2B3D-30DC-4616-82B9-DB08690648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E1132133-16EF-4001-8532-3F52844A3D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E7F1E2B4-1153-4CE3-96AB-14CFC6C1E3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F0AE0595-B159-4533-9E56-C4A332575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812DB9E3-D16C-4477-A888-D87BB4DD6C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E313913E-810B-45DB-A398-043512C9E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D278BD32-2B15-4DF3-826A-0E2CC66939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22174BAD-876F-4986-BA0D-CCA0FB3489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9E3F692C-3544-42FA-A7BC-BD3A8844F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54456719-B735-4462-9A89-2813FFCAC2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1EF89ACE-B165-4B52-9D79-93EA556DED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7D7C853F-AF33-4A6E-A9A7-BA65CE900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32FD6FE1-CEB9-41D1-8360-11F7BF78D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11F5D5B-D26A-447C-A851-03C235618F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9599A3EF-EC58-4F40-977F-5B27F655C6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D89109FE-5B46-49D8-9AB6-988CB5FB9D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A430A49B-131A-4C21-AC1C-3222C0149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F40E3D3B-135D-46DB-8160-F689809CB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1661ABBA-1C4B-41B6-99EC-749C6C123A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C47BA406-BAC3-4B99-8310-DB49E552D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E774CA0C-EDB6-423D-9CCD-37933C6796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19EE2E07-F74A-4CC8-BDBE-1B28E66FB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7796988-FE8D-4577-BAC2-933C3EE301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447CEF9A-50E5-42C1-9A46-31BBBDAC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5F5079A7-472C-4DC5-B974-CBD57FE97B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4B63D2F3-2E5D-4798-AAB0-E4B5A3B03E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110E4564-D0DC-4486-8F38-61BFF45D24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45E08C6A-04FF-4A2D-B378-DA2C37E37C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A974722E-1141-4D30-81F5-0F51F32B2D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600D124C-87F4-4D6F-8A87-07F1CEED0F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88C5CA20-F06E-4029-8164-0DC04F8DB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D57F4B41-ED23-4B06-891C-9E03CF0F5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CEF205D4-2FF3-4A5A-9D36-844C190935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FCFACFDC-D6CB-42DC-9A99-4406C73E8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1EB56CD3-4DC6-42C4-8DCE-F0C0FF6BC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B56D994C-D9EE-427E-89E9-7E8DAF843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A6A2B8F4-B5D6-47CD-9611-A71D8FCBF2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AD00DE2C-55FA-4985-BD9E-ED206EC18C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FC3DD5CA-E7D5-47F7-B90A-FC70AAF0D5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E216CD02-75E8-408A-8D59-AE50D96D1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2F5A2492-0B78-4289-AF2C-B1B33F9A0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B1820E2A-CFF5-44AE-B19A-78FEC5962F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77A88719-4E2D-4738-A08C-C25FAF03BC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E4F0023-1C67-4616-AF09-8722DDC131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93BBF96D-535A-4E9F-B19A-EA30C46960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D66B183-CD3F-4093-871D-04EDB2E22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69F126B8-7A34-4B03-BF3F-13BB295CA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B693F769-06A7-49C1-98E8-5D66F3F9DE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805956F5-D351-4622-B45F-A432A3B64E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96ADE382-BFB2-44E3-89C0-6B7497F02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F93050CD-4D6B-4D95-B3F4-508B711255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9EF8CFDE-790C-43E2-B53E-5EDC6ABBE6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ABF5E980-4D19-4145-9B9F-BA2AC88B58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5085A449-C161-4AE2-B028-7C7203825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5A05B0C5-4A8E-4951-B7D6-384FC8894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BFC58E61-CC4D-43CD-94B3-9D69C3058E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4168BEF-613D-49D2-B09A-45D462E0C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92D56F-F499-450B-9541-24F83767C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D1ECF54D-39F6-4A5F-AEDF-4D504E957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147BA546-1AFC-48C2-A2B1-DD2A83DB1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1DA144A6-3274-4571-8227-807ECD8B3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36D65134-0A4A-4338-BBD2-A48D10B75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2CD09F05-2264-4A69-88AA-5F1A905AAA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7E58BE9A-5C40-4C70-BAB5-9872E9894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2B107005-0C3D-4AC6-AD1E-550DAEDFF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5569F075-35F3-42CF-A085-4AA43933AA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A61C2BFE-13A3-4BE4-8789-70BAF25E70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424D1773-AD81-461B-8844-49546ED110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2BC3D482-D548-4DC7-B2A6-8EA4AB24F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9BE18DCE-2980-489C-937F-386F9A5A5A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89241EE6-F078-4B15-82C2-674CDA902E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F16BD897-F0AB-4F88-A324-2EB21122E2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1BCBF80E-33FF-4597-AD7A-C48B998A27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94FDCB1F-AB74-4786-BB23-AF7D669F03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DCF0CC20-32B1-44CD-AEB9-B181744B3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E3C74149-2448-4A14-B3BF-AEB2EEFA5A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95B2F868-016A-4F92-81BD-E598D653C0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6DDBB70B-A782-479B-8B33-E1098E98B0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464B8868-03C6-4E4B-9770-4776D39815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54057942-9E97-44EE-B0B6-56CA3DAA78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42B484EB-12BD-4B86-B955-8A511D2FC7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987C0E3-F34B-424F-9F97-3587A00CEF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A4F5983E-3424-4558-A5F5-BFE5D1708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18CC4BC2-C7B1-4F47-BFE7-2DAC66FC6F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7AA21076-6DB5-4E3E-A06A-8E5E4D04B2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448BC5F7-BE76-46B7-A03C-6E6A6ACC7C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A5D60613-4A12-49A7-9C77-F98292D1F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4D32D232-47D7-43C3-BBFE-0FB875B74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87E05E00-E141-42A8-A912-16A7B33DF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E098163D-A6A6-4AEA-8FC5-6D2A4A2CA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4716AA08-75F0-4A3F-9757-9F01201C7F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E943F10D-4DF6-42F3-9914-B31595CB8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6FE6B5DF-FA7D-4B03-BFEE-7B7CBBF96B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AB633C3D-75F2-4A16-935A-CD3494103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CD925CA-B34F-408D-9AA8-9F9A6A56E2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34FEDCC1-07CB-4C05-BF0A-ED760AA2F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BD33AA0D-A1AC-437B-A11D-18DDA9BAB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CB23610A-FF6C-41C9-8FD1-E46BD2709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F7C9D341-7EEC-449D-8B6C-40A1AF65F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23B369E0-3B80-4DF6-B181-D8D3EFE505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B8EF63FD-838A-42D9-82EB-9E02ABEEE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1D3EEE39-9495-4BA4-A760-3A4E383C63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74E6F0DE-A9A9-4259-A4C3-912FBDBE7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C13928AF-440E-4EE9-B4FB-A848E22C3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7FC59E71-8E0A-4071-B826-C5BFF7517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AC031032-B4EC-4E9C-97AD-2D7E3282FD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242C6180-921A-4C51-9622-8AC0E5A733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1555C4EF-5F62-4A91-BB63-A2C9821E98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D9AA5392-470F-4BBA-9A78-F1093060A3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B3AE884C-6828-406A-8991-FB538698BD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3FD242B8-3FF5-406F-8269-7E56FB2246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C563E50D-21E5-4106-AA4C-00DA8FCBA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C41A779F-827D-4B28-8BDA-0B6CF1A405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D059677A-9D65-4107-9C4B-2F18959300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8E7C9973-98C2-4549-8B9E-036A2E751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528ECAAE-9F91-4201-8FC4-94DC8B03D8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20B5316F-AC49-4CE0-8C59-3B0353D41D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5CAE9DB0-0FAB-4194-B23A-94141FC696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3F1A3AB7-08F5-4C28-8E9A-BF8A850E5B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F23EE35D-9966-4FD3-AE07-53080713AD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8CD803EB-7FF3-470D-8568-AA31568C1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14EF05AB-ACDE-4801-9FEA-BDC05E3AE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862927A6-70BD-4499-AAF0-EB3EF5DC6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A2CCF472-DBE9-4846-B472-81B50385A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FBD59A55-32BF-4845-9885-A80318B510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D76CCD3F-5C68-4C28-AA0B-58AA7AC45B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EC3B8044-7E5C-4102-AFFE-AAE649ECC0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7305F3DB-6116-4DC4-8C28-D760F52639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D8C466A4-AC94-4F6D-A41E-7B0D2426F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90167C0C-8BAE-4D9D-8DE5-5180908FDB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DCFE7543-19A7-47D6-91D1-9C8F0D43EB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135AE103-2D92-4E0D-B2ED-248BBDA675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11C0ECAD-4EAC-4E70-A289-1A1D904942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2F50419A-E7EA-42FC-94A2-97AAD968BE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ED2445-5CC5-482E-92D7-BF1EB768E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1B15FD82-4C8A-47D4-925B-004EBA9E14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3675657E-AED6-464A-91E7-B98747891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ADD65453-E11D-43B3-B917-D6769C12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93F5CA80-7320-4193-869B-CE4462F027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888C2606-727E-4943-9B09-879DB2B30B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7947C6BA-2921-4FDE-B4F5-B11CEE5C99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D074A9AC-74D3-46CE-82E6-5029A2ABDF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D8A6A0D3-3EEF-4D10-9570-0ACB316DE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789FFBAA-DA80-4776-9D1F-FC8333C29A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1ED239F2-48AF-49F6-BEEC-50471C3C3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D7F82D8B-A469-469F-854A-F3FB10D911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796AB661-E6FD-44E3-AE1F-2954EF927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78A0108D-1305-4E64-B8F4-504B35DA5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5F58014F-7395-4DB4-A055-D4FEAD4C0B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F3F9B5D5-3A85-4281-BFB9-AB62816B1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5416ADFA-7820-4197-AE6E-DF7D624778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D63A9178-E8AD-47EF-90B7-7B8EBC0AC5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7D2AB7E9-C628-440A-9435-B00B27D19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902592CD-9154-46E1-9F26-59E2C64FA5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53114DBE-EC11-4FEA-92D4-51BB18DBB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DD4E2105-6CF7-429D-90B4-988358BDD5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44287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" t="s">
        <v>3</v>
      </c>
      <c r="B2" s="176" t="s">
        <v>4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4" t="s">
        <v>7</v>
      </c>
      <c r="B3" s="182" t="s">
        <v>8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6"/>
      <c r="I3" s="187"/>
      <c r="J3" s="4" t="s">
        <v>7</v>
      </c>
      <c r="K3" s="182" t="s">
        <v>9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82" t="s">
        <v>12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13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182" t="s">
        <v>16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6"/>
      <c r="I5" s="187"/>
      <c r="J5" s="4" t="s">
        <v>15</v>
      </c>
      <c r="K5" s="182" t="s">
        <v>17</v>
      </c>
      <c r="L5" s="183"/>
      <c r="M5" s="183"/>
      <c r="N5" s="183"/>
      <c r="O5" s="184"/>
    </row>
    <row r="6" spans="1:19">
      <c r="A6" s="4" t="s">
        <v>18</v>
      </c>
      <c r="B6" s="182" t="s">
        <v>19</v>
      </c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20</v>
      </c>
      <c r="L6" s="183"/>
      <c r="M6" s="183"/>
      <c r="N6" s="183"/>
      <c r="O6" s="184"/>
    </row>
    <row r="7" spans="1:19" ht="17.25" thickBot="1">
      <c r="A7" s="4" t="s">
        <v>21</v>
      </c>
      <c r="B7" s="182" t="s">
        <v>22</v>
      </c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6"/>
      <c r="I7" s="187"/>
      <c r="J7" s="4" t="s">
        <v>21</v>
      </c>
      <c r="K7" s="182" t="s">
        <v>23</v>
      </c>
      <c r="L7" s="183"/>
      <c r="M7" s="183"/>
      <c r="N7" s="183"/>
      <c r="O7" s="184"/>
    </row>
    <row r="8" spans="1:19" ht="17.25" thickBot="1">
      <c r="A8" s="4" t="s">
        <v>24</v>
      </c>
      <c r="B8" s="182" t="s">
        <v>25</v>
      </c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 t="s">
        <v>26</v>
      </c>
      <c r="L8" s="183"/>
      <c r="M8" s="183"/>
      <c r="N8" s="183"/>
      <c r="O8" s="184"/>
      <c r="Q8" s="170" t="s">
        <v>27</v>
      </c>
      <c r="R8" s="172"/>
    </row>
    <row r="9" spans="1:19" ht="17.25" thickBot="1">
      <c r="A9" s="4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6"/>
      <c r="I9" s="187"/>
      <c r="J9" s="4" t="s">
        <v>28</v>
      </c>
      <c r="K9" s="182" t="s">
        <v>258</v>
      </c>
      <c r="L9" s="183"/>
      <c r="M9" s="183"/>
      <c r="N9" s="183"/>
      <c r="O9" s="184"/>
      <c r="Q9" s="2" t="s">
        <v>29</v>
      </c>
      <c r="R9" s="6">
        <v>10</v>
      </c>
    </row>
    <row r="10" spans="1:19">
      <c r="A10" s="4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/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7" t="s">
        <v>32</v>
      </c>
      <c r="B11" s="188"/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/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11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192" t="s">
        <v>39</v>
      </c>
      <c r="B15" s="203" t="str">
        <f>TEXT($G$1, "[$-ko-KR]yyyy-mm-dd(ddd) ") &amp; "오전 00:00"</f>
        <v>2021-04-01(목) 오전 00:00</v>
      </c>
      <c r="C15" s="204"/>
      <c r="D15" s="193" t="str">
        <f>TEXT($G$1, "[$-ko-KR]yyyy-mm-dd(ddd) ") &amp; "오후 14:00"</f>
        <v>2021-04-01(목) 오후 14:00</v>
      </c>
      <c r="E15" s="194"/>
      <c r="F15" s="195"/>
      <c r="G15" s="193" t="str">
        <f>TEXT($G$1, "[$-ko-KR]yyyy-mm-dd(ddd) ") &amp; "오후 19:00"</f>
        <v>2021-04-01(목) 오후 19:00</v>
      </c>
      <c r="H15" s="194"/>
      <c r="I15" s="195"/>
      <c r="J15" s="193" t="str">
        <f>TEXT($G$1, "[$-ko-KR]yyyy-mm-dd(ddd) ") &amp; "오후 21:00"</f>
        <v>2021-04-01(목) 오후 21:00</v>
      </c>
      <c r="K15" s="194"/>
      <c r="L15" s="195"/>
      <c r="M15" s="193" t="str">
        <f>TEXT($G$1+1, "[$-ko-KR]yyyy-mm-dd(ddd) ") &amp; "오전 00:00"</f>
        <v>2021-04-02(금) 오전 00:00</v>
      </c>
      <c r="N15" s="194"/>
      <c r="O15" s="195"/>
      <c r="Q15" s="191"/>
      <c r="R15" s="191"/>
      <c r="S15" s="191"/>
    </row>
    <row r="16" spans="1:19" ht="17.25" customHeight="1" thickBot="1">
      <c r="A16" s="192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26" t="s">
        <v>42</v>
      </c>
      <c r="B37" s="227">
        <v>300000</v>
      </c>
      <c r="C37" s="228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11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14" t="s">
        <v>54</v>
      </c>
      <c r="B42" s="216" t="str">
        <f>TEXT($G$1, "[$-ko-KR]yyyy-mm-dd(ddd) ") &amp; "오전 00:00"</f>
        <v>2021-04-01(목) 오전 00:00</v>
      </c>
      <c r="C42" s="217"/>
      <c r="D42" s="193" t="str">
        <f>TEXT($G$1, "[$-ko-KR]yyyy-mm-dd(ddd) ") &amp; "오후 14:00"</f>
        <v>2021-04-01(목) 오후 14:00</v>
      </c>
      <c r="E42" s="194"/>
      <c r="F42" s="195"/>
      <c r="G42" s="193" t="str">
        <f>TEXT($G$1, "[$-ko-KR]yyyy-mm-dd(ddd) ") &amp; "오후 19:00"</f>
        <v>2021-04-01(목) 오후 19:00</v>
      </c>
      <c r="H42" s="194"/>
      <c r="I42" s="195"/>
      <c r="J42" s="193" t="str">
        <f>TEXT($G$1, "[$-ko-KR]yyyy-mm-dd(ddd) ") &amp; "오후 21:00"</f>
        <v>2021-04-01(목) 오후 21:00</v>
      </c>
      <c r="K42" s="194"/>
      <c r="L42" s="195"/>
      <c r="M42" s="193" t="str">
        <f>TEXT($G$1+1, "[$-ko-KR]yyyy-mm-dd(ddd) ") &amp; "오전 00:00"</f>
        <v>2021-04-02(금) 오전 00:00</v>
      </c>
      <c r="N42" s="194"/>
      <c r="O42" s="195"/>
      <c r="Q42" s="191"/>
      <c r="R42" s="191"/>
      <c r="S42" s="191"/>
    </row>
    <row r="43" spans="1:19" ht="17.25" customHeight="1" thickBot="1">
      <c r="A43" s="215"/>
      <c r="B43" s="2" t="s">
        <v>57</v>
      </c>
      <c r="C43" s="10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1"/>
      <c r="R44" s="191"/>
      <c r="S44" s="191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1"/>
      <c r="R45" s="191"/>
      <c r="S45" s="191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1"/>
      <c r="R57" s="191"/>
      <c r="S57" s="191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1"/>
      <c r="R58" s="191"/>
      <c r="S58" s="191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8"/>
      <c r="R62" s="219"/>
      <c r="S62" s="220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1"/>
      <c r="R63" s="222"/>
      <c r="S63" s="223"/>
    </row>
    <row r="64" spans="1:19" ht="17.25" customHeight="1" thickBot="1">
      <c r="A64" s="26" t="s">
        <v>265</v>
      </c>
      <c r="B64" s="227">
        <f>$B$37</f>
        <v>300000</v>
      </c>
      <c r="C64" s="228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11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14" t="s">
        <v>54</v>
      </c>
      <c r="B69" s="216" t="str">
        <f>TEXT($G$1, "[$-ko-KR]yyyy-mm-dd(ddd) ") &amp; "오전 00:00"</f>
        <v>2021-04-01(목) 오전 00:00</v>
      </c>
      <c r="C69" s="217"/>
      <c r="D69" s="193" t="str">
        <f>TEXT($G$1, "[$-ko-KR]yyyy-mm-dd(ddd) ") &amp; "오후 14:00"</f>
        <v>2021-04-01(목) 오후 14:00</v>
      </c>
      <c r="E69" s="194"/>
      <c r="F69" s="195"/>
      <c r="G69" s="193" t="str">
        <f>TEXT($G$1, "[$-ko-KR]yyyy-mm-dd(ddd) ") &amp; "오후 19:00"</f>
        <v>2021-04-01(목) 오후 19:00</v>
      </c>
      <c r="H69" s="194"/>
      <c r="I69" s="195"/>
      <c r="J69" s="193" t="str">
        <f>TEXT($G$1, "[$-ko-KR]yyyy-mm-dd(ddd) ") &amp; "오후 21:00"</f>
        <v>2021-04-01(목) 오후 21:00</v>
      </c>
      <c r="K69" s="194"/>
      <c r="L69" s="195"/>
      <c r="M69" s="193" t="str">
        <f>TEXT($G$1+1, "[$-ko-KR]yyyy-mm-dd(ddd) ") &amp; "오전 00:00"</f>
        <v>2021-04-02(금) 오전 00:00</v>
      </c>
      <c r="N69" s="194"/>
      <c r="O69" s="195"/>
      <c r="Q69" s="191"/>
      <c r="R69" s="191"/>
      <c r="S69" s="191"/>
    </row>
    <row r="70" spans="1:19" ht="17.25" thickBot="1">
      <c r="A70" s="215"/>
      <c r="B70" s="2" t="s">
        <v>57</v>
      </c>
      <c r="C70" s="10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1"/>
      <c r="R71" s="191"/>
      <c r="S71" s="191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1"/>
      <c r="R72" s="191"/>
      <c r="S72" s="191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1"/>
      <c r="R84" s="191"/>
      <c r="S84" s="191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1"/>
      <c r="R85" s="191"/>
      <c r="S85" s="191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8"/>
      <c r="R89" s="219"/>
      <c r="S89" s="220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1"/>
      <c r="R90" s="222"/>
      <c r="S90" s="223"/>
    </row>
    <row r="91" spans="1:19" ht="17.25" thickBot="1">
      <c r="A91" s="26" t="s">
        <v>265</v>
      </c>
      <c r="B91" s="227">
        <f>$B$37</f>
        <v>300000</v>
      </c>
      <c r="C91" s="228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11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14" t="s">
        <v>54</v>
      </c>
      <c r="B96" s="216" t="str">
        <f>TEXT($G$1, "[$-ko-KR]yyyy-mm-dd(ddd) ") &amp; "오전 00:00"</f>
        <v>2021-04-01(목) 오전 00:00</v>
      </c>
      <c r="C96" s="217"/>
      <c r="D96" s="193" t="str">
        <f>TEXT($G$1, "[$-ko-KR]yyyy-mm-dd(ddd) ") &amp; "오후 14:00"</f>
        <v>2021-04-01(목) 오후 14:00</v>
      </c>
      <c r="E96" s="194"/>
      <c r="F96" s="195"/>
      <c r="G96" s="193" t="str">
        <f>TEXT($G$1, "[$-ko-KR]yyyy-mm-dd(ddd) ") &amp; "오후 19:00"</f>
        <v>2021-04-01(목) 오후 19:00</v>
      </c>
      <c r="H96" s="194"/>
      <c r="I96" s="195"/>
      <c r="J96" s="193" t="str">
        <f>TEXT($G$1, "[$-ko-KR]yyyy-mm-dd(ddd) ") &amp; "오후 21:00"</f>
        <v>2021-04-01(목) 오후 21:00</v>
      </c>
      <c r="K96" s="194"/>
      <c r="L96" s="195"/>
      <c r="M96" s="193" t="str">
        <f>TEXT($G$1+1, "[$-ko-KR]yyyy-mm-dd(ddd) ") &amp; "오전 00:00"</f>
        <v>2021-04-02(금) 오전 00:00</v>
      </c>
      <c r="N96" s="194"/>
      <c r="O96" s="195"/>
      <c r="Q96" s="191"/>
      <c r="R96" s="191"/>
      <c r="S96" s="191"/>
    </row>
    <row r="97" spans="1:19" ht="17.25" thickBot="1">
      <c r="A97" s="215"/>
      <c r="B97" s="2" t="s">
        <v>57</v>
      </c>
      <c r="C97" s="10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1"/>
      <c r="R98" s="191"/>
      <c r="S98" s="191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1"/>
      <c r="R99" s="191"/>
      <c r="S99" s="191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1"/>
      <c r="R111" s="191"/>
      <c r="S111" s="191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1"/>
      <c r="R112" s="191"/>
      <c r="S112" s="191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8"/>
      <c r="R116" s="219"/>
      <c r="S116" s="220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1"/>
      <c r="R117" s="222"/>
      <c r="S117" s="223"/>
    </row>
    <row r="118" spans="1:19" ht="17.25" thickBot="1">
      <c r="A118" s="26" t="s">
        <v>265</v>
      </c>
      <c r="B118" s="227">
        <f>$B$37</f>
        <v>300000</v>
      </c>
      <c r="C118" s="228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11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14" t="s">
        <v>54</v>
      </c>
      <c r="B123" s="216" t="str">
        <f>TEXT($G$1, "[$-ko-KR]yyyy-mm-dd(ddd) ") &amp; "오전 00:00"</f>
        <v>2021-04-01(목) 오전 00:00</v>
      </c>
      <c r="C123" s="217"/>
      <c r="D123" s="193" t="str">
        <f>TEXT($G$1, "[$-ko-KR]yyyy-mm-dd(ddd) ") &amp; "오후 14:00"</f>
        <v>2021-04-01(목) 오후 14:00</v>
      </c>
      <c r="E123" s="194"/>
      <c r="F123" s="195"/>
      <c r="G123" s="193" t="str">
        <f>TEXT($G$1, "[$-ko-KR]yyyy-mm-dd(ddd) ") &amp; "오후 19:00"</f>
        <v>2021-04-01(목) 오후 19:00</v>
      </c>
      <c r="H123" s="194"/>
      <c r="I123" s="195"/>
      <c r="J123" s="193" t="str">
        <f>TEXT($G$1, "[$-ko-KR]yyyy-mm-dd(ddd) ") &amp; "오후 21:00"</f>
        <v>2021-04-01(목) 오후 21:00</v>
      </c>
      <c r="K123" s="194"/>
      <c r="L123" s="195"/>
      <c r="M123" s="193" t="str">
        <f>TEXT($G$1+1, "[$-ko-KR]yyyy-mm-dd(ddd) ") &amp; "오전 00:00"</f>
        <v>2021-04-02(금) 오전 00:00</v>
      </c>
      <c r="N123" s="194"/>
      <c r="O123" s="195"/>
      <c r="Q123" s="191"/>
      <c r="R123" s="191"/>
      <c r="S123" s="191"/>
    </row>
    <row r="124" spans="1:19" ht="17.25" thickBot="1">
      <c r="A124" s="215"/>
      <c r="B124" s="2" t="s">
        <v>57</v>
      </c>
      <c r="C124" s="10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1"/>
      <c r="R125" s="191"/>
      <c r="S125" s="191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1"/>
      <c r="R126" s="191"/>
      <c r="S126" s="191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1"/>
      <c r="R138" s="191"/>
      <c r="S138" s="191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1"/>
      <c r="R139" s="191"/>
      <c r="S139" s="191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8"/>
      <c r="R143" s="219"/>
      <c r="S143" s="220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1"/>
      <c r="R144" s="222"/>
      <c r="S144" s="223"/>
    </row>
    <row r="145" spans="1:19" ht="17.25" thickBot="1">
      <c r="A145" s="26" t="s">
        <v>265</v>
      </c>
      <c r="B145" s="227">
        <f>$B$37</f>
        <v>300000</v>
      </c>
      <c r="C145" s="228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11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14" t="s">
        <v>54</v>
      </c>
      <c r="B150" s="216" t="str">
        <f>TEXT($G$1, "[$-ko-KR]yyyy-mm-dd(ddd) ") &amp; "오전 00:00"</f>
        <v>2021-04-01(목) 오전 00:00</v>
      </c>
      <c r="C150" s="217"/>
      <c r="D150" s="193" t="str">
        <f>TEXT($G$1, "[$-ko-KR]yyyy-mm-dd(ddd) ") &amp; "오후 14:00"</f>
        <v>2021-04-01(목) 오후 14:00</v>
      </c>
      <c r="E150" s="194"/>
      <c r="F150" s="195"/>
      <c r="G150" s="193" t="str">
        <f>TEXT($G$1, "[$-ko-KR]yyyy-mm-dd(ddd) ") &amp; "오후 19:00"</f>
        <v>2021-04-01(목) 오후 19:00</v>
      </c>
      <c r="H150" s="194"/>
      <c r="I150" s="195"/>
      <c r="J150" s="193" t="str">
        <f>TEXT($G$1, "[$-ko-KR]yyyy-mm-dd(ddd) ") &amp; "오후 21:00"</f>
        <v>2021-04-01(목) 오후 21:00</v>
      </c>
      <c r="K150" s="194"/>
      <c r="L150" s="195"/>
      <c r="M150" s="193" t="str">
        <f>TEXT($G$1+1, "[$-ko-KR]yyyy-mm-dd(ddd) ") &amp; "오전 00:00"</f>
        <v>2021-04-02(금) 오전 00:00</v>
      </c>
      <c r="N150" s="194"/>
      <c r="O150" s="195"/>
      <c r="Q150" s="191"/>
      <c r="R150" s="191"/>
      <c r="S150" s="191"/>
    </row>
    <row r="151" spans="1:19" ht="17.25" thickBot="1">
      <c r="A151" s="215"/>
      <c r="B151" s="2" t="s">
        <v>57</v>
      </c>
      <c r="C151" s="10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1"/>
      <c r="R152" s="191"/>
      <c r="S152" s="191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1"/>
      <c r="R153" s="191"/>
      <c r="S153" s="191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1"/>
      <c r="R165" s="191"/>
      <c r="S165" s="191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1"/>
      <c r="R166" s="191"/>
      <c r="S166" s="191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8"/>
      <c r="R170" s="219"/>
      <c r="S170" s="220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1"/>
      <c r="R171" s="222"/>
      <c r="S171" s="223"/>
    </row>
    <row r="172" spans="1:19" ht="17.25" thickBot="1">
      <c r="A172" s="26" t="s">
        <v>265</v>
      </c>
      <c r="B172" s="227">
        <f>$B$37</f>
        <v>300000</v>
      </c>
      <c r="C172" s="228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11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14" t="s">
        <v>54</v>
      </c>
      <c r="B177" s="216" t="str">
        <f>TEXT($G$1, "[$-ko-KR]yyyy-mm-dd(ddd) ") &amp; "오전 00:00"</f>
        <v>2021-04-01(목) 오전 00:00</v>
      </c>
      <c r="C177" s="217"/>
      <c r="D177" s="193" t="str">
        <f>TEXT($G$1, "[$-ko-KR]yyyy-mm-dd(ddd) ") &amp; "오후 14:00"</f>
        <v>2021-04-01(목) 오후 14:00</v>
      </c>
      <c r="E177" s="194"/>
      <c r="F177" s="195"/>
      <c r="G177" s="193" t="str">
        <f>TEXT($G$1, "[$-ko-KR]yyyy-mm-dd(ddd) ") &amp; "오후 19:00"</f>
        <v>2021-04-01(목) 오후 19:00</v>
      </c>
      <c r="H177" s="194"/>
      <c r="I177" s="195"/>
      <c r="J177" s="193" t="str">
        <f>TEXT($G$1, "[$-ko-KR]yyyy-mm-dd(ddd) ") &amp; "오후 21:00"</f>
        <v>2021-04-01(목) 오후 21:00</v>
      </c>
      <c r="K177" s="194"/>
      <c r="L177" s="195"/>
      <c r="M177" s="193" t="str">
        <f>TEXT($G$1+1, "[$-ko-KR]yyyy-mm-dd(ddd) ") &amp; "오전 00:00"</f>
        <v>2021-04-02(금) 오전 00:00</v>
      </c>
      <c r="N177" s="194"/>
      <c r="O177" s="195"/>
      <c r="Q177" s="191"/>
      <c r="R177" s="191"/>
      <c r="S177" s="191"/>
    </row>
    <row r="178" spans="1:19" ht="17.25" thickBot="1">
      <c r="A178" s="215"/>
      <c r="B178" s="2" t="s">
        <v>57</v>
      </c>
      <c r="C178" s="10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1"/>
      <c r="R179" s="191"/>
      <c r="S179" s="191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1"/>
      <c r="R180" s="191"/>
      <c r="S180" s="191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1"/>
      <c r="R192" s="191"/>
      <c r="S192" s="191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1"/>
      <c r="R193" s="191"/>
      <c r="S193" s="191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8"/>
      <c r="R197" s="219"/>
      <c r="S197" s="220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1"/>
      <c r="R198" s="222"/>
      <c r="S198" s="223"/>
    </row>
    <row r="199" spans="1:19" ht="17.25" thickBot="1">
      <c r="A199" s="26" t="s">
        <v>265</v>
      </c>
      <c r="B199" s="227">
        <f>$B$37</f>
        <v>300000</v>
      </c>
      <c r="C199" s="228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24"/>
      <c r="R199" s="225"/>
      <c r="S199" s="226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67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157">
      <formula>AND($N17 &gt; 0, ISNUMBER($N17))</formula>
    </cfRule>
    <cfRule type="expression" dxfId="1664" priority="158">
      <formula>AND($N17 = 0 * ISNUMBER($N17))</formula>
    </cfRule>
    <cfRule type="expression" dxfId="1663" priority="159">
      <formula>AND($N17 &lt; 0, ISNUMBER($N17))</formula>
    </cfRule>
  </conditionalFormatting>
  <conditionalFormatting sqref="A17:F36">
    <cfRule type="expression" dxfId="1662" priority="166">
      <formula>AND($E17 &gt; 0, ISNUMBER($E17))</formula>
    </cfRule>
    <cfRule type="expression" dxfId="1661" priority="167">
      <formula>AND($E17 = 0 * ISNUMBER($E17))</formula>
    </cfRule>
    <cfRule type="expression" dxfId="1660" priority="168">
      <formula>AND($E17 &lt; 0, ISNUMBER($E17))</formula>
    </cfRule>
  </conditionalFormatting>
  <conditionalFormatting sqref="A17:C36 G17:I36">
    <cfRule type="expression" dxfId="1659" priority="163">
      <formula>AND($H17 &gt; 0, ISNUMBER($H17))</formula>
    </cfRule>
    <cfRule type="expression" dxfId="1658" priority="164">
      <formula>AND($H17 = 0 * ISNUMBER($H17))</formula>
    </cfRule>
    <cfRule type="expression" dxfId="1657" priority="165">
      <formula>AND($H17 &lt; 0, ISNUMBER($H17))</formula>
    </cfRule>
  </conditionalFormatting>
  <conditionalFormatting sqref="A17:C36 J17:L36">
    <cfRule type="expression" dxfId="1656" priority="160">
      <formula>AND($K17 &gt; 0, ISNUMBER($K17))</formula>
    </cfRule>
    <cfRule type="expression" dxfId="1655" priority="161">
      <formula>AND($K17 = 0 * ISNUMBER($K17))</formula>
    </cfRule>
    <cfRule type="expression" dxfId="1654" priority="162">
      <formula>AND($K17 &lt; 0, ISNUMBER($K17))</formula>
    </cfRule>
  </conditionalFormatting>
  <conditionalFormatting sqref="D15:F16 E37:F37">
    <cfRule type="expression" dxfId="1653" priority="154">
      <formula>$E$37 &gt; 0</formula>
    </cfRule>
    <cfRule type="expression" dxfId="1652" priority="155">
      <formula>$E$37 = 0</formula>
    </cfRule>
    <cfRule type="expression" dxfId="1651" priority="156">
      <formula>$E$37 &lt; 0</formula>
    </cfRule>
  </conditionalFormatting>
  <conditionalFormatting sqref="G15:I16 H37:I37">
    <cfRule type="expression" dxfId="1650" priority="151">
      <formula>$H$37 &gt; 0</formula>
    </cfRule>
    <cfRule type="expression" dxfId="1649" priority="152">
      <formula>$H$37 = 0</formula>
    </cfRule>
    <cfRule type="expression" dxfId="1648" priority="153">
      <formula>$H$37 &lt; 0</formula>
    </cfRule>
  </conditionalFormatting>
  <conditionalFormatting sqref="J15:L16 K37:L37">
    <cfRule type="expression" dxfId="1647" priority="148">
      <formula>$K$37 &gt; 0</formula>
    </cfRule>
    <cfRule type="expression" dxfId="1646" priority="149">
      <formula>$K$37 = 0</formula>
    </cfRule>
    <cfRule type="expression" dxfId="1645" priority="150">
      <formula>$K$37 &lt; 0</formula>
    </cfRule>
  </conditionalFormatting>
  <conditionalFormatting sqref="M15:O16 N37:O37">
    <cfRule type="expression" dxfId="1644" priority="145">
      <formula>$N$37 &gt; 0</formula>
    </cfRule>
    <cfRule type="expression" dxfId="1643" priority="146">
      <formula>$N$37 = 0</formula>
    </cfRule>
    <cfRule type="expression" dxfId="1642" priority="147">
      <formula>$N$37 &lt; 0</formula>
    </cfRule>
  </conditionalFormatting>
  <conditionalFormatting sqref="A44:C63 M44:O63">
    <cfRule type="expression" dxfId="1641" priority="133">
      <formula>AND($N44 &gt; 0, ISNUMBER($N44))</formula>
    </cfRule>
    <cfRule type="expression" dxfId="1640" priority="134">
      <formula>AND($N44 = 0 * ISNUMBER($N44))</formula>
    </cfRule>
    <cfRule type="expression" dxfId="1639" priority="135">
      <formula>AND($N44 &lt; 0, ISNUMBER($N44))</formula>
    </cfRule>
  </conditionalFormatting>
  <conditionalFormatting sqref="A44:F63">
    <cfRule type="expression" dxfId="1638" priority="142">
      <formula>AND($E44 &gt; 0, ISNUMBER($E44))</formula>
    </cfRule>
    <cfRule type="expression" dxfId="1637" priority="143">
      <formula>AND($E44 = 0 * ISNUMBER($E44))</formula>
    </cfRule>
    <cfRule type="expression" dxfId="1636" priority="144">
      <formula>AND($E44 &lt; 0, ISNUMBER($E44))</formula>
    </cfRule>
  </conditionalFormatting>
  <conditionalFormatting sqref="A44:C63 G44:I63">
    <cfRule type="expression" dxfId="1635" priority="139">
      <formula>AND($H44 &gt; 0, ISNUMBER($H44))</formula>
    </cfRule>
    <cfRule type="expression" dxfId="1634" priority="140">
      <formula>AND($H44 = 0 * ISNUMBER($H44))</formula>
    </cfRule>
    <cfRule type="expression" dxfId="1633" priority="141">
      <formula>AND($H44 &lt; 0, ISNUMBER($H44))</formula>
    </cfRule>
  </conditionalFormatting>
  <conditionalFormatting sqref="A44:C63 J44:L63">
    <cfRule type="expression" dxfId="1632" priority="136">
      <formula>AND($K44 &gt; 0, ISNUMBER($K44))</formula>
    </cfRule>
    <cfRule type="expression" dxfId="1631" priority="137">
      <formula>AND($K44 = 0 * ISNUMBER($K44))</formula>
    </cfRule>
    <cfRule type="expression" dxfId="1630" priority="138">
      <formula>AND($K44 &lt; 0, ISNUMBER($K44))</formula>
    </cfRule>
  </conditionalFormatting>
  <conditionalFormatting sqref="D42:F43 E64:F64">
    <cfRule type="expression" dxfId="1629" priority="130">
      <formula>$E$64 &gt; 0</formula>
    </cfRule>
    <cfRule type="expression" dxfId="1628" priority="131">
      <formula>$E$64 = 0</formula>
    </cfRule>
    <cfRule type="expression" dxfId="1627" priority="132">
      <formula>$E$64 &lt; 0</formula>
    </cfRule>
  </conditionalFormatting>
  <conditionalFormatting sqref="G42:I43 H64:I64">
    <cfRule type="expression" dxfId="1626" priority="127">
      <formula>$H$64 &gt; 0</formula>
    </cfRule>
    <cfRule type="expression" dxfId="1625" priority="128">
      <formula>$H$64 = 0</formula>
    </cfRule>
    <cfRule type="expression" dxfId="1624" priority="129">
      <formula>$H$64 &lt; 0</formula>
    </cfRule>
  </conditionalFormatting>
  <conditionalFormatting sqref="J42:L43 K64:L64">
    <cfRule type="expression" dxfId="1623" priority="124">
      <formula>$K$64 &gt; 0</formula>
    </cfRule>
    <cfRule type="expression" dxfId="1622" priority="125">
      <formula>$K$64 = 0</formula>
    </cfRule>
    <cfRule type="expression" dxfId="1621" priority="126">
      <formula>$K$64 &lt; 0</formula>
    </cfRule>
  </conditionalFormatting>
  <conditionalFormatting sqref="M42:O43 N64:O64">
    <cfRule type="expression" dxfId="1620" priority="121">
      <formula>$N$64 &gt; 0</formula>
    </cfRule>
    <cfRule type="expression" dxfId="1619" priority="122">
      <formula>$N$64 = 0</formula>
    </cfRule>
    <cfRule type="expression" dxfId="1618" priority="123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B37" sqref="B37:C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44621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16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2022-03-01(화) 오전 00:00</v>
      </c>
      <c r="C15" s="237"/>
      <c r="D15" s="193" t="str">
        <f>TEXT($G$1, "[$-ko-KR]yyyy-mm-dd(ddd) ") &amp; "오후 14:00"</f>
        <v>2022-03-01(화) 오후 14:00</v>
      </c>
      <c r="E15" s="194"/>
      <c r="F15" s="195"/>
      <c r="G15" s="193" t="str">
        <f>TEXT($G$1, "[$-ko-KR]yyyy-mm-dd(ddd) ") &amp; "오후 19:00"</f>
        <v>2022-03-01(화) 오후 19:00</v>
      </c>
      <c r="H15" s="194"/>
      <c r="I15" s="195"/>
      <c r="J15" s="193" t="str">
        <f>TEXT($G$1, "[$-ko-KR]yyyy-mm-dd(ddd) ") &amp; "오후 21:00"</f>
        <v>2022-03-01(화) 오후 21:00</v>
      </c>
      <c r="K15" s="194"/>
      <c r="L15" s="195"/>
      <c r="M15" s="193" t="str">
        <f>TEXT($G$1+1, "[$-ko-KR]yyyy-mm-dd(ddd) ") &amp; "오전 00:00"</f>
        <v>2022-03-02(수)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16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2022-03-01(화) 오전 00:00</v>
      </c>
      <c r="C42" s="234"/>
      <c r="D42" s="193" t="str">
        <f>TEXT($G$1, "[$-ko-KR]yyyy-mm-dd(ddd) ") &amp; "오후 14:00"</f>
        <v>2022-03-01(화) 오후 14:00</v>
      </c>
      <c r="E42" s="194"/>
      <c r="F42" s="195"/>
      <c r="G42" s="193" t="str">
        <f>TEXT($G$1, "[$-ko-KR]yyyy-mm-dd(ddd) ") &amp; "오후 19:00"</f>
        <v>2022-03-01(화) 오후 19:00</v>
      </c>
      <c r="H42" s="194"/>
      <c r="I42" s="195"/>
      <c r="J42" s="193" t="str">
        <f>TEXT($G$1, "[$-ko-KR]yyyy-mm-dd(ddd) ") &amp; "오후 21:00"</f>
        <v>2022-03-01(화) 오후 21:00</v>
      </c>
      <c r="K42" s="194"/>
      <c r="L42" s="195"/>
      <c r="M42" s="193" t="str">
        <f>TEXT($G$1+1, "[$-ko-KR]yyyy-mm-dd(ddd) ") &amp; "오전 00:00"</f>
        <v>2022-03-02(수)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12" t="s">
        <v>57</v>
      </c>
      <c r="H43" s="113" t="s">
        <v>263</v>
      </c>
      <c r="I43" s="114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1"/>
      <c r="R44" s="191"/>
      <c r="S44" s="191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1"/>
      <c r="R45" s="191"/>
      <c r="S45" s="191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1"/>
      <c r="R57" s="191"/>
      <c r="S57" s="191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1"/>
      <c r="R58" s="191"/>
      <c r="S58" s="191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8"/>
      <c r="R62" s="219"/>
      <c r="S62" s="220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0</v>
      </c>
      <c r="F64" s="28">
        <f>SUM(F44:F63)</f>
        <v>0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16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2022-03-01(화) 오전 00:00</v>
      </c>
      <c r="C69" s="234"/>
      <c r="D69" s="193" t="str">
        <f>TEXT($G$1, "[$-ko-KR]yyyy-mm-dd(ddd) ") &amp; "오후 14:00"</f>
        <v>2022-03-01(화) 오후 14:00</v>
      </c>
      <c r="E69" s="194"/>
      <c r="F69" s="195"/>
      <c r="G69" s="193" t="str">
        <f>TEXT($G$1, "[$-ko-KR]yyyy-mm-dd(ddd) ") &amp; "오후 19:00"</f>
        <v>2022-03-01(화) 오후 19:00</v>
      </c>
      <c r="H69" s="194"/>
      <c r="I69" s="195"/>
      <c r="J69" s="193" t="str">
        <f>TEXT($G$1, "[$-ko-KR]yyyy-mm-dd(ddd) ") &amp; "오후 21:00"</f>
        <v>2022-03-01(화) 오후 21:00</v>
      </c>
      <c r="K69" s="194"/>
      <c r="L69" s="195"/>
      <c r="M69" s="193" t="str">
        <f>TEXT($G$1+1, "[$-ko-KR]yyyy-mm-dd(ddd) ") &amp; "오전 00:00"</f>
        <v>2022-03-02(수)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12" t="s">
        <v>57</v>
      </c>
      <c r="H70" s="113" t="s">
        <v>263</v>
      </c>
      <c r="I70" s="114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1"/>
      <c r="R71" s="191"/>
      <c r="S71" s="191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1"/>
      <c r="R72" s="191"/>
      <c r="S72" s="191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1"/>
      <c r="R84" s="191"/>
      <c r="S84" s="191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1"/>
      <c r="R85" s="191"/>
      <c r="S85" s="191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8"/>
      <c r="R89" s="219"/>
      <c r="S89" s="220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0</v>
      </c>
      <c r="F91" s="28">
        <f>SUM(F71:F90)</f>
        <v>0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16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2022-03-01(화) 오전 00:00</v>
      </c>
      <c r="C96" s="234"/>
      <c r="D96" s="193" t="str">
        <f>TEXT($G$1, "[$-ko-KR]yyyy-mm-dd(ddd) ") &amp; "오후 14:00"</f>
        <v>2022-03-01(화) 오후 14:00</v>
      </c>
      <c r="E96" s="194"/>
      <c r="F96" s="195"/>
      <c r="G96" s="193" t="str">
        <f>TEXT($G$1, "[$-ko-KR]yyyy-mm-dd(ddd) ") &amp; "오후 19:00"</f>
        <v>2022-03-01(화) 오후 19:00</v>
      </c>
      <c r="H96" s="194"/>
      <c r="I96" s="195"/>
      <c r="J96" s="193" t="str">
        <f>TEXT($G$1, "[$-ko-KR]yyyy-mm-dd(ddd) ") &amp; "오후 21:00"</f>
        <v>2022-03-01(화) 오후 21:00</v>
      </c>
      <c r="K96" s="194"/>
      <c r="L96" s="195"/>
      <c r="M96" s="193" t="str">
        <f>TEXT($G$1+1, "[$-ko-KR]yyyy-mm-dd(ddd) ") &amp; "오전 00:00"</f>
        <v>2022-03-02(수)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12" t="s">
        <v>57</v>
      </c>
      <c r="H97" s="113" t="s">
        <v>263</v>
      </c>
      <c r="I97" s="114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1"/>
      <c r="R98" s="191"/>
      <c r="S98" s="191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1"/>
      <c r="R99" s="191"/>
      <c r="S99" s="191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1"/>
      <c r="R111" s="191"/>
      <c r="S111" s="191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1"/>
      <c r="R112" s="191"/>
      <c r="S112" s="191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8"/>
      <c r="R116" s="219"/>
      <c r="S116" s="220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0</v>
      </c>
      <c r="F118" s="28">
        <f>SUM(F98:F117)</f>
        <v>0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16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2022-03-01(화) 오전 00:00</v>
      </c>
      <c r="C123" s="234"/>
      <c r="D123" s="193" t="str">
        <f>TEXT($G$1, "[$-ko-KR]yyyy-mm-dd(ddd) ") &amp; "오후 14:00"</f>
        <v>2022-03-01(화) 오후 14:00</v>
      </c>
      <c r="E123" s="194"/>
      <c r="F123" s="195"/>
      <c r="G123" s="193" t="str">
        <f>TEXT($G$1, "[$-ko-KR]yyyy-mm-dd(ddd) ") &amp; "오후 19:00"</f>
        <v>2022-03-01(화) 오후 19:00</v>
      </c>
      <c r="H123" s="194"/>
      <c r="I123" s="195"/>
      <c r="J123" s="193" t="str">
        <f>TEXT($G$1, "[$-ko-KR]yyyy-mm-dd(ddd) ") &amp; "오후 21:00"</f>
        <v>2022-03-01(화) 오후 21:00</v>
      </c>
      <c r="K123" s="194"/>
      <c r="L123" s="195"/>
      <c r="M123" s="193" t="str">
        <f>TEXT($G$1+1, "[$-ko-KR]yyyy-mm-dd(ddd) ") &amp; "오전 00:00"</f>
        <v>2022-03-02(수)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12" t="s">
        <v>57</v>
      </c>
      <c r="H124" s="113" t="s">
        <v>263</v>
      </c>
      <c r="I124" s="114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1"/>
      <c r="R125" s="191"/>
      <c r="S125" s="191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1"/>
      <c r="R126" s="191"/>
      <c r="S126" s="191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1"/>
      <c r="R138" s="191"/>
      <c r="S138" s="191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1"/>
      <c r="R139" s="191"/>
      <c r="S139" s="191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8"/>
      <c r="R143" s="219"/>
      <c r="S143" s="220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0</v>
      </c>
      <c r="F145" s="28">
        <f>SUM(F125:F144)</f>
        <v>0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16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2022-03-01(화) 오전 00:00</v>
      </c>
      <c r="C150" s="234"/>
      <c r="D150" s="193" t="str">
        <f>TEXT($G$1, "[$-ko-KR]yyyy-mm-dd(ddd) ") &amp; "오후 14:00"</f>
        <v>2022-03-01(화) 오후 14:00</v>
      </c>
      <c r="E150" s="194"/>
      <c r="F150" s="195"/>
      <c r="G150" s="193" t="str">
        <f>TEXT($G$1, "[$-ko-KR]yyyy-mm-dd(ddd) ") &amp; "오후 19:00"</f>
        <v>2022-03-01(화) 오후 19:00</v>
      </c>
      <c r="H150" s="194"/>
      <c r="I150" s="195"/>
      <c r="J150" s="193" t="str">
        <f>TEXT($G$1, "[$-ko-KR]yyyy-mm-dd(ddd) ") &amp; "오후 21:00"</f>
        <v>2022-03-01(화) 오후 21:00</v>
      </c>
      <c r="K150" s="194"/>
      <c r="L150" s="195"/>
      <c r="M150" s="193" t="str">
        <f>TEXT($G$1+1, "[$-ko-KR]yyyy-mm-dd(ddd) ") &amp; "오전 00:00"</f>
        <v>2022-03-02(수)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12" t="s">
        <v>57</v>
      </c>
      <c r="H151" s="113" t="s">
        <v>263</v>
      </c>
      <c r="I151" s="114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1"/>
      <c r="R152" s="191"/>
      <c r="S152" s="191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1"/>
      <c r="R153" s="191"/>
      <c r="S153" s="191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1"/>
      <c r="R165" s="191"/>
      <c r="S165" s="191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1"/>
      <c r="R166" s="191"/>
      <c r="S166" s="191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8"/>
      <c r="R170" s="219"/>
      <c r="S170" s="220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0</v>
      </c>
      <c r="F172" s="28">
        <f>SUM(F152:F171)</f>
        <v>0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16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2022-03-01(화) 오전 00:00</v>
      </c>
      <c r="C177" s="234"/>
      <c r="D177" s="193" t="str">
        <f>TEXT($G$1, "[$-ko-KR]yyyy-mm-dd(ddd) ") &amp; "오후 14:00"</f>
        <v>2022-03-01(화) 오후 14:00</v>
      </c>
      <c r="E177" s="194"/>
      <c r="F177" s="195"/>
      <c r="G177" s="193" t="str">
        <f>TEXT($G$1, "[$-ko-KR]yyyy-mm-dd(ddd) ") &amp; "오후 19:00"</f>
        <v>2022-03-01(화) 오후 19:00</v>
      </c>
      <c r="H177" s="194"/>
      <c r="I177" s="195"/>
      <c r="J177" s="193" t="str">
        <f>TEXT($G$1, "[$-ko-KR]yyyy-mm-dd(ddd) ") &amp; "오후 21:00"</f>
        <v>2022-03-01(화) 오후 21:00</v>
      </c>
      <c r="K177" s="194"/>
      <c r="L177" s="195"/>
      <c r="M177" s="193" t="str">
        <f>TEXT($G$1+1, "[$-ko-KR]yyyy-mm-dd(ddd) ") &amp; "오전 00:00"</f>
        <v>2022-03-02(수)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12" t="s">
        <v>57</v>
      </c>
      <c r="H178" s="113" t="s">
        <v>263</v>
      </c>
      <c r="I178" s="114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1"/>
      <c r="R179" s="191"/>
      <c r="S179" s="191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1"/>
      <c r="R180" s="191"/>
      <c r="S180" s="191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1"/>
      <c r="R192" s="191"/>
      <c r="S192" s="191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1"/>
      <c r="R193" s="191"/>
      <c r="S193" s="191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8"/>
      <c r="R197" s="219"/>
      <c r="S197" s="220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0</v>
      </c>
      <c r="F199" s="28">
        <f>SUM(F179:F198)</f>
        <v>0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24"/>
      <c r="R199" s="225"/>
      <c r="S199" s="226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49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9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9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9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9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9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9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9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8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8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87" priority="289">
      <formula>AND($N17 &gt; 0, ISNUMBER($N17))</formula>
    </cfRule>
    <cfRule type="expression" dxfId="1486" priority="290">
      <formula>AND($N17 = 0 * ISNUMBER($N17))</formula>
    </cfRule>
    <cfRule type="expression" dxfId="1485" priority="291">
      <formula>AND($N17 &lt; 0, ISNUMBER($N17))</formula>
    </cfRule>
  </conditionalFormatting>
  <conditionalFormatting sqref="A17:C36 D17:F36">
    <cfRule type="expression" dxfId="1484" priority="298">
      <formula>AND($E17 &gt; 0, ISNUMBER($E17))</formula>
    </cfRule>
    <cfRule type="expression" dxfId="1483" priority="299">
      <formula>AND($E17 = 0 * ISNUMBER($E17))</formula>
    </cfRule>
    <cfRule type="expression" dxfId="1482" priority="300">
      <formula>AND($E17 &lt; 0, ISNUMBER($E17))</formula>
    </cfRule>
  </conditionalFormatting>
  <conditionalFormatting sqref="A17:C36 G17:I36">
    <cfRule type="expression" dxfId="1481" priority="295">
      <formula>AND($H17 &gt; 0, ISNUMBER($H17))</formula>
    </cfRule>
    <cfRule type="expression" dxfId="1480" priority="296">
      <formula>AND($H17 = 0 * ISNUMBER($H17))</formula>
    </cfRule>
    <cfRule type="expression" dxfId="1479" priority="297">
      <formula>AND($H17 &lt; 0, ISNUMBER($H17))</formula>
    </cfRule>
  </conditionalFormatting>
  <conditionalFormatting sqref="A17:C36 J17:L36">
    <cfRule type="expression" dxfId="1478" priority="292">
      <formula>AND($K17 &gt; 0, ISNUMBER($K17))</formula>
    </cfRule>
    <cfRule type="expression" dxfId="1477" priority="293">
      <formula>AND($K17 = 0 * ISNUMBER($K17))</formula>
    </cfRule>
    <cfRule type="expression" dxfId="1476" priority="294">
      <formula>AND($K17 &lt; 0, ISNUMBER($K17))</formula>
    </cfRule>
  </conditionalFormatting>
  <conditionalFormatting sqref="D15:F16 E37:F37">
    <cfRule type="expression" dxfId="1475" priority="286">
      <formula>$E$37 &gt; 0</formula>
    </cfRule>
    <cfRule type="expression" dxfId="1474" priority="287">
      <formula>$E$37 = 0</formula>
    </cfRule>
    <cfRule type="expression" dxfId="1473" priority="288">
      <formula>$E$37 &lt; 0</formula>
    </cfRule>
  </conditionalFormatting>
  <conditionalFormatting sqref="G15:I16 H37:I37">
    <cfRule type="expression" dxfId="1472" priority="283">
      <formula>$H$37 &gt; 0</formula>
    </cfRule>
    <cfRule type="expression" dxfId="1471" priority="284">
      <formula>$H$37 = 0</formula>
    </cfRule>
    <cfRule type="expression" dxfId="1470" priority="285">
      <formula>$H$37 &lt; 0</formula>
    </cfRule>
  </conditionalFormatting>
  <conditionalFormatting sqref="J15:L16 K37:L37">
    <cfRule type="expression" dxfId="1469" priority="280">
      <formula>$K$37 &gt; 0</formula>
    </cfRule>
    <cfRule type="expression" dxfId="1468" priority="281">
      <formula>$K$37 = 0</formula>
    </cfRule>
    <cfRule type="expression" dxfId="1467" priority="282">
      <formula>$K$37 &lt; 0</formula>
    </cfRule>
  </conditionalFormatting>
  <conditionalFormatting sqref="M15:O16 N37:O37">
    <cfRule type="expression" dxfId="1466" priority="277">
      <formula>$N$37 &gt; 0</formula>
    </cfRule>
    <cfRule type="expression" dxfId="1465" priority="278">
      <formula>$N$37 = 0</formula>
    </cfRule>
    <cfRule type="expression" dxfId="1464" priority="279">
      <formula>$N$37 &lt; 0</formula>
    </cfRule>
  </conditionalFormatting>
  <conditionalFormatting sqref="A44:C63 M44:O63">
    <cfRule type="expression" dxfId="1463" priority="265">
      <formula>AND($N44 &gt; 0, ISNUMBER($N44))</formula>
    </cfRule>
    <cfRule type="expression" dxfId="1462" priority="266">
      <formula>AND($N44 = 0 * ISNUMBER($N44))</formula>
    </cfRule>
    <cfRule type="expression" dxfId="1461" priority="267">
      <formula>AND($N44 &lt; 0, ISNUMBER($N44))</formula>
    </cfRule>
  </conditionalFormatting>
  <conditionalFormatting sqref="A44:F63">
    <cfRule type="expression" dxfId="1460" priority="274">
      <formula>AND($E44 &gt; 0, ISNUMBER($E44))</formula>
    </cfRule>
    <cfRule type="expression" dxfId="1459" priority="275">
      <formula>AND($E44 = 0 * ISNUMBER($E44))</formula>
    </cfRule>
    <cfRule type="expression" dxfId="1458" priority="276">
      <formula>AND($E44 &lt; 0, ISNUMBER($E44))</formula>
    </cfRule>
  </conditionalFormatting>
  <conditionalFormatting sqref="A44:C63 G44:I63">
    <cfRule type="expression" dxfId="1457" priority="271">
      <formula>AND($H44 &gt; 0, ISNUMBER($H44))</formula>
    </cfRule>
    <cfRule type="expression" dxfId="1456" priority="272">
      <formula>AND($H44 = 0 * ISNUMBER($H44))</formula>
    </cfRule>
    <cfRule type="expression" dxfId="1455" priority="273">
      <formula>AND($H44 &lt; 0, ISNUMBER($H44))</formula>
    </cfRule>
  </conditionalFormatting>
  <conditionalFormatting sqref="A44:C63 J44:L63">
    <cfRule type="expression" dxfId="1454" priority="268">
      <formula>AND($K44 &gt; 0, ISNUMBER($K44))</formula>
    </cfRule>
    <cfRule type="expression" dxfId="1453" priority="269">
      <formula>AND($K44 = 0 * ISNUMBER($K44))</formula>
    </cfRule>
    <cfRule type="expression" dxfId="1452" priority="270">
      <formula>AND($K44 &lt; 0, ISNUMBER($K44))</formula>
    </cfRule>
  </conditionalFormatting>
  <conditionalFormatting sqref="D42:F43 E64:F64">
    <cfRule type="expression" dxfId="1451" priority="262">
      <formula>$E$64 &gt; 0</formula>
    </cfRule>
    <cfRule type="expression" dxfId="1450" priority="263">
      <formula>$E$64 = 0</formula>
    </cfRule>
    <cfRule type="expression" dxfId="1449" priority="264">
      <formula>$E$64 &lt; 0</formula>
    </cfRule>
  </conditionalFormatting>
  <conditionalFormatting sqref="G42:I43 H64:I64">
    <cfRule type="expression" dxfId="1448" priority="259">
      <formula>$H$64 &gt; 0</formula>
    </cfRule>
    <cfRule type="expression" dxfId="1447" priority="260">
      <formula>$H$64 = 0</formula>
    </cfRule>
    <cfRule type="expression" dxfId="1446" priority="261">
      <formula>$H$64 &lt; 0</formula>
    </cfRule>
  </conditionalFormatting>
  <conditionalFormatting sqref="J42:L43 K64:L64">
    <cfRule type="expression" dxfId="1445" priority="256">
      <formula>$K$64 &gt; 0</formula>
    </cfRule>
    <cfRule type="expression" dxfId="1444" priority="257">
      <formula>$K$64 = 0</formula>
    </cfRule>
    <cfRule type="expression" dxfId="1443" priority="258">
      <formula>$K$64 &lt; 0</formula>
    </cfRule>
  </conditionalFormatting>
  <conditionalFormatting sqref="M42:O43 N64:O64">
    <cfRule type="expression" dxfId="1442" priority="253">
      <formula>$N$64 &gt; 0</formula>
    </cfRule>
    <cfRule type="expression" dxfId="1441" priority="254">
      <formula>$N$64 = 0</formula>
    </cfRule>
    <cfRule type="expression" dxfId="1440" priority="255">
      <formula>$N$64 &lt; 0</formula>
    </cfRule>
  </conditionalFormatting>
  <conditionalFormatting sqref="A71:C90 M71:O90">
    <cfRule type="expression" dxfId="1439" priority="109">
      <formula>AND($N71 &gt; 0, ISNUMBER($N71))</formula>
    </cfRule>
    <cfRule type="expression" dxfId="1438" priority="110">
      <formula>AND($N71 = 0 * ISNUMBER($N71))</formula>
    </cfRule>
    <cfRule type="expression" dxfId="1437" priority="111">
      <formula>AND($N71 &lt; 0, ISNUMBER($N71))</formula>
    </cfRule>
  </conditionalFormatting>
  <conditionalFormatting sqref="A71:F90">
    <cfRule type="expression" dxfId="1436" priority="118">
      <formula>AND($E71 &gt; 0, ISNUMBER($E71))</formula>
    </cfRule>
    <cfRule type="expression" dxfId="1435" priority="119">
      <formula>AND($E71 = 0 * ISNUMBER($E71))</formula>
    </cfRule>
    <cfRule type="expression" dxfId="1434" priority="120">
      <formula>AND($E71 &lt; 0, ISNUMBER($E71))</formula>
    </cfRule>
  </conditionalFormatting>
  <conditionalFormatting sqref="A71:C90 G71:I90">
    <cfRule type="expression" dxfId="1433" priority="115">
      <formula>AND($H71 &gt; 0, ISNUMBER($H71))</formula>
    </cfRule>
    <cfRule type="expression" dxfId="1432" priority="116">
      <formula>AND($H71 = 0 * ISNUMBER($H71))</formula>
    </cfRule>
    <cfRule type="expression" dxfId="1431" priority="117">
      <formula>AND($H71 &lt; 0, ISNUMBER($H71))</formula>
    </cfRule>
  </conditionalFormatting>
  <conditionalFormatting sqref="A71:C90 J71:L90">
    <cfRule type="expression" dxfId="1430" priority="112">
      <formula>AND($K71 &gt; 0, ISNUMBER($K71))</formula>
    </cfRule>
    <cfRule type="expression" dxfId="1429" priority="113">
      <formula>AND($K71 = 0 * ISNUMBER($K71))</formula>
    </cfRule>
    <cfRule type="expression" dxfId="1428" priority="114">
      <formula>AND($K71 &lt; 0, ISNUMBER($K71))</formula>
    </cfRule>
  </conditionalFormatting>
  <conditionalFormatting sqref="D69:F70 E91:F91">
    <cfRule type="expression" dxfId="1427" priority="106">
      <formula>$E$91 &gt; 0</formula>
    </cfRule>
    <cfRule type="expression" dxfId="1426" priority="107">
      <formula>$E$91 = 0</formula>
    </cfRule>
    <cfRule type="expression" dxfId="1425" priority="108">
      <formula>$E$91 &lt; 0</formula>
    </cfRule>
  </conditionalFormatting>
  <conditionalFormatting sqref="G69:I70 H91:I91">
    <cfRule type="expression" dxfId="1424" priority="103">
      <formula>$H$91 &gt; 0</formula>
    </cfRule>
    <cfRule type="expression" dxfId="1423" priority="104">
      <formula>$H$91 = 0</formula>
    </cfRule>
    <cfRule type="expression" dxfId="1422" priority="105">
      <formula>$H$91 &lt; 0</formula>
    </cfRule>
  </conditionalFormatting>
  <conditionalFormatting sqref="J69:L70 K91:L91">
    <cfRule type="expression" dxfId="1421" priority="100">
      <formula>$K$91 &gt; 0</formula>
    </cfRule>
    <cfRule type="expression" dxfId="1420" priority="101">
      <formula>$K$91 = 0</formula>
    </cfRule>
    <cfRule type="expression" dxfId="1419" priority="102">
      <formula>$K$91 &lt; 0</formula>
    </cfRule>
  </conditionalFormatting>
  <conditionalFormatting sqref="M69:O70 N91:O91">
    <cfRule type="expression" dxfId="1418" priority="97">
      <formula>$N$91 &gt; 0</formula>
    </cfRule>
    <cfRule type="expression" dxfId="1417" priority="98">
      <formula>$N$91 = 0</formula>
    </cfRule>
    <cfRule type="expression" dxfId="1416" priority="99">
      <formula>$N$91 &lt; 0</formula>
    </cfRule>
  </conditionalFormatting>
  <conditionalFormatting sqref="A98:C117 M98:O117">
    <cfRule type="expression" dxfId="1415" priority="85">
      <formula>AND($N98 &gt; 0, ISNUMBER($N98))</formula>
    </cfRule>
    <cfRule type="expression" dxfId="1414" priority="86">
      <formula>AND($N98 = 0 * ISNUMBER($N98))</formula>
    </cfRule>
    <cfRule type="expression" dxfId="1413" priority="87">
      <formula>AND($N98 &lt; 0, ISNUMBER($N98))</formula>
    </cfRule>
  </conditionalFormatting>
  <conditionalFormatting sqref="A98:F117">
    <cfRule type="expression" dxfId="1412" priority="94">
      <formula>AND($E98 &gt; 0, ISNUMBER($E98))</formula>
    </cfRule>
    <cfRule type="expression" dxfId="1411" priority="95">
      <formula>AND($E98 = 0 * ISNUMBER($E98))</formula>
    </cfRule>
    <cfRule type="expression" dxfId="1410" priority="96">
      <formula>AND($E98 &lt; 0, ISNUMBER($E98))</formula>
    </cfRule>
  </conditionalFormatting>
  <conditionalFormatting sqref="A98:C117 G98:I117">
    <cfRule type="expression" dxfId="1409" priority="91">
      <formula>AND($H98 &gt; 0, ISNUMBER($H98))</formula>
    </cfRule>
    <cfRule type="expression" dxfId="1408" priority="92">
      <formula>AND($H98 = 0 * ISNUMBER($H98))</formula>
    </cfRule>
    <cfRule type="expression" dxfId="1407" priority="93">
      <formula>AND($H98 &lt; 0, ISNUMBER($H98))</formula>
    </cfRule>
  </conditionalFormatting>
  <conditionalFormatting sqref="A98:C117 J98:L117">
    <cfRule type="expression" dxfId="1406" priority="88">
      <formula>AND($K98 &gt; 0, ISNUMBER($K98))</formula>
    </cfRule>
    <cfRule type="expression" dxfId="1405" priority="89">
      <formula>AND($K98 = 0 * ISNUMBER($K98))</formula>
    </cfRule>
    <cfRule type="expression" dxfId="1404" priority="90">
      <formula>AND($K98 &lt; 0, ISNUMBER($K98))</formula>
    </cfRule>
  </conditionalFormatting>
  <conditionalFormatting sqref="D96:F97 E118:F118">
    <cfRule type="expression" dxfId="1403" priority="82">
      <formula>$E$118 &gt; 0</formula>
    </cfRule>
    <cfRule type="expression" dxfId="1402" priority="83">
      <formula>$E$118 = 0</formula>
    </cfRule>
    <cfRule type="expression" dxfId="1401" priority="84">
      <formula>$E$118 &lt; 0</formula>
    </cfRule>
  </conditionalFormatting>
  <conditionalFormatting sqref="G96:I97 H118:I118">
    <cfRule type="expression" dxfId="1400" priority="79">
      <formula>$H$118 &gt; 0</formula>
    </cfRule>
    <cfRule type="expression" dxfId="1399" priority="80">
      <formula>$H$118 = 0</formula>
    </cfRule>
    <cfRule type="expression" dxfId="1398" priority="81">
      <formula>$H$118 &lt; 0</formula>
    </cfRule>
  </conditionalFormatting>
  <conditionalFormatting sqref="J96:L97 K118:L118">
    <cfRule type="expression" dxfId="1397" priority="76">
      <formula>$K$118 &gt; 0</formula>
    </cfRule>
    <cfRule type="expression" dxfId="1396" priority="77">
      <formula>$K$118 = 0</formula>
    </cfRule>
    <cfRule type="expression" dxfId="1395" priority="78">
      <formula>$K$118 &lt; 0</formula>
    </cfRule>
  </conditionalFormatting>
  <conditionalFormatting sqref="M96:O97 N118:O118">
    <cfRule type="expression" dxfId="1394" priority="73">
      <formula>$N$118 &gt; 0</formula>
    </cfRule>
    <cfRule type="expression" dxfId="1393" priority="74">
      <formula>$N$118 = 0</formula>
    </cfRule>
    <cfRule type="expression" dxfId="1392" priority="75">
      <formula>$N$118 &lt; 0</formula>
    </cfRule>
  </conditionalFormatting>
  <conditionalFormatting sqref="A125:C144 M125:O144">
    <cfRule type="expression" dxfId="1391" priority="61">
      <formula>AND($N125 &gt; 0, ISNUMBER($N125))</formula>
    </cfRule>
    <cfRule type="expression" dxfId="1390" priority="62">
      <formula>AND($N125 = 0 * ISNUMBER($N125))</formula>
    </cfRule>
    <cfRule type="expression" dxfId="1389" priority="63">
      <formula>AND($N125 &lt; 0, ISNUMBER($N125))</formula>
    </cfRule>
  </conditionalFormatting>
  <conditionalFormatting sqref="A125:F144">
    <cfRule type="expression" dxfId="1388" priority="70">
      <formula>AND($E125 &gt; 0, ISNUMBER($E125))</formula>
    </cfRule>
    <cfRule type="expression" dxfId="1387" priority="71">
      <formula>AND($E125 = 0 * ISNUMBER($E125))</formula>
    </cfRule>
    <cfRule type="expression" dxfId="1386" priority="72">
      <formula>AND($E125 &lt; 0, ISNUMBER($E125))</formula>
    </cfRule>
  </conditionalFormatting>
  <conditionalFormatting sqref="A125:C144 G125:I144">
    <cfRule type="expression" dxfId="1385" priority="67">
      <formula>AND($H125 &gt; 0, ISNUMBER($H125))</formula>
    </cfRule>
    <cfRule type="expression" dxfId="1384" priority="68">
      <formula>AND($H125 = 0 * ISNUMBER($H125))</formula>
    </cfRule>
    <cfRule type="expression" dxfId="1383" priority="69">
      <formula>AND($H125 &lt; 0, ISNUMBER($H125))</formula>
    </cfRule>
  </conditionalFormatting>
  <conditionalFormatting sqref="A125:C144 J125:L144">
    <cfRule type="expression" dxfId="1382" priority="64">
      <formula>AND($K125 &gt; 0, ISNUMBER($K125))</formula>
    </cfRule>
    <cfRule type="expression" dxfId="1381" priority="65">
      <formula>AND($K125 = 0 * ISNUMBER($K125))</formula>
    </cfRule>
    <cfRule type="expression" dxfId="1380" priority="66">
      <formula>AND($K125 &lt; 0, ISNUMBER($K125))</formula>
    </cfRule>
  </conditionalFormatting>
  <conditionalFormatting sqref="D123:F124 E145:F145">
    <cfRule type="expression" dxfId="1379" priority="58">
      <formula>$E$145 &gt; 0</formula>
    </cfRule>
    <cfRule type="expression" dxfId="1378" priority="59">
      <formula>$E$145 = 0</formula>
    </cfRule>
    <cfRule type="expression" dxfId="1377" priority="60">
      <formula>$E$145 &lt; 0</formula>
    </cfRule>
  </conditionalFormatting>
  <conditionalFormatting sqref="G123:I124 H145:I145">
    <cfRule type="expression" dxfId="1376" priority="55">
      <formula>$H$145 &gt; 0</formula>
    </cfRule>
    <cfRule type="expression" dxfId="1375" priority="56">
      <formula>$H$145 = 0</formula>
    </cfRule>
    <cfRule type="expression" dxfId="1374" priority="57">
      <formula>$H$145 &lt; 0</formula>
    </cfRule>
  </conditionalFormatting>
  <conditionalFormatting sqref="J123:L124 K145:L145">
    <cfRule type="expression" dxfId="1373" priority="52">
      <formula>$K$145 &gt; 0</formula>
    </cfRule>
    <cfRule type="expression" dxfId="1372" priority="53">
      <formula>$K$145 = 0</formula>
    </cfRule>
    <cfRule type="expression" dxfId="1371" priority="54">
      <formula>$K$145 &lt; 0</formula>
    </cfRule>
  </conditionalFormatting>
  <conditionalFormatting sqref="M123:O124 N145:O145">
    <cfRule type="expression" dxfId="1370" priority="49">
      <formula>$N$145 &gt; 0</formula>
    </cfRule>
    <cfRule type="expression" dxfId="1369" priority="50">
      <formula>$N$145 = 0</formula>
    </cfRule>
    <cfRule type="expression" dxfId="1368" priority="51">
      <formula>$N$145 &lt; 0</formula>
    </cfRule>
  </conditionalFormatting>
  <conditionalFormatting sqref="A152:C171 M152:O171">
    <cfRule type="expression" dxfId="1367" priority="37">
      <formula>AND($N152 &gt; 0, ISNUMBER($N152))</formula>
    </cfRule>
    <cfRule type="expression" dxfId="1366" priority="38">
      <formula>AND($N152 = 0 * ISNUMBER($N152))</formula>
    </cfRule>
    <cfRule type="expression" dxfId="1365" priority="39">
      <formula>AND($N152 &lt; 0, ISNUMBER($N152))</formula>
    </cfRule>
  </conditionalFormatting>
  <conditionalFormatting sqref="A152:F171">
    <cfRule type="expression" dxfId="1364" priority="46">
      <formula>AND($E152 &gt; 0, ISNUMBER($E152))</formula>
    </cfRule>
    <cfRule type="expression" dxfId="1363" priority="47">
      <formula>AND($E152 = 0 * ISNUMBER($E152))</formula>
    </cfRule>
    <cfRule type="expression" dxfId="1362" priority="48">
      <formula>AND($E152 &lt; 0, ISNUMBER($E152))</formula>
    </cfRule>
  </conditionalFormatting>
  <conditionalFormatting sqref="A152:C171 G152:I171">
    <cfRule type="expression" dxfId="1361" priority="43">
      <formula>AND($H152 &gt; 0, ISNUMBER($H152))</formula>
    </cfRule>
    <cfRule type="expression" dxfId="1360" priority="44">
      <formula>AND($H152 = 0 * ISNUMBER($H152))</formula>
    </cfRule>
    <cfRule type="expression" dxfId="1359" priority="45">
      <formula>AND($H152 &lt; 0, ISNUMBER($H152))</formula>
    </cfRule>
  </conditionalFormatting>
  <conditionalFormatting sqref="A152:C171 J152:L171">
    <cfRule type="expression" dxfId="1358" priority="40">
      <formula>AND($K152 &gt; 0, ISNUMBER($K152))</formula>
    </cfRule>
    <cfRule type="expression" dxfId="1357" priority="41">
      <formula>AND($K152 = 0 * ISNUMBER($K152))</formula>
    </cfRule>
    <cfRule type="expression" dxfId="1356" priority="42">
      <formula>AND($K152 &lt; 0, ISNUMBER($K152))</formula>
    </cfRule>
  </conditionalFormatting>
  <conditionalFormatting sqref="D150:F151 E172:F172">
    <cfRule type="expression" dxfId="1355" priority="34">
      <formula>$E$172 &gt; 0</formula>
    </cfRule>
    <cfRule type="expression" dxfId="1354" priority="35">
      <formula>$E$172 = 0</formula>
    </cfRule>
    <cfRule type="expression" dxfId="1353" priority="36">
      <formula>$E$172 &lt; 0</formula>
    </cfRule>
  </conditionalFormatting>
  <conditionalFormatting sqref="G150:I151 H172:I172">
    <cfRule type="expression" dxfId="1352" priority="31">
      <formula>$H$172 &gt; 0</formula>
    </cfRule>
    <cfRule type="expression" dxfId="1351" priority="32">
      <formula>$H$172 = 0</formula>
    </cfRule>
    <cfRule type="expression" dxfId="1350" priority="33">
      <formula>$H$172 &lt; 0</formula>
    </cfRule>
  </conditionalFormatting>
  <conditionalFormatting sqref="J150:L151 K172:L172">
    <cfRule type="expression" dxfId="1349" priority="28">
      <formula>$K$172 &gt; 0</formula>
    </cfRule>
    <cfRule type="expression" dxfId="1348" priority="29">
      <formula>$K$172 = 0</formula>
    </cfRule>
    <cfRule type="expression" dxfId="1347" priority="30">
      <formula>$K$172 &lt; 0</formula>
    </cfRule>
  </conditionalFormatting>
  <conditionalFormatting sqref="M150:O151 N172:O172">
    <cfRule type="expression" dxfId="1346" priority="25">
      <formula>$N$172 &gt; 0</formula>
    </cfRule>
    <cfRule type="expression" dxfId="1345" priority="26">
      <formula>$N$172 = 0</formula>
    </cfRule>
    <cfRule type="expression" dxfId="1344" priority="27">
      <formula>$N$172 &lt; 0</formula>
    </cfRule>
  </conditionalFormatting>
  <conditionalFormatting sqref="A179:C198 M179:O198">
    <cfRule type="expression" dxfId="1343" priority="13">
      <formula>AND($N179 &gt; 0, ISNUMBER($N179))</formula>
    </cfRule>
    <cfRule type="expression" dxfId="1342" priority="14">
      <formula>AND($N179 = 0 * ISNUMBER($N179))</formula>
    </cfRule>
    <cfRule type="expression" dxfId="1341" priority="15">
      <formula>AND($N179 &lt; 0, ISNUMBER($N179))</formula>
    </cfRule>
  </conditionalFormatting>
  <conditionalFormatting sqref="A179:F198">
    <cfRule type="expression" dxfId="1340" priority="22">
      <formula>AND($E179 &gt; 0, ISNUMBER($E179))</formula>
    </cfRule>
    <cfRule type="expression" dxfId="1339" priority="23">
      <formula>AND($E179 = 0 * ISNUMBER($E179))</formula>
    </cfRule>
    <cfRule type="expression" dxfId="1338" priority="24">
      <formula>AND($E179 &lt; 0, ISNUMBER($E179))</formula>
    </cfRule>
  </conditionalFormatting>
  <conditionalFormatting sqref="A179:C198 G179:I198">
    <cfRule type="expression" dxfId="1337" priority="19">
      <formula>AND($H179 &gt; 0, ISNUMBER($H179))</formula>
    </cfRule>
    <cfRule type="expression" dxfId="1336" priority="20">
      <formula>AND($H179 = 0 * ISNUMBER($H179))</formula>
    </cfRule>
    <cfRule type="expression" dxfId="1335" priority="21">
      <formula>AND($H179 &lt; 0, ISNUMBER($H179))</formula>
    </cfRule>
  </conditionalFormatting>
  <conditionalFormatting sqref="A179:C198 J179:L198">
    <cfRule type="expression" dxfId="1334" priority="16">
      <formula>AND($K179 &gt; 0, ISNUMBER($K179))</formula>
    </cfRule>
    <cfRule type="expression" dxfId="1333" priority="17">
      <formula>AND($K179 = 0 * ISNUMBER($K179))</formula>
    </cfRule>
    <cfRule type="expression" dxfId="1332" priority="18">
      <formula>AND($K179 &lt; 0, ISNUMBER($K179))</formula>
    </cfRule>
  </conditionalFormatting>
  <conditionalFormatting sqref="D177:F178 E199:F199">
    <cfRule type="expression" dxfId="1331" priority="10">
      <formula>$E$199 &gt; 0</formula>
    </cfRule>
    <cfRule type="expression" dxfId="1330" priority="11">
      <formula>$E$199 = 0</formula>
    </cfRule>
    <cfRule type="expression" dxfId="1329" priority="12">
      <formula>$E$199 &lt; 0</formula>
    </cfRule>
  </conditionalFormatting>
  <conditionalFormatting sqref="G177:I178 H199:I199">
    <cfRule type="expression" dxfId="1328" priority="7">
      <formula>$H$199 &gt; 0</formula>
    </cfRule>
    <cfRule type="expression" dxfId="1327" priority="8">
      <formula>$H$199 = 0</formula>
    </cfRule>
    <cfRule type="expression" dxfId="1326" priority="9">
      <formula>$H$199 &lt; 0</formula>
    </cfRule>
  </conditionalFormatting>
  <conditionalFormatting sqref="J177:L178 K199:L199">
    <cfRule type="expression" dxfId="1325" priority="4">
      <formula>$K$199 &gt; 0</formula>
    </cfRule>
    <cfRule type="expression" dxfId="1324" priority="5">
      <formula>$K$199 = 0</formula>
    </cfRule>
    <cfRule type="expression" dxfId="1323" priority="6">
      <formula>$K$199 &lt; 0</formula>
    </cfRule>
  </conditionalFormatting>
  <conditionalFormatting sqref="M177:O178 N199:O199">
    <cfRule type="expression" dxfId="1322" priority="1">
      <formula>$N$199 &gt; 0</formula>
    </cfRule>
    <cfRule type="expression" dxfId="1321" priority="2">
      <formula>$N$199 = 0</formula>
    </cfRule>
    <cfRule type="expression" dxfId="132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139</v>
      </c>
      <c r="B2" s="11" t="s">
        <v>140</v>
      </c>
      <c r="C2" s="95">
        <v>87.1</v>
      </c>
      <c r="D2" s="92">
        <v>6.3492063500000001E-2</v>
      </c>
      <c r="E2" s="93">
        <v>490079445.64157683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22330</v>
      </c>
      <c r="D3" s="92">
        <v>4.6391752600000002E-2</v>
      </c>
      <c r="E3" s="93">
        <v>4531674.8456493896</v>
      </c>
      <c r="F3" s="35"/>
      <c r="G3" s="231" t="s">
        <v>255</v>
      </c>
      <c r="H3" s="243" t="s">
        <v>349</v>
      </c>
      <c r="I3" s="243"/>
      <c r="K3" s="170" t="s">
        <v>34</v>
      </c>
      <c r="L3" s="171"/>
      <c r="M3" s="171"/>
      <c r="N3" s="172"/>
      <c r="O3" s="170" t="s">
        <v>257</v>
      </c>
      <c r="P3" s="171"/>
      <c r="Q3" s="171"/>
      <c r="R3" s="172"/>
    </row>
    <row r="4" spans="1:18" ht="17.25" thickBot="1">
      <c r="A4" s="40" t="s">
        <v>131</v>
      </c>
      <c r="B4" s="11" t="s">
        <v>132</v>
      </c>
      <c r="C4" s="95">
        <v>3000</v>
      </c>
      <c r="D4" s="92">
        <v>3.4482758600000003E-2</v>
      </c>
      <c r="E4" s="93">
        <v>6097601.8136448301</v>
      </c>
      <c r="F4" s="35"/>
      <c r="G4" s="232"/>
      <c r="H4" s="244"/>
      <c r="I4" s="244"/>
      <c r="K4" s="235" t="s">
        <v>54</v>
      </c>
      <c r="L4" s="247">
        <f ca="1">NOW()</f>
        <v>44626.614851388891</v>
      </c>
      <c r="M4" s="248"/>
      <c r="N4" s="249"/>
      <c r="O4" s="238" t="s">
        <v>54</v>
      </c>
      <c r="P4" s="247">
        <f ca="1">NOW()</f>
        <v>44626.614851388891</v>
      </c>
      <c r="Q4" s="248"/>
      <c r="R4" s="249"/>
    </row>
    <row r="5" spans="1:18" ht="17.25" thickBot="1">
      <c r="A5" s="40" t="s">
        <v>210</v>
      </c>
      <c r="B5" s="11" t="s">
        <v>211</v>
      </c>
      <c r="C5" s="95">
        <v>7.47</v>
      </c>
      <c r="D5" s="92">
        <v>2.1887824899999998E-2</v>
      </c>
      <c r="E5" s="93">
        <v>2577874051.3292875</v>
      </c>
      <c r="F5" s="35"/>
      <c r="K5" s="232"/>
      <c r="L5" s="36" t="s">
        <v>57</v>
      </c>
      <c r="M5" s="73" t="s">
        <v>58</v>
      </c>
      <c r="N5" s="69" t="s">
        <v>259</v>
      </c>
      <c r="O5" s="232"/>
      <c r="P5" s="36" t="s">
        <v>57</v>
      </c>
      <c r="Q5" s="73" t="s">
        <v>58</v>
      </c>
      <c r="R5" s="69" t="s">
        <v>259</v>
      </c>
    </row>
    <row r="6" spans="1:18" ht="17.25" thickBot="1">
      <c r="A6" s="40" t="s">
        <v>151</v>
      </c>
      <c r="B6" s="11" t="s">
        <v>152</v>
      </c>
      <c r="C6" s="95">
        <v>1770</v>
      </c>
      <c r="D6" s="92">
        <v>1.14285714E-2</v>
      </c>
      <c r="E6" s="93">
        <v>5510229.4761804398</v>
      </c>
      <c r="F6" s="35"/>
      <c r="G6" s="170" t="s">
        <v>52</v>
      </c>
      <c r="H6" s="171"/>
      <c r="I6" s="172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앵커</v>
      </c>
      <c r="P6" s="38">
        <f t="shared" ref="P6:P25" si="2">_xlfn.IFNA(VLOOKUP(O6, $B$2:$D$200, 2, FALSE), "")</f>
        <v>87.1</v>
      </c>
      <c r="Q6" s="76">
        <f t="shared" ref="Q6:Q25" si="3">_xlfn.IFNA(VLOOKUP(O6, $B$2:$D$200, 3, FALSE), "")</f>
        <v>6.3492063500000001E-2</v>
      </c>
      <c r="R6" s="85">
        <f>_xlfn.IFNA(VLOOKUP(O6, $B$2:$E$200, 4, FALSE), "")</f>
        <v>490079445.64157683</v>
      </c>
    </row>
    <row r="7" spans="1:18">
      <c r="A7" s="40" t="s">
        <v>143</v>
      </c>
      <c r="B7" s="11" t="s">
        <v>144</v>
      </c>
      <c r="C7" s="95">
        <v>10.8</v>
      </c>
      <c r="D7" s="92">
        <v>9.3457943999999994E-3</v>
      </c>
      <c r="E7" s="93">
        <v>137077473.98647463</v>
      </c>
      <c r="F7" s="35"/>
      <c r="G7" s="179" t="s">
        <v>36</v>
      </c>
      <c r="H7" s="180"/>
      <c r="I7" s="1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웨이브</v>
      </c>
      <c r="P7" s="39">
        <f t="shared" si="2"/>
        <v>22330</v>
      </c>
      <c r="Q7" s="77">
        <f t="shared" si="3"/>
        <v>4.6391752600000002E-2</v>
      </c>
      <c r="R7" s="86">
        <f t="shared" ref="R7:R25" si="5">_xlfn.IFNA(VLOOKUP(O7, $B$2:$E$200, 4, FALSE), "")</f>
        <v>4531674.8456493896</v>
      </c>
    </row>
    <row r="8" spans="1:18" ht="17.25" thickBot="1">
      <c r="A8" s="40" t="s">
        <v>336</v>
      </c>
      <c r="B8" s="11" t="s">
        <v>337</v>
      </c>
      <c r="C8" s="95">
        <v>13070</v>
      </c>
      <c r="D8" s="92">
        <v>7.7101002000000002E-3</v>
      </c>
      <c r="E8" s="93">
        <v>1798289.85092628</v>
      </c>
      <c r="F8" s="35"/>
      <c r="G8" s="185"/>
      <c r="H8" s="186"/>
      <c r="I8" s="18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카이버네트워크</v>
      </c>
      <c r="P8" s="39">
        <f t="shared" si="2"/>
        <v>3000</v>
      </c>
      <c r="Q8" s="77">
        <f t="shared" si="3"/>
        <v>3.4482758600000003E-2</v>
      </c>
      <c r="R8" s="86">
        <f t="shared" si="5"/>
        <v>6097601.8136448301</v>
      </c>
    </row>
    <row r="9" spans="1:18" ht="17.25" thickBot="1">
      <c r="A9" s="40" t="s">
        <v>155</v>
      </c>
      <c r="B9" s="11" t="s">
        <v>156</v>
      </c>
      <c r="C9" s="95">
        <v>1190</v>
      </c>
      <c r="D9" s="92">
        <v>4.2194093E-3</v>
      </c>
      <c r="E9" s="93">
        <v>2919626.3401708701</v>
      </c>
      <c r="F9" s="35"/>
      <c r="G9" s="9" t="s">
        <v>38</v>
      </c>
      <c r="H9" s="171" t="s">
        <v>37</v>
      </c>
      <c r="I9" s="17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무비블록</v>
      </c>
      <c r="P9" s="39">
        <f t="shared" si="2"/>
        <v>7.47</v>
      </c>
      <c r="Q9" s="77">
        <f t="shared" si="3"/>
        <v>2.1887824899999998E-2</v>
      </c>
      <c r="R9" s="86">
        <f t="shared" si="5"/>
        <v>2577874051.3292875</v>
      </c>
    </row>
    <row r="10" spans="1:18">
      <c r="A10" s="40" t="s">
        <v>48</v>
      </c>
      <c r="B10" s="11" t="s">
        <v>49</v>
      </c>
      <c r="C10" s="95">
        <v>48774000</v>
      </c>
      <c r="D10" s="92">
        <v>3.4770084999999999E-3</v>
      </c>
      <c r="E10" s="93">
        <v>1038.8393464200001</v>
      </c>
      <c r="F10" s="35"/>
      <c r="G10" s="245">
        <f>_xlfn.IFNA(VLOOKUP(G7, $B$2:$D$200, 3, FALSE), "-")</f>
        <v>3.4770084999999999E-3</v>
      </c>
      <c r="H10" s="239">
        <f>_xlfn.IFNA(VLOOKUP(G7, $B$2:$D$200, 2, FALSE), "-")</f>
        <v>48774000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엔진코인</v>
      </c>
      <c r="P10" s="39">
        <f t="shared" si="2"/>
        <v>1770</v>
      </c>
      <c r="Q10" s="77">
        <f t="shared" si="3"/>
        <v>1.14285714E-2</v>
      </c>
      <c r="R10" s="90">
        <f t="shared" si="5"/>
        <v>5510229.4761804398</v>
      </c>
    </row>
    <row r="11" spans="1:18" ht="17.25" thickBot="1">
      <c r="A11" s="40" t="s">
        <v>147</v>
      </c>
      <c r="B11" s="11" t="s">
        <v>148</v>
      </c>
      <c r="C11" s="95">
        <v>74.7</v>
      </c>
      <c r="D11" s="92">
        <v>2.6845637999999999E-3</v>
      </c>
      <c r="E11" s="93">
        <v>50283057.962235928</v>
      </c>
      <c r="F11" s="35"/>
      <c r="G11" s="246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시아코인</v>
      </c>
      <c r="P11" s="45">
        <f t="shared" si="2"/>
        <v>10.8</v>
      </c>
      <c r="Q11" s="80">
        <f t="shared" si="3"/>
        <v>9.3457943999999994E-3</v>
      </c>
      <c r="R11" s="99">
        <f t="shared" si="5"/>
        <v>137077473.98647463</v>
      </c>
    </row>
    <row r="12" spans="1:18" ht="17.25" thickBot="1">
      <c r="A12" s="40" t="s">
        <v>342</v>
      </c>
      <c r="B12" s="11" t="s">
        <v>343</v>
      </c>
      <c r="C12" s="95">
        <v>6085</v>
      </c>
      <c r="D12" s="92">
        <v>8.223684E-4</v>
      </c>
      <c r="E12" s="93">
        <v>581018.72027500998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니어프로토콜</v>
      </c>
      <c r="P12" s="39">
        <f t="shared" si="2"/>
        <v>13070</v>
      </c>
      <c r="Q12" s="77">
        <f t="shared" si="3"/>
        <v>7.7101002000000002E-3</v>
      </c>
      <c r="R12" s="86">
        <f t="shared" si="5"/>
        <v>1798289.85092628</v>
      </c>
    </row>
    <row r="13" spans="1:18" ht="17.25" thickBot="1">
      <c r="A13" s="40" t="s">
        <v>96</v>
      </c>
      <c r="B13" s="11" t="s">
        <v>97</v>
      </c>
      <c r="C13" s="95">
        <v>2.3E-3</v>
      </c>
      <c r="D13" s="92">
        <v>0</v>
      </c>
      <c r="E13" s="93">
        <v>474816570232.57129</v>
      </c>
      <c r="F13" s="35"/>
      <c r="G13" s="170" t="s">
        <v>69</v>
      </c>
      <c r="H13" s="171"/>
      <c r="I13" s="17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스토리지</v>
      </c>
      <c r="P13" s="39">
        <f t="shared" si="2"/>
        <v>1190</v>
      </c>
      <c r="Q13" s="77">
        <f t="shared" si="3"/>
        <v>4.2194093E-3</v>
      </c>
      <c r="R13" s="86">
        <f t="shared" si="5"/>
        <v>2919626.3401708701</v>
      </c>
    </row>
    <row r="14" spans="1:18">
      <c r="A14" s="40" t="s">
        <v>53</v>
      </c>
      <c r="B14" s="11" t="s">
        <v>338</v>
      </c>
      <c r="C14" s="95">
        <v>259</v>
      </c>
      <c r="D14" s="92">
        <v>0</v>
      </c>
      <c r="E14" s="93">
        <v>3463915.3443442299</v>
      </c>
      <c r="F14" s="35"/>
      <c r="G14" s="179" t="s">
        <v>36</v>
      </c>
      <c r="H14" s="180"/>
      <c r="I14" s="1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비트코인</v>
      </c>
      <c r="P14" s="39">
        <f t="shared" si="2"/>
        <v>48774000</v>
      </c>
      <c r="Q14" s="77">
        <f t="shared" si="3"/>
        <v>3.4770084999999999E-3</v>
      </c>
      <c r="R14" s="86">
        <f t="shared" si="5"/>
        <v>1038.8393464200001</v>
      </c>
    </row>
    <row r="15" spans="1:18" ht="17.25" thickBot="1">
      <c r="A15" s="40" t="s">
        <v>141</v>
      </c>
      <c r="B15" s="11" t="s">
        <v>142</v>
      </c>
      <c r="C15" s="95">
        <v>1740</v>
      </c>
      <c r="D15" s="92">
        <v>0</v>
      </c>
      <c r="E15" s="93">
        <v>5783387.45616131</v>
      </c>
      <c r="F15" s="35"/>
      <c r="G15" s="185"/>
      <c r="H15" s="186"/>
      <c r="I15" s="18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트론</v>
      </c>
      <c r="P15" s="37">
        <f t="shared" si="2"/>
        <v>74.7</v>
      </c>
      <c r="Q15" s="79">
        <f t="shared" si="3"/>
        <v>2.6845637999999999E-3</v>
      </c>
      <c r="R15" s="87">
        <f t="shared" si="5"/>
        <v>50283057.962235928</v>
      </c>
    </row>
    <row r="16" spans="1:18" ht="17.25" thickBot="1">
      <c r="A16" s="40" t="s">
        <v>184</v>
      </c>
      <c r="B16" s="11" t="s">
        <v>185</v>
      </c>
      <c r="C16" s="95">
        <v>10.1</v>
      </c>
      <c r="D16" s="92">
        <v>0</v>
      </c>
      <c r="E16" s="93">
        <v>38204674.947638959</v>
      </c>
      <c r="F16" s="35"/>
      <c r="G16" s="9" t="s">
        <v>38</v>
      </c>
      <c r="H16" s="171" t="s">
        <v>37</v>
      </c>
      <c r="I16" s="17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위믹스</v>
      </c>
      <c r="P16" s="38">
        <f t="shared" si="2"/>
        <v>6085</v>
      </c>
      <c r="Q16" s="76">
        <f t="shared" si="3"/>
        <v>8.223684E-4</v>
      </c>
      <c r="R16" s="85">
        <f t="shared" si="5"/>
        <v>581018.72027500998</v>
      </c>
    </row>
    <row r="17" spans="1:18">
      <c r="A17" s="40" t="s">
        <v>123</v>
      </c>
      <c r="B17" s="11" t="s">
        <v>124</v>
      </c>
      <c r="C17" s="95">
        <v>62</v>
      </c>
      <c r="D17" s="92">
        <v>-1.6103059999999999E-3</v>
      </c>
      <c r="E17" s="93">
        <v>44620048.478771299</v>
      </c>
      <c r="F17" s="35"/>
      <c r="G17" s="245">
        <f>_xlfn.IFNA(VLOOKUP(G14, $B$2:$D$200, 3, FALSE), "-")</f>
        <v>3.4770084999999999E-3</v>
      </c>
      <c r="H17" s="239">
        <f>_xlfn.IFNA(VLOOKUP(G14, $B$2:$D$200, 2, FALSE), "-")</f>
        <v>48774000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비트토렌트</v>
      </c>
      <c r="P17" s="39">
        <f t="shared" si="2"/>
        <v>2.3E-3</v>
      </c>
      <c r="Q17" s="77">
        <f t="shared" si="3"/>
        <v>0</v>
      </c>
      <c r="R17" s="86">
        <f t="shared" si="5"/>
        <v>474816570232.57129</v>
      </c>
    </row>
    <row r="18" spans="1:18" ht="17.25" thickBot="1">
      <c r="A18" s="40" t="s">
        <v>114</v>
      </c>
      <c r="B18" s="11" t="s">
        <v>339</v>
      </c>
      <c r="C18" s="95">
        <v>504</v>
      </c>
      <c r="D18" s="92">
        <v>-1.9801979999999999E-3</v>
      </c>
      <c r="E18" s="93">
        <v>673958.87632405001</v>
      </c>
      <c r="F18" s="35"/>
      <c r="G18" s="246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비트토렌트</v>
      </c>
      <c r="P18" s="39">
        <f t="shared" si="2"/>
        <v>2.3E-3</v>
      </c>
      <c r="Q18" s="77">
        <f t="shared" si="3"/>
        <v>0</v>
      </c>
      <c r="R18" s="86">
        <f t="shared" si="5"/>
        <v>474816570232.57129</v>
      </c>
    </row>
    <row r="19" spans="1:18" ht="17.25" thickBot="1">
      <c r="A19" s="40" t="s">
        <v>171</v>
      </c>
      <c r="B19" s="11" t="s">
        <v>172</v>
      </c>
      <c r="C19" s="95">
        <v>905</v>
      </c>
      <c r="D19" s="92">
        <v>-2.2050717000000001E-3</v>
      </c>
      <c r="E19" s="93">
        <v>1287980.5929801001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비트토렌트</v>
      </c>
      <c r="P19" s="39">
        <f t="shared" si="2"/>
        <v>2.3E-3</v>
      </c>
      <c r="Q19" s="77">
        <f t="shared" si="3"/>
        <v>0</v>
      </c>
      <c r="R19" s="86">
        <f t="shared" si="5"/>
        <v>474816570232.57129</v>
      </c>
    </row>
    <row r="20" spans="1:18" ht="17.25" thickBot="1">
      <c r="A20" s="40" t="s">
        <v>236</v>
      </c>
      <c r="B20" s="11" t="s">
        <v>237</v>
      </c>
      <c r="C20" s="95">
        <v>582</v>
      </c>
      <c r="D20" s="92">
        <v>-3.4246575E-3</v>
      </c>
      <c r="E20" s="93">
        <v>77277376.137526616</v>
      </c>
      <c r="F20" s="35"/>
      <c r="G20" s="170" t="s">
        <v>251</v>
      </c>
      <c r="H20" s="171"/>
      <c r="I20" s="17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비트토렌트</v>
      </c>
      <c r="P20" s="39">
        <f t="shared" si="2"/>
        <v>2.3E-3</v>
      </c>
      <c r="Q20" s="77">
        <f t="shared" si="3"/>
        <v>0</v>
      </c>
      <c r="R20" s="90">
        <f t="shared" si="5"/>
        <v>474816570232.57129</v>
      </c>
    </row>
    <row r="21" spans="1:18">
      <c r="A21" s="40" t="s">
        <v>92</v>
      </c>
      <c r="B21" s="11" t="s">
        <v>93</v>
      </c>
      <c r="C21" s="95">
        <v>3278000</v>
      </c>
      <c r="D21" s="92">
        <v>-3.6474163999999998E-3</v>
      </c>
      <c r="E21" s="93">
        <v>7900.0464844999997</v>
      </c>
      <c r="F21" s="35"/>
      <c r="G21" s="179" t="s">
        <v>36</v>
      </c>
      <c r="H21" s="180"/>
      <c r="I21" s="1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비체인</v>
      </c>
      <c r="P21" s="45">
        <f t="shared" si="2"/>
        <v>62</v>
      </c>
      <c r="Q21" s="80">
        <f t="shared" si="3"/>
        <v>-1.6103059999999999E-3</v>
      </c>
      <c r="R21" s="99">
        <f t="shared" si="5"/>
        <v>44620048.478771299</v>
      </c>
    </row>
    <row r="22" spans="1:18" ht="17.25" thickBot="1">
      <c r="A22" s="40" t="s">
        <v>86</v>
      </c>
      <c r="B22" s="11" t="s">
        <v>87</v>
      </c>
      <c r="C22" s="95">
        <v>99970</v>
      </c>
      <c r="D22" s="92">
        <v>-3.7867463999999998E-3</v>
      </c>
      <c r="E22" s="93">
        <v>4498.2722765999997</v>
      </c>
      <c r="F22" s="35"/>
      <c r="G22" s="185"/>
      <c r="H22" s="186"/>
      <c r="I22" s="18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크로노스</v>
      </c>
      <c r="P22" s="39">
        <f t="shared" si="2"/>
        <v>504</v>
      </c>
      <c r="Q22" s="77">
        <f t="shared" si="3"/>
        <v>-1.9801979999999999E-3</v>
      </c>
      <c r="R22" s="86">
        <f t="shared" si="5"/>
        <v>673958.87632405001</v>
      </c>
    </row>
    <row r="23" spans="1:18" ht="17.25" thickBot="1">
      <c r="A23" s="40" t="s">
        <v>202</v>
      </c>
      <c r="B23" s="11" t="s">
        <v>203</v>
      </c>
      <c r="C23" s="95">
        <v>7.62</v>
      </c>
      <c r="D23" s="92">
        <v>-5.2219320999999999E-3</v>
      </c>
      <c r="E23" s="93">
        <v>492874066.79517651</v>
      </c>
      <c r="F23" s="35"/>
      <c r="G23" s="9" t="s">
        <v>38</v>
      </c>
      <c r="H23" s="171" t="s">
        <v>37</v>
      </c>
      <c r="I23" s="17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아이오타</v>
      </c>
      <c r="P23" s="39">
        <f t="shared" si="2"/>
        <v>905</v>
      </c>
      <c r="Q23" s="77">
        <f t="shared" si="3"/>
        <v>-2.2050717000000001E-3</v>
      </c>
      <c r="R23" s="86">
        <f t="shared" si="5"/>
        <v>1287980.5929801001</v>
      </c>
    </row>
    <row r="24" spans="1:18">
      <c r="A24" s="40" t="s">
        <v>334</v>
      </c>
      <c r="B24" s="11" t="s">
        <v>335</v>
      </c>
      <c r="C24" s="95">
        <v>1850</v>
      </c>
      <c r="D24" s="92">
        <v>-5.3763441000000004E-3</v>
      </c>
      <c r="E24" s="93">
        <v>2179829.91865505</v>
      </c>
      <c r="F24" s="35"/>
      <c r="G24" s="245">
        <f>_xlfn.IFNA(VLOOKUP(G21, $B$2:$D$200, 3, FALSE), "-")</f>
        <v>3.4770084999999999E-3</v>
      </c>
      <c r="H24" s="239">
        <f>_xlfn.IFNA(VLOOKUP(G21, $B$2:$D$200, 2, FALSE), "-")</f>
        <v>48774000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골렘</v>
      </c>
      <c r="P24" s="39">
        <f t="shared" si="2"/>
        <v>582</v>
      </c>
      <c r="Q24" s="77">
        <f t="shared" si="3"/>
        <v>-3.4246575E-3</v>
      </c>
      <c r="R24" s="86">
        <f t="shared" si="5"/>
        <v>77277376.137526616</v>
      </c>
    </row>
    <row r="25" spans="1:18" ht="17.25" thickBot="1">
      <c r="A25" s="40" t="s">
        <v>328</v>
      </c>
      <c r="B25" s="11" t="s">
        <v>329</v>
      </c>
      <c r="C25" s="95">
        <v>94050</v>
      </c>
      <c r="D25" s="92">
        <v>-5.6037216999999997E-3</v>
      </c>
      <c r="E25" s="93">
        <v>41563.386251290001</v>
      </c>
      <c r="F25" s="35"/>
      <c r="G25" s="246"/>
      <c r="H25" s="241"/>
      <c r="I25" s="242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이더리움</v>
      </c>
      <c r="P25" s="37">
        <f t="shared" si="2"/>
        <v>3278000</v>
      </c>
      <c r="Q25" s="79">
        <f t="shared" si="3"/>
        <v>-3.6474163999999998E-3</v>
      </c>
      <c r="R25" s="87">
        <f t="shared" si="5"/>
        <v>7900.0464844999997</v>
      </c>
    </row>
    <row r="26" spans="1:18">
      <c r="A26" s="40" t="s">
        <v>76</v>
      </c>
      <c r="B26" s="11" t="s">
        <v>77</v>
      </c>
      <c r="C26" s="95">
        <v>360900</v>
      </c>
      <c r="D26" s="92">
        <v>-5.785124E-3</v>
      </c>
      <c r="E26" s="93">
        <v>1674.64615486</v>
      </c>
      <c r="F26" s="35"/>
    </row>
    <row r="27" spans="1:18" ht="17.25" thickBot="1">
      <c r="A27" s="40" t="s">
        <v>228</v>
      </c>
      <c r="B27" s="11" t="s">
        <v>229</v>
      </c>
      <c r="C27" s="95">
        <v>51.2</v>
      </c>
      <c r="D27" s="92">
        <v>-5.8252427000000002E-3</v>
      </c>
      <c r="E27" s="93">
        <v>27939765.042374969</v>
      </c>
      <c r="F27" s="35"/>
    </row>
    <row r="28" spans="1:18" ht="17.25" thickBot="1">
      <c r="A28" s="40" t="s">
        <v>145</v>
      </c>
      <c r="B28" s="11" t="s">
        <v>146</v>
      </c>
      <c r="C28" s="95">
        <v>8.3800000000000008</v>
      </c>
      <c r="D28" s="92">
        <v>-5.9311981E-3</v>
      </c>
      <c r="E28" s="93">
        <v>375325963.01437742</v>
      </c>
      <c r="F28" s="35"/>
      <c r="G28" s="170" t="s">
        <v>46</v>
      </c>
      <c r="H28" s="171"/>
      <c r="I28" s="171"/>
      <c r="J28" s="172"/>
      <c r="K28" s="170" t="s">
        <v>44</v>
      </c>
      <c r="L28" s="171"/>
      <c r="M28" s="171"/>
      <c r="N28" s="172"/>
      <c r="O28" s="170" t="s">
        <v>45</v>
      </c>
      <c r="P28" s="171"/>
      <c r="Q28" s="171"/>
      <c r="R28" s="172"/>
    </row>
    <row r="29" spans="1:18" ht="17.25" thickBot="1">
      <c r="A29" s="40" t="s">
        <v>82</v>
      </c>
      <c r="B29" s="11" t="s">
        <v>83</v>
      </c>
      <c r="C29" s="95">
        <v>2510</v>
      </c>
      <c r="D29" s="92">
        <v>-5.9405941E-3</v>
      </c>
      <c r="E29" s="93">
        <v>1438673.32716412</v>
      </c>
      <c r="F29" s="35"/>
      <c r="G29" s="235" t="s">
        <v>54</v>
      </c>
      <c r="H29" s="247">
        <f ca="1">NOW()</f>
        <v>44626.614851388891</v>
      </c>
      <c r="I29" s="248"/>
      <c r="J29" s="249"/>
      <c r="K29" s="238" t="s">
        <v>54</v>
      </c>
      <c r="L29" s="247">
        <f ca="1">NOW()</f>
        <v>44626.614851388891</v>
      </c>
      <c r="M29" s="248"/>
      <c r="N29" s="249"/>
      <c r="O29" s="238" t="s">
        <v>54</v>
      </c>
      <c r="P29" s="247">
        <f ca="1">NOW()</f>
        <v>44626.614851388891</v>
      </c>
      <c r="Q29" s="248"/>
      <c r="R29" s="249"/>
    </row>
    <row r="30" spans="1:18" ht="17.25" thickBot="1">
      <c r="A30" s="40" t="s">
        <v>67</v>
      </c>
      <c r="B30" s="11" t="s">
        <v>68</v>
      </c>
      <c r="C30" s="95">
        <v>2300</v>
      </c>
      <c r="D30" s="92">
        <v>-6.4794815999999998E-3</v>
      </c>
      <c r="E30" s="93">
        <v>522618.15121498</v>
      </c>
      <c r="F30" s="35"/>
      <c r="G30" s="232"/>
      <c r="H30" s="36" t="s">
        <v>57</v>
      </c>
      <c r="I30" s="73" t="s">
        <v>58</v>
      </c>
      <c r="J30" s="69" t="s">
        <v>259</v>
      </c>
      <c r="K30" s="232"/>
      <c r="L30" s="36" t="s">
        <v>57</v>
      </c>
      <c r="M30" s="73" t="s">
        <v>58</v>
      </c>
      <c r="N30" s="69" t="s">
        <v>259</v>
      </c>
      <c r="O30" s="232"/>
      <c r="P30" s="36" t="s">
        <v>57</v>
      </c>
      <c r="Q30" s="73" t="s">
        <v>58</v>
      </c>
      <c r="R30" s="69" t="s">
        <v>259</v>
      </c>
    </row>
    <row r="31" spans="1:18">
      <c r="A31" s="40" t="s">
        <v>192</v>
      </c>
      <c r="B31" s="11" t="s">
        <v>193</v>
      </c>
      <c r="C31" s="95">
        <v>7125</v>
      </c>
      <c r="D31" s="92">
        <v>-6.9686410999999998E-3</v>
      </c>
      <c r="E31" s="93">
        <v>1720484.2963711801</v>
      </c>
      <c r="F31" s="35"/>
      <c r="G31" s="55" t="str">
        <f ca="1">IFERROR(OFFSET(INDIRECT($H$3 &amp; "!A98"), 0, 0), "")</f>
        <v>썬더코어</v>
      </c>
      <c r="H31" s="38">
        <f t="shared" ref="H31:H50" ca="1" si="7">_xlfn.IFNA(VLOOKUP(G31, $B$2:$D$200, 2, FALSE), "")</f>
        <v>9.49</v>
      </c>
      <c r="I31" s="76">
        <f t="shared" ref="I31:I50" ca="1" si="8">_xlfn.IFNA(VLOOKUP(G31, $B$2:$D$200, 3, FALSE), "")</f>
        <v>-2.6666666700000001E-2</v>
      </c>
      <c r="J31" s="85">
        <f ca="1">_xlfn.IFNA(VLOOKUP(G31, $B$2:$E$200, 4, FALSE), "")</f>
        <v>813833155.96123362</v>
      </c>
      <c r="K31" s="55" t="str">
        <f ca="1">IFERROR(OFFSET(INDIRECT($H$3 &amp; "!A44"), 0, 0), "")</f>
        <v>썬더코어</v>
      </c>
      <c r="L31" s="38">
        <f t="shared" ref="L31:L50" ca="1" si="9">_xlfn.IFNA(VLOOKUP(K31, $B$2:$D$200, 2, FALSE), "")</f>
        <v>9.49</v>
      </c>
      <c r="M31" s="76">
        <f t="shared" ref="M31:M50" ca="1" si="10">_xlfn.IFNA(VLOOKUP(K31, $B$2:$D$200, 3, FALSE), "")</f>
        <v>-2.6666666700000001E-2</v>
      </c>
      <c r="N31" s="85">
        <f ca="1">_xlfn.IFNA(VLOOKUP(K31, $B$2:$E$200, 4, FALSE), "")</f>
        <v>813833155.96123362</v>
      </c>
      <c r="O31" s="55" t="str">
        <f ca="1">IFERROR(OFFSET(INDIRECT($H$3 &amp; "!A71"), 0, 0), "")</f>
        <v>칠리즈</v>
      </c>
      <c r="P31" s="38">
        <f t="shared" ref="P31:P50" ca="1" si="11">_xlfn.IFNA(VLOOKUP(O31, $B$2:$D$200, 2, FALSE), "")</f>
        <v>275</v>
      </c>
      <c r="Q31" s="76">
        <f t="shared" ref="Q31:Q50" ca="1" si="12">_xlfn.IFNA(VLOOKUP(O31, $B$2:$D$200, 3, FALSE), "")</f>
        <v>-4.1811846700000002E-2</v>
      </c>
      <c r="R31" s="85">
        <f ca="1">_xlfn.IFNA(VLOOKUP(O31, $B$2:$E$200, 4, FALSE), "")</f>
        <v>121512341.48450369</v>
      </c>
    </row>
    <row r="32" spans="1:18">
      <c r="A32" s="40" t="s">
        <v>108</v>
      </c>
      <c r="B32" s="11" t="s">
        <v>109</v>
      </c>
      <c r="C32" s="95">
        <v>3520</v>
      </c>
      <c r="D32" s="92">
        <v>-7.0521862000000003E-3</v>
      </c>
      <c r="E32" s="93">
        <v>552048.11189975997</v>
      </c>
      <c r="F32" s="35"/>
      <c r="G32" s="56" t="str">
        <f ca="1">IFERROR(OFFSET(INDIRECT($H$3 &amp; "!A98"), 1, 0), "")</f>
        <v>칠리즈</v>
      </c>
      <c r="H32" s="39">
        <f t="shared" ca="1" si="7"/>
        <v>275</v>
      </c>
      <c r="I32" s="77">
        <f t="shared" ca="1" si="8"/>
        <v>-4.1811846700000002E-2</v>
      </c>
      <c r="J32" s="86">
        <f t="shared" ref="J32:J50" ca="1" si="13">_xlfn.IFNA(VLOOKUP(G32, $B$2:$E$200, 4, FALSE), "")</f>
        <v>121512341.48450369</v>
      </c>
      <c r="K32" s="56" t="str">
        <f ca="1">IFERROR(OFFSET(INDIRECT($H$3 &amp; "!A44"), 1, 0), "")</f>
        <v>스톰엑스</v>
      </c>
      <c r="L32" s="39">
        <f t="shared" ca="1" si="9"/>
        <v>17.3</v>
      </c>
      <c r="M32" s="77">
        <f t="shared" ca="1" si="10"/>
        <v>-1.7045454500000001E-2</v>
      </c>
      <c r="N32" s="86">
        <f t="shared" ref="N32:N50" ca="1" si="14">_xlfn.IFNA(VLOOKUP(K32, $B$2:$E$200, 4, FALSE), "")</f>
        <v>193233792.14779925</v>
      </c>
      <c r="O32" s="56" t="str">
        <f ca="1">IFERROR(OFFSET(INDIRECT($H$3 &amp; "!A71"), 1, 0), "")</f>
        <v>리플</v>
      </c>
      <c r="P32" s="39">
        <f t="shared" ca="1" si="11"/>
        <v>921</v>
      </c>
      <c r="Q32" s="77">
        <f t="shared" ca="1" si="12"/>
        <v>-1.07411386E-2</v>
      </c>
      <c r="R32" s="86">
        <f t="shared" ref="R32:R50" ca="1" si="15">_xlfn.IFNA(VLOOKUP(O32, $B$2:$E$200, 4, FALSE), "")</f>
        <v>92853974.205019817</v>
      </c>
    </row>
    <row r="33" spans="1:18">
      <c r="A33" s="40" t="s">
        <v>212</v>
      </c>
      <c r="B33" s="11" t="s">
        <v>213</v>
      </c>
      <c r="C33" s="95">
        <v>279</v>
      </c>
      <c r="D33" s="92">
        <v>-7.1174376999999997E-3</v>
      </c>
      <c r="E33" s="93">
        <v>3239654.1353928498</v>
      </c>
      <c r="F33" s="35"/>
      <c r="G33" s="56" t="str">
        <f ca="1">IFERROR(OFFSET(INDIRECT($H$3 &amp; "!A98"), 2, 0), "")</f>
        <v>리플</v>
      </c>
      <c r="H33" s="39">
        <f t="shared" ca="1" si="7"/>
        <v>921</v>
      </c>
      <c r="I33" s="77">
        <f t="shared" ca="1" si="8"/>
        <v>-1.07411386E-2</v>
      </c>
      <c r="J33" s="86">
        <f t="shared" ca="1" si="13"/>
        <v>92853974.205019817</v>
      </c>
      <c r="K33" s="56" t="str">
        <f ca="1">IFERROR(OFFSET(INDIRECT($H$3 &amp; "!A44"), 2, 0), "")</f>
        <v>트론</v>
      </c>
      <c r="L33" s="39">
        <f t="shared" ca="1" si="9"/>
        <v>74.7</v>
      </c>
      <c r="M33" s="77">
        <f t="shared" ca="1" si="10"/>
        <v>2.6845637999999999E-3</v>
      </c>
      <c r="N33" s="86">
        <f t="shared" ca="1" si="14"/>
        <v>50283057.962235928</v>
      </c>
      <c r="O33" s="56" t="str">
        <f ca="1">IFERROR(OFFSET(INDIRECT($H$3 &amp; "!A71"), 2, 0), "")</f>
        <v>아이오타</v>
      </c>
      <c r="P33" s="39">
        <f t="shared" ca="1" si="11"/>
        <v>905</v>
      </c>
      <c r="Q33" s="77">
        <f t="shared" ca="1" si="12"/>
        <v>-2.2050717000000001E-3</v>
      </c>
      <c r="R33" s="86">
        <f t="shared" ca="1" si="15"/>
        <v>1287980.5929801001</v>
      </c>
    </row>
    <row r="34" spans="1:18">
      <c r="A34" s="40" t="s">
        <v>194</v>
      </c>
      <c r="B34" s="11" t="s">
        <v>195</v>
      </c>
      <c r="C34" s="95">
        <v>123</v>
      </c>
      <c r="D34" s="92">
        <v>-8.0645161000000003E-3</v>
      </c>
      <c r="E34" s="93">
        <v>4494429.9994486598</v>
      </c>
      <c r="F34" s="35"/>
      <c r="G34" s="56" t="str">
        <f ca="1">IFERROR(OFFSET(INDIRECT($H$3 &amp; "!A98"), 3, 0), "")</f>
        <v>스톰엑스</v>
      </c>
      <c r="H34" s="39">
        <f t="shared" ca="1" si="7"/>
        <v>17.3</v>
      </c>
      <c r="I34" s="77">
        <f t="shared" ca="1" si="8"/>
        <v>-1.7045454500000001E-2</v>
      </c>
      <c r="J34" s="86">
        <f t="shared" ca="1" si="13"/>
        <v>193233792.14779925</v>
      </c>
      <c r="K34" s="56" t="str">
        <f ca="1">IFERROR(OFFSET(INDIRECT($H$3 &amp; "!A44"), 3, 0), "")</f>
        <v>아하토큰</v>
      </c>
      <c r="L34" s="39">
        <f t="shared" ca="1" si="9"/>
        <v>11.3</v>
      </c>
      <c r="M34" s="77">
        <f t="shared" ca="1" si="10"/>
        <v>-2.5862069000000001E-2</v>
      </c>
      <c r="N34" s="86">
        <f t="shared" ca="1" si="14"/>
        <v>130100875.83141309</v>
      </c>
      <c r="O34" s="56" t="str">
        <f ca="1">IFERROR(OFFSET(INDIRECT($H$3 &amp; "!A71"), 3, 0), "")</f>
        <v>모스코인</v>
      </c>
      <c r="P34" s="39">
        <f t="shared" ca="1" si="11"/>
        <v>198</v>
      </c>
      <c r="Q34" s="77">
        <f t="shared" ca="1" si="12"/>
        <v>-1.9801980199999999E-2</v>
      </c>
      <c r="R34" s="86">
        <f t="shared" ca="1" si="15"/>
        <v>7627559.1156294299</v>
      </c>
    </row>
    <row r="35" spans="1:18">
      <c r="A35" s="40" t="s">
        <v>110</v>
      </c>
      <c r="B35" s="11" t="s">
        <v>111</v>
      </c>
      <c r="C35" s="95">
        <v>3685</v>
      </c>
      <c r="D35" s="92">
        <v>-8.0753700999999997E-3</v>
      </c>
      <c r="E35" s="93">
        <v>9578321.9321507402</v>
      </c>
      <c r="F35" s="35"/>
      <c r="G35" s="58" t="str">
        <f ca="1">IFERROR(OFFSET(INDIRECT($H$3 &amp; "!A98"), 4, 0), "")</f>
        <v>트론</v>
      </c>
      <c r="H35" s="44">
        <f t="shared" ca="1" si="7"/>
        <v>74.7</v>
      </c>
      <c r="I35" s="78">
        <f t="shared" ca="1" si="8"/>
        <v>2.6845637999999999E-3</v>
      </c>
      <c r="J35" s="90">
        <f t="shared" ca="1" si="13"/>
        <v>50283057.962235928</v>
      </c>
      <c r="K35" s="58" t="str">
        <f ca="1">IFERROR(OFFSET(INDIRECT($H$3 &amp; "!A44"), 4, 0), "")</f>
        <v>앵커</v>
      </c>
      <c r="L35" s="44">
        <f t="shared" ca="1" si="9"/>
        <v>87.1</v>
      </c>
      <c r="M35" s="78">
        <f t="shared" ca="1" si="10"/>
        <v>6.3492063500000001E-2</v>
      </c>
      <c r="N35" s="90">
        <f t="shared" ca="1" si="14"/>
        <v>490079445.64157683</v>
      </c>
      <c r="O35" s="58" t="str">
        <f ca="1">IFERROR(OFFSET(INDIRECT($H$3 &amp; "!A71"), 4, 0), "")</f>
        <v>에스티피</v>
      </c>
      <c r="P35" s="44">
        <f t="shared" ca="1" si="11"/>
        <v>110</v>
      </c>
      <c r="Q35" s="78">
        <f t="shared" ca="1" si="12"/>
        <v>-9.0090090000000001E-3</v>
      </c>
      <c r="R35" s="90">
        <f t="shared" ca="1" si="15"/>
        <v>25056286.496166412</v>
      </c>
    </row>
    <row r="36" spans="1:18">
      <c r="A36" s="40" t="s">
        <v>127</v>
      </c>
      <c r="B36" s="11" t="s">
        <v>128</v>
      </c>
      <c r="C36" s="95">
        <v>48.7</v>
      </c>
      <c r="D36" s="92">
        <v>-8.1466395000000004E-3</v>
      </c>
      <c r="E36" s="93">
        <v>39214205.700187609</v>
      </c>
      <c r="F36" s="35"/>
      <c r="G36" s="56" t="str">
        <f ca="1">IFERROR(OFFSET(INDIRECT($H$3 &amp; "!A98"), 5, 0), "")</f>
        <v>플로우</v>
      </c>
      <c r="H36" s="39">
        <f t="shared" ca="1" si="7"/>
        <v>7125</v>
      </c>
      <c r="I36" s="77">
        <f t="shared" ca="1" si="8"/>
        <v>-6.9686410999999998E-3</v>
      </c>
      <c r="J36" s="99">
        <f t="shared" ca="1" si="13"/>
        <v>1720484.2963711801</v>
      </c>
      <c r="K36" s="56" t="str">
        <f ca="1">IFERROR(OFFSET(INDIRECT($H$3 &amp; "!A44"), 5, 0), "")</f>
        <v>질리카</v>
      </c>
      <c r="L36" s="39">
        <f t="shared" ca="1" si="9"/>
        <v>48.7</v>
      </c>
      <c r="M36" s="77">
        <f t="shared" ca="1" si="10"/>
        <v>-8.1466395000000004E-3</v>
      </c>
      <c r="N36" s="99">
        <f t="shared" ca="1" si="14"/>
        <v>39214205.700187609</v>
      </c>
      <c r="O36" s="56" t="str">
        <f ca="1">IFERROR(OFFSET(INDIRECT($H$3 &amp; "!A71"), 5, 0), "")</f>
        <v>밀크</v>
      </c>
      <c r="P36" s="39">
        <f t="shared" ca="1" si="11"/>
        <v>976</v>
      </c>
      <c r="Q36" s="77">
        <f t="shared" ca="1" si="12"/>
        <v>-1.6129032299999999E-2</v>
      </c>
      <c r="R36" s="99">
        <f t="shared" ca="1" si="15"/>
        <v>927546.84306012001</v>
      </c>
    </row>
    <row r="37" spans="1:18">
      <c r="A37" s="40" t="s">
        <v>55</v>
      </c>
      <c r="B37" s="11" t="s">
        <v>56</v>
      </c>
      <c r="C37" s="95">
        <v>120</v>
      </c>
      <c r="D37" s="92">
        <v>-8.2644628000000005E-3</v>
      </c>
      <c r="E37" s="93">
        <v>3253314.8251225902</v>
      </c>
      <c r="F37" s="35"/>
      <c r="G37" s="56" t="str">
        <f ca="1">IFERROR(OFFSET(INDIRECT($H$3 &amp; "!A98"), 6, 0), "")</f>
        <v>아이오타</v>
      </c>
      <c r="H37" s="39">
        <f t="shared" ca="1" si="7"/>
        <v>905</v>
      </c>
      <c r="I37" s="77">
        <f t="shared" ca="1" si="8"/>
        <v>-2.2050717000000001E-3</v>
      </c>
      <c r="J37" s="86">
        <f t="shared" ca="1" si="13"/>
        <v>1287980.5929801001</v>
      </c>
      <c r="K37" s="56" t="str">
        <f ca="1">IFERROR(OFFSET(INDIRECT($H$3 &amp; "!A44"), 6, 0), "")</f>
        <v>메타디움</v>
      </c>
      <c r="L37" s="39">
        <f t="shared" ca="1" si="9"/>
        <v>88.1</v>
      </c>
      <c r="M37" s="77">
        <f t="shared" ca="1" si="10"/>
        <v>-1.1223344600000001E-2</v>
      </c>
      <c r="N37" s="86">
        <f t="shared" ca="1" si="14"/>
        <v>29314664.853109632</v>
      </c>
      <c r="O37" s="56" t="str">
        <f ca="1">IFERROR(OFFSET(INDIRECT($H$3 &amp; "!A71"), 6, 0), "")</f>
        <v>아이콘</v>
      </c>
      <c r="P37" s="39">
        <f t="shared" ca="1" si="11"/>
        <v>781</v>
      </c>
      <c r="Q37" s="77">
        <f t="shared" ca="1" si="12"/>
        <v>-1.2642225E-2</v>
      </c>
      <c r="R37" s="86">
        <f t="shared" ca="1" si="15"/>
        <v>1176199.35998362</v>
      </c>
    </row>
    <row r="38" spans="1:18">
      <c r="A38" s="40" t="s">
        <v>196</v>
      </c>
      <c r="B38" s="11" t="s">
        <v>197</v>
      </c>
      <c r="C38" s="95">
        <v>46.9</v>
      </c>
      <c r="D38" s="92">
        <v>-8.4566595999999994E-3</v>
      </c>
      <c r="E38" s="93">
        <v>18380328.330207489</v>
      </c>
      <c r="F38" s="35"/>
      <c r="G38" s="56" t="str">
        <f ca="1">IFERROR(OFFSET(INDIRECT($H$3 &amp; "!A98"), 7, 0), "")</f>
        <v>아하토큰</v>
      </c>
      <c r="H38" s="39">
        <f t="shared" ca="1" si="7"/>
        <v>11.3</v>
      </c>
      <c r="I38" s="77">
        <f t="shared" ca="1" si="8"/>
        <v>-2.5862069000000001E-2</v>
      </c>
      <c r="J38" s="86">
        <f t="shared" ca="1" si="13"/>
        <v>130100875.83141309</v>
      </c>
      <c r="K38" s="56" t="str">
        <f ca="1">IFERROR(OFFSET(INDIRECT($H$3 &amp; "!A44"), 7, 0), "")</f>
        <v>비체인</v>
      </c>
      <c r="L38" s="39">
        <f t="shared" ca="1" si="9"/>
        <v>62</v>
      </c>
      <c r="M38" s="77">
        <f t="shared" ca="1" si="10"/>
        <v>-1.6103059999999999E-3</v>
      </c>
      <c r="N38" s="86">
        <f t="shared" ca="1" si="14"/>
        <v>44620048.478771299</v>
      </c>
      <c r="O38" s="56" t="str">
        <f ca="1">IFERROR(OFFSET(INDIRECT($H$3 &amp; "!A71"), 7, 0), "")</f>
        <v>휴먼스케이프</v>
      </c>
      <c r="P38" s="39">
        <f t="shared" ca="1" si="11"/>
        <v>279</v>
      </c>
      <c r="Q38" s="77">
        <f t="shared" ca="1" si="12"/>
        <v>-7.1174376999999997E-3</v>
      </c>
      <c r="R38" s="86">
        <f t="shared" ca="1" si="15"/>
        <v>3239654.1353928498</v>
      </c>
    </row>
    <row r="39" spans="1:18">
      <c r="A39" s="40" t="s">
        <v>198</v>
      </c>
      <c r="B39" s="11" t="s">
        <v>199</v>
      </c>
      <c r="C39" s="95">
        <v>11.1</v>
      </c>
      <c r="D39" s="92">
        <v>-8.9285713999999999E-3</v>
      </c>
      <c r="E39" s="93">
        <v>32042633.183644772</v>
      </c>
      <c r="F39" s="35"/>
      <c r="G39" s="56" t="str">
        <f ca="1">IFERROR(OFFSET(INDIRECT($H$3 &amp; "!A98"), 8, 0), "")</f>
        <v>폴카닷</v>
      </c>
      <c r="H39" s="39">
        <f t="shared" ca="1" si="7"/>
        <v>21040</v>
      </c>
      <c r="I39" s="77">
        <f t="shared" ca="1" si="8"/>
        <v>-1.49812734E-2</v>
      </c>
      <c r="J39" s="86">
        <f t="shared" ca="1" si="13"/>
        <v>127100.14584061</v>
      </c>
      <c r="K39" s="56" t="str">
        <f ca="1">IFERROR(OFFSET(INDIRECT($H$3 &amp; "!A44"), 8, 0), "")</f>
        <v>이캐시</v>
      </c>
      <c r="L39" s="39">
        <f t="shared" ca="1" si="9"/>
        <v>8.7999999999999995E-2</v>
      </c>
      <c r="M39" s="77">
        <f t="shared" ca="1" si="10"/>
        <v>-2.2222222199999999E-2</v>
      </c>
      <c r="N39" s="86">
        <f t="shared" ca="1" si="14"/>
        <v>20195717130.567978</v>
      </c>
      <c r="O39" s="56" t="str">
        <f ca="1">IFERROR(OFFSET(INDIRECT($H$3 &amp; "!A71"), 8, 0), "")</f>
        <v>왁스</v>
      </c>
      <c r="P39" s="39">
        <f t="shared" ca="1" si="11"/>
        <v>354</v>
      </c>
      <c r="Q39" s="77">
        <f t="shared" ca="1" si="12"/>
        <v>-2.4793388400000001E-2</v>
      </c>
      <c r="R39" s="86">
        <f t="shared" ca="1" si="15"/>
        <v>4947919.8220845498</v>
      </c>
    </row>
    <row r="40" spans="1:18" ht="17.25" thickBot="1">
      <c r="A40" s="40" t="s">
        <v>234</v>
      </c>
      <c r="B40" s="11" t="s">
        <v>235</v>
      </c>
      <c r="C40" s="95">
        <v>110</v>
      </c>
      <c r="D40" s="92">
        <v>-9.0090090000000001E-3</v>
      </c>
      <c r="E40" s="93">
        <v>25056286.496166412</v>
      </c>
      <c r="F40" s="35"/>
      <c r="G40" s="57" t="str">
        <f ca="1">IFERROR(OFFSET(INDIRECT($H$3 &amp; "!A98"), 9, 0), "")</f>
        <v>엑시인피니티</v>
      </c>
      <c r="H40" s="37">
        <f t="shared" ca="1" si="7"/>
        <v>63110</v>
      </c>
      <c r="I40" s="79">
        <f t="shared" ca="1" si="8"/>
        <v>-1.4214308E-2</v>
      </c>
      <c r="J40" s="87">
        <f t="shared" ca="1" si="13"/>
        <v>197697.94091092999</v>
      </c>
      <c r="K40" s="57" t="str">
        <f ca="1">IFERROR(OFFSET(INDIRECT($H$3 &amp; "!A44"), 9, 0), "")</f>
        <v>무비블록</v>
      </c>
      <c r="L40" s="37">
        <f t="shared" ca="1" si="9"/>
        <v>7.47</v>
      </c>
      <c r="M40" s="79">
        <f t="shared" ca="1" si="10"/>
        <v>2.1887824899999998E-2</v>
      </c>
      <c r="N40" s="87">
        <f t="shared" ca="1" si="14"/>
        <v>2577874051.3292875</v>
      </c>
      <c r="O40" s="57" t="str">
        <f ca="1">IFERROR(OFFSET(INDIRECT($H$3 &amp; "!A71"), 9, 0), "")</f>
        <v>크로노스</v>
      </c>
      <c r="P40" s="37">
        <f t="shared" ca="1" si="11"/>
        <v>504</v>
      </c>
      <c r="Q40" s="79">
        <f t="shared" ca="1" si="12"/>
        <v>-1.9801979999999999E-3</v>
      </c>
      <c r="R40" s="87">
        <f t="shared" ca="1" si="15"/>
        <v>673958.87632405001</v>
      </c>
    </row>
    <row r="41" spans="1:18">
      <c r="A41" s="40" t="s">
        <v>106</v>
      </c>
      <c r="B41" s="11" t="s">
        <v>107</v>
      </c>
      <c r="C41" s="95">
        <v>110</v>
      </c>
      <c r="D41" s="92">
        <v>-9.0090090000000001E-3</v>
      </c>
      <c r="E41" s="93">
        <v>8322176.4685224704</v>
      </c>
      <c r="F41" s="35"/>
      <c r="G41" s="59" t="str">
        <f ca="1">IFERROR(OFFSET(INDIRECT($H$3 &amp; "!A98"), 10, 0), "")</f>
        <v>앵커</v>
      </c>
      <c r="H41" s="38">
        <f t="shared" ca="1" si="7"/>
        <v>87.1</v>
      </c>
      <c r="I41" s="76">
        <f t="shared" ca="1" si="8"/>
        <v>6.3492063500000001E-2</v>
      </c>
      <c r="J41" s="85">
        <f t="shared" ca="1" si="13"/>
        <v>490079445.64157683</v>
      </c>
      <c r="K41" s="55" t="str">
        <f ca="1">IFERROR(OFFSET(INDIRECT($H$3 &amp; "!A44"), 10, 0), "")</f>
        <v>메인프레임</v>
      </c>
      <c r="L41" s="38">
        <f t="shared" ca="1" si="9"/>
        <v>7.62</v>
      </c>
      <c r="M41" s="76">
        <f t="shared" ca="1" si="10"/>
        <v>-5.2219320999999999E-3</v>
      </c>
      <c r="N41" s="85">
        <f t="shared" ca="1" si="14"/>
        <v>492874066.79517651</v>
      </c>
      <c r="O41" s="55" t="str">
        <f ca="1">IFERROR(OFFSET(INDIRECT($H$3 &amp; "!A71"), 10, 0), "")</f>
        <v>베이직어텐션토큰</v>
      </c>
      <c r="P41" s="38">
        <f t="shared" ca="1" si="11"/>
        <v>822</v>
      </c>
      <c r="Q41" s="76">
        <f t="shared" ca="1" si="12"/>
        <v>-1.32052821E-2</v>
      </c>
      <c r="R41" s="85">
        <f t="shared" ca="1" si="15"/>
        <v>1214876.0722985701</v>
      </c>
    </row>
    <row r="42" spans="1:18">
      <c r="A42" s="40" t="s">
        <v>80</v>
      </c>
      <c r="B42" s="11" t="s">
        <v>81</v>
      </c>
      <c r="C42" s="95">
        <v>1080</v>
      </c>
      <c r="D42" s="92">
        <v>-9.1743119000000008E-3</v>
      </c>
      <c r="E42" s="93">
        <v>2511142.6821911298</v>
      </c>
      <c r="F42" s="35"/>
      <c r="G42" s="56" t="str">
        <f ca="1">IFERROR(OFFSET(INDIRECT($H$3 &amp; "!A98"), 11, 0), "")</f>
        <v>엔진코인</v>
      </c>
      <c r="H42" s="39">
        <f t="shared" ca="1" si="7"/>
        <v>1770</v>
      </c>
      <c r="I42" s="77">
        <f t="shared" ca="1" si="8"/>
        <v>1.14285714E-2</v>
      </c>
      <c r="J42" s="86">
        <f t="shared" ca="1" si="13"/>
        <v>5510229.4761804398</v>
      </c>
      <c r="K42" s="56" t="str">
        <f ca="1">IFERROR(OFFSET(INDIRECT($H$3 &amp; "!A44"), 11, 0), "")</f>
        <v>저스트</v>
      </c>
      <c r="L42" s="39">
        <f t="shared" ca="1" si="9"/>
        <v>57.8</v>
      </c>
      <c r="M42" s="77">
        <f t="shared" ca="1" si="10"/>
        <v>-1.3651877099999999E-2</v>
      </c>
      <c r="N42" s="86">
        <f t="shared" ca="1" si="14"/>
        <v>17718001.71018013</v>
      </c>
      <c r="O42" s="56" t="str">
        <f ca="1">IFERROR(OFFSET(INDIRECT($H$3 &amp; "!A71"), 11, 0), "")</f>
        <v>펀디엑스</v>
      </c>
      <c r="P42" s="39">
        <f t="shared" ca="1" si="11"/>
        <v>906</v>
      </c>
      <c r="Q42" s="77">
        <f t="shared" ca="1" si="12"/>
        <v>-2.0540540499999999E-2</v>
      </c>
      <c r="R42" s="86">
        <f t="shared" ca="1" si="15"/>
        <v>11023632.32473602</v>
      </c>
    </row>
    <row r="43" spans="1:18">
      <c r="A43" s="40" t="s">
        <v>121</v>
      </c>
      <c r="B43" s="11" t="s">
        <v>122</v>
      </c>
      <c r="C43" s="95">
        <v>128100</v>
      </c>
      <c r="D43" s="92">
        <v>-9.2807424999999995E-3</v>
      </c>
      <c r="E43" s="93">
        <v>8360.4586843199995</v>
      </c>
      <c r="F43" s="35"/>
      <c r="G43" s="56" t="str">
        <f ca="1">IFERROR(OFFSET(INDIRECT($H$3 &amp; "!A98"), 12, 0), "")</f>
        <v>위믹스</v>
      </c>
      <c r="H43" s="39">
        <f t="shared" ca="1" si="7"/>
        <v>6085</v>
      </c>
      <c r="I43" s="77">
        <f t="shared" ca="1" si="8"/>
        <v>8.223684E-4</v>
      </c>
      <c r="J43" s="86">
        <f t="shared" ca="1" si="13"/>
        <v>581018.72027500998</v>
      </c>
      <c r="K43" s="56" t="str">
        <f ca="1">IFERROR(OFFSET(INDIRECT($H$3 &amp; "!A44"), 12, 0), "")</f>
        <v>에브리피디아</v>
      </c>
      <c r="L43" s="39">
        <f t="shared" ca="1" si="9"/>
        <v>10.4</v>
      </c>
      <c r="M43" s="77">
        <f t="shared" ca="1" si="10"/>
        <v>-9.5238094999999991E-3</v>
      </c>
      <c r="N43" s="86">
        <f t="shared" ca="1" si="14"/>
        <v>27053248.901163209</v>
      </c>
      <c r="O43" s="56" t="str">
        <f ca="1">IFERROR(OFFSET(INDIRECT($H$3 &amp; "!A71"), 12, 0), "")</f>
        <v>누사이퍼</v>
      </c>
      <c r="P43" s="39">
        <f t="shared" ca="1" si="11"/>
        <v>622</v>
      </c>
      <c r="Q43" s="77">
        <f t="shared" ca="1" si="12"/>
        <v>-2.66040689E-2</v>
      </c>
      <c r="R43" s="86">
        <f t="shared" ca="1" si="15"/>
        <v>20717225.870016001</v>
      </c>
    </row>
    <row r="44" spans="1:18">
      <c r="A44" s="40" t="s">
        <v>175</v>
      </c>
      <c r="B44" s="11" t="s">
        <v>176</v>
      </c>
      <c r="C44" s="95">
        <v>7445</v>
      </c>
      <c r="D44" s="92">
        <v>-9.3147039000000004E-3</v>
      </c>
      <c r="E44" s="93">
        <v>170371.73624403001</v>
      </c>
      <c r="F44" s="35"/>
      <c r="G44" s="56" t="str">
        <f ca="1">IFERROR(OFFSET(INDIRECT($H$3 &amp; "!A98"), 13, 0), "")</f>
        <v>라이트코인</v>
      </c>
      <c r="H44" s="39">
        <f t="shared" ca="1" si="7"/>
        <v>128100</v>
      </c>
      <c r="I44" s="77">
        <f t="shared" ca="1" si="8"/>
        <v>-9.2807424999999995E-3</v>
      </c>
      <c r="J44" s="86">
        <f t="shared" ca="1" si="13"/>
        <v>8360.4586843199995</v>
      </c>
      <c r="K44" s="56" t="str">
        <f ca="1">IFERROR(OFFSET(INDIRECT($H$3 &amp; "!A44"), 13, 0), "")</f>
        <v>캐리프로토콜</v>
      </c>
      <c r="L44" s="39">
        <f t="shared" ca="1" si="9"/>
        <v>8.3800000000000008</v>
      </c>
      <c r="M44" s="77">
        <f t="shared" ca="1" si="10"/>
        <v>-5.9311981E-3</v>
      </c>
      <c r="N44" s="86">
        <f t="shared" ca="1" si="14"/>
        <v>375325963.01437742</v>
      </c>
      <c r="O44" s="56" t="str">
        <f ca="1">IFERROR(OFFSET(INDIRECT($H$3 &amp; "!A71"), 13, 0), "")</f>
        <v>스텔라루멘</v>
      </c>
      <c r="P44" s="39">
        <f t="shared" ca="1" si="11"/>
        <v>219</v>
      </c>
      <c r="Q44" s="77">
        <f t="shared" ca="1" si="12"/>
        <v>-1.79372197E-2</v>
      </c>
      <c r="R44" s="86">
        <f t="shared" ca="1" si="15"/>
        <v>12398297.087818479</v>
      </c>
    </row>
    <row r="45" spans="1:18">
      <c r="A45" s="40" t="s">
        <v>330</v>
      </c>
      <c r="B45" s="11" t="s">
        <v>331</v>
      </c>
      <c r="C45" s="95">
        <v>947</v>
      </c>
      <c r="D45" s="92">
        <v>-9.4142258999999999E-3</v>
      </c>
      <c r="E45" s="93">
        <v>3831655.75720408</v>
      </c>
      <c r="F45" s="35"/>
      <c r="G45" s="58" t="str">
        <f ca="1">IFERROR(OFFSET(INDIRECT($H$3 &amp; "!A98"), 14, 0), "")</f>
        <v>질리카</v>
      </c>
      <c r="H45" s="44">
        <f t="shared" ca="1" si="7"/>
        <v>48.7</v>
      </c>
      <c r="I45" s="78">
        <f t="shared" ca="1" si="8"/>
        <v>-8.1466395000000004E-3</v>
      </c>
      <c r="J45" s="90">
        <f t="shared" ca="1" si="13"/>
        <v>39214205.700187609</v>
      </c>
      <c r="K45" s="58" t="str">
        <f ca="1">IFERROR(OFFSET(INDIRECT($H$3 &amp; "!A44"), 14, 0), "")</f>
        <v>시아코인</v>
      </c>
      <c r="L45" s="44">
        <f t="shared" ca="1" si="9"/>
        <v>10.8</v>
      </c>
      <c r="M45" s="78">
        <f t="shared" ca="1" si="10"/>
        <v>9.3457943999999994E-3</v>
      </c>
      <c r="N45" s="90">
        <f t="shared" ca="1" si="14"/>
        <v>137077473.98647463</v>
      </c>
      <c r="O45" s="58" t="str">
        <f ca="1">IFERROR(OFFSET(INDIRECT($H$3 &amp; "!A71"), 14, 0), "")</f>
        <v>넴</v>
      </c>
      <c r="P45" s="44">
        <f t="shared" ca="1" si="11"/>
        <v>120</v>
      </c>
      <c r="Q45" s="78">
        <f t="shared" ca="1" si="12"/>
        <v>-8.2644628000000005E-3</v>
      </c>
      <c r="R45" s="90">
        <f t="shared" ca="1" si="15"/>
        <v>3253314.8251225902</v>
      </c>
    </row>
    <row r="46" spans="1:18">
      <c r="A46" s="40" t="s">
        <v>125</v>
      </c>
      <c r="B46" s="11" t="s">
        <v>126</v>
      </c>
      <c r="C46" s="95">
        <v>83.7</v>
      </c>
      <c r="D46" s="92">
        <v>-9.4674556000000007E-3</v>
      </c>
      <c r="E46" s="93">
        <v>14617442.288682999</v>
      </c>
      <c r="F46" s="35"/>
      <c r="G46" s="56" t="str">
        <f ca="1">IFERROR(OFFSET(INDIRECT($H$3 &amp; "!A98"), 15, 0), "")</f>
        <v>모스코인</v>
      </c>
      <c r="H46" s="39">
        <f t="shared" ca="1" si="7"/>
        <v>198</v>
      </c>
      <c r="I46" s="77">
        <f t="shared" ca="1" si="8"/>
        <v>-1.9801980199999999E-2</v>
      </c>
      <c r="J46" s="99">
        <f t="shared" ca="1" si="13"/>
        <v>7627559.1156294299</v>
      </c>
      <c r="K46" s="56" t="str">
        <f ca="1">IFERROR(OFFSET(INDIRECT($H$3 &amp; "!A44"), 15, 0), "")</f>
        <v>아이오에스티</v>
      </c>
      <c r="L46" s="39">
        <f t="shared" ca="1" si="9"/>
        <v>28.5</v>
      </c>
      <c r="M46" s="77">
        <f t="shared" ca="1" si="10"/>
        <v>-1.04166667E-2</v>
      </c>
      <c r="N46" s="99">
        <f t="shared" ca="1" si="14"/>
        <v>24006582.22282064</v>
      </c>
      <c r="O46" s="56" t="str">
        <f ca="1">IFERROR(OFFSET(INDIRECT($H$3 &amp; "!A71"), 15, 0), "")</f>
        <v>그로스톨코인</v>
      </c>
      <c r="P46" s="39">
        <f t="shared" ca="1" si="11"/>
        <v>709</v>
      </c>
      <c r="Q46" s="77">
        <f t="shared" ca="1" si="12"/>
        <v>-2.74348422E-2</v>
      </c>
      <c r="R46" s="99">
        <f t="shared" ca="1" si="15"/>
        <v>2510123.6987132598</v>
      </c>
    </row>
    <row r="47" spans="1:18">
      <c r="A47" s="40" t="s">
        <v>173</v>
      </c>
      <c r="B47" s="11" t="s">
        <v>174</v>
      </c>
      <c r="C47" s="95">
        <v>10.4</v>
      </c>
      <c r="D47" s="92">
        <v>-9.5238094999999991E-3</v>
      </c>
      <c r="E47" s="93">
        <v>27053248.901163209</v>
      </c>
      <c r="F47" s="35"/>
      <c r="G47" s="56" t="str">
        <f ca="1">IFERROR(OFFSET(INDIRECT($H$3 &amp; "!A98"), 16, 0), "")</f>
        <v>플레이댑</v>
      </c>
      <c r="H47" s="39">
        <f t="shared" ca="1" si="7"/>
        <v>1025</v>
      </c>
      <c r="I47" s="77">
        <f t="shared" ca="1" si="8"/>
        <v>-1.44230769E-2</v>
      </c>
      <c r="J47" s="86">
        <f t="shared" ca="1" si="13"/>
        <v>3062525.77579174</v>
      </c>
      <c r="K47" s="56" t="str">
        <f ca="1">IFERROR(OFFSET(INDIRECT($H$3 &amp; "!A44"), 16, 0), "")</f>
        <v>오브스</v>
      </c>
      <c r="L47" s="39">
        <f t="shared" ca="1" si="9"/>
        <v>83.7</v>
      </c>
      <c r="M47" s="77">
        <f t="shared" ca="1" si="10"/>
        <v>-9.4674556000000007E-3</v>
      </c>
      <c r="N47" s="86">
        <f t="shared" ca="1" si="14"/>
        <v>14617442.288682999</v>
      </c>
      <c r="O47" s="56" t="str">
        <f ca="1">IFERROR(OFFSET(INDIRECT($H$3 &amp; "!A71"), 16, 0), "")</f>
        <v>도지코인</v>
      </c>
      <c r="P47" s="39">
        <f t="shared" ca="1" si="11"/>
        <v>153</v>
      </c>
      <c r="Q47" s="77">
        <f t="shared" ca="1" si="12"/>
        <v>-1.2903225799999999E-2</v>
      </c>
      <c r="R47" s="86">
        <f t="shared" ca="1" si="15"/>
        <v>42574045.570073612</v>
      </c>
    </row>
    <row r="48" spans="1:18">
      <c r="A48" s="40" t="s">
        <v>102</v>
      </c>
      <c r="B48" s="11" t="s">
        <v>103</v>
      </c>
      <c r="C48" s="95">
        <v>614</v>
      </c>
      <c r="D48" s="92">
        <v>-9.6774193999999997E-3</v>
      </c>
      <c r="E48" s="93">
        <v>976253.57992809999</v>
      </c>
      <c r="F48" s="35"/>
      <c r="G48" s="56" t="str">
        <f ca="1">IFERROR(OFFSET(INDIRECT($H$3 &amp; "!A98"), 17, 0), "")</f>
        <v>에스티피</v>
      </c>
      <c r="H48" s="39">
        <f t="shared" ca="1" si="7"/>
        <v>110</v>
      </c>
      <c r="I48" s="77">
        <f t="shared" ca="1" si="8"/>
        <v>-9.0090090000000001E-3</v>
      </c>
      <c r="J48" s="86">
        <f t="shared" ca="1" si="13"/>
        <v>25056286.496166412</v>
      </c>
      <c r="K48" s="56" t="str">
        <f ca="1">IFERROR(OFFSET(INDIRECT($H$3 &amp; "!A44"), 17, 0), "")</f>
        <v>쿼크체인</v>
      </c>
      <c r="L48" s="39">
        <f t="shared" ca="1" si="9"/>
        <v>19</v>
      </c>
      <c r="M48" s="77">
        <f t="shared" ca="1" si="10"/>
        <v>-1.5544041499999999E-2</v>
      </c>
      <c r="N48" s="86">
        <f t="shared" ca="1" si="14"/>
        <v>31321702.121456169</v>
      </c>
      <c r="O48" s="56" t="str">
        <f ca="1">IFERROR(OFFSET(INDIRECT($H$3 &amp; "!A71"), 17, 0), "")</f>
        <v>쎄타퓨엘</v>
      </c>
      <c r="P48" s="39">
        <f t="shared" ca="1" si="11"/>
        <v>193</v>
      </c>
      <c r="Q48" s="77">
        <f t="shared" ca="1" si="12"/>
        <v>-1.0256410299999999E-2</v>
      </c>
      <c r="R48" s="86">
        <f t="shared" ca="1" si="15"/>
        <v>6037479.8638685299</v>
      </c>
    </row>
    <row r="49" spans="1:18">
      <c r="A49" s="40" t="s">
        <v>133</v>
      </c>
      <c r="B49" s="11" t="s">
        <v>134</v>
      </c>
      <c r="C49" s="95">
        <v>193</v>
      </c>
      <c r="D49" s="92">
        <v>-1.0256410299999999E-2</v>
      </c>
      <c r="E49" s="93">
        <v>6037479.8638685299</v>
      </c>
      <c r="F49" s="35"/>
      <c r="G49" s="56" t="str">
        <f ca="1">IFERROR(OFFSET(INDIRECT($H$3 &amp; "!A98"), 18, 0), "")</f>
        <v>샌드박스</v>
      </c>
      <c r="H49" s="39">
        <f t="shared" ca="1" si="7"/>
        <v>3685</v>
      </c>
      <c r="I49" s="77">
        <f t="shared" ca="1" si="8"/>
        <v>-8.0753700999999997E-3</v>
      </c>
      <c r="J49" s="86">
        <f t="shared" ca="1" si="13"/>
        <v>9578321.9321507402</v>
      </c>
      <c r="K49" s="56" t="str">
        <f ca="1">IFERROR(OFFSET(INDIRECT($H$3 &amp; "!A44"), 18, 0), "")</f>
        <v>메디블록</v>
      </c>
      <c r="L49" s="39">
        <f t="shared" ca="1" si="9"/>
        <v>46.9</v>
      </c>
      <c r="M49" s="77">
        <f t="shared" ca="1" si="10"/>
        <v>-8.4566595999999994E-3</v>
      </c>
      <c r="N49" s="86">
        <f t="shared" ca="1" si="14"/>
        <v>18380328.330207489</v>
      </c>
      <c r="O49" s="56" t="str">
        <f ca="1">IFERROR(OFFSET(INDIRECT($H$3 &amp; "!A71"), 18, 0), "")</f>
        <v>쓰레스홀드</v>
      </c>
      <c r="P49" s="39">
        <f t="shared" ca="1" si="11"/>
        <v>190</v>
      </c>
      <c r="Q49" s="77">
        <f t="shared" ca="1" si="12"/>
        <v>-2.5641025599999999E-2</v>
      </c>
      <c r="R49" s="86">
        <f t="shared" ca="1" si="15"/>
        <v>46257225.284122407</v>
      </c>
    </row>
    <row r="50" spans="1:18" ht="17.25" thickBot="1">
      <c r="A50" s="40" t="s">
        <v>63</v>
      </c>
      <c r="B50" s="11" t="s">
        <v>64</v>
      </c>
      <c r="C50" s="95">
        <v>28.5</v>
      </c>
      <c r="D50" s="92">
        <v>-1.04166667E-2</v>
      </c>
      <c r="E50" s="93">
        <v>24006582.22282064</v>
      </c>
      <c r="F50" s="35"/>
      <c r="G50" s="57" t="str">
        <f ca="1">IFERROR(OFFSET(INDIRECT($H$3 &amp; "!A98"), 19, 0), "")</f>
        <v>밀크</v>
      </c>
      <c r="H50" s="37">
        <f t="shared" ca="1" si="7"/>
        <v>976</v>
      </c>
      <c r="I50" s="79">
        <f t="shared" ca="1" si="8"/>
        <v>-1.6129032299999999E-2</v>
      </c>
      <c r="J50" s="87">
        <f t="shared" ca="1" si="13"/>
        <v>927546.84306012001</v>
      </c>
      <c r="K50" s="57" t="str">
        <f ca="1">IFERROR(OFFSET(INDIRECT($H$3 &amp; "!A44"), 19, 0), "")</f>
        <v>엠블</v>
      </c>
      <c r="L50" s="37">
        <f t="shared" ca="1" si="9"/>
        <v>10.1</v>
      </c>
      <c r="M50" s="79">
        <f t="shared" ca="1" si="10"/>
        <v>0</v>
      </c>
      <c r="N50" s="87">
        <f t="shared" ca="1" si="14"/>
        <v>38204674.947638959</v>
      </c>
      <c r="O50" s="57" t="str">
        <f ca="1">IFERROR(OFFSET(INDIRECT($H$3 &amp; "!A71"), 19, 0), "")</f>
        <v>헤데라</v>
      </c>
      <c r="P50" s="37">
        <f t="shared" ca="1" si="11"/>
        <v>259</v>
      </c>
      <c r="Q50" s="79">
        <f t="shared" ca="1" si="12"/>
        <v>0</v>
      </c>
      <c r="R50" s="87">
        <f t="shared" ca="1" si="15"/>
        <v>3463915.3443442299</v>
      </c>
    </row>
    <row r="51" spans="1:18">
      <c r="A51" s="40" t="s">
        <v>74</v>
      </c>
      <c r="B51" s="11" t="s">
        <v>75</v>
      </c>
      <c r="C51" s="95">
        <v>17090</v>
      </c>
      <c r="D51" s="92">
        <v>-1.04226983E-2</v>
      </c>
      <c r="E51" s="93">
        <v>81751.604895850003</v>
      </c>
      <c r="F51" s="35"/>
    </row>
    <row r="52" spans="1:18" ht="17.25" thickBot="1">
      <c r="A52" s="40" t="s">
        <v>88</v>
      </c>
      <c r="B52" s="11" t="s">
        <v>89</v>
      </c>
      <c r="C52" s="95">
        <v>921</v>
      </c>
      <c r="D52" s="92">
        <v>-1.07411386E-2</v>
      </c>
      <c r="E52" s="93">
        <v>92853974.205019817</v>
      </c>
      <c r="F52" s="35"/>
    </row>
    <row r="53" spans="1:18" ht="17.25" thickBot="1">
      <c r="A53" s="40" t="s">
        <v>98</v>
      </c>
      <c r="B53" s="11" t="s">
        <v>99</v>
      </c>
      <c r="C53" s="95">
        <v>33940</v>
      </c>
      <c r="D53" s="92">
        <v>-1.10722611E-2</v>
      </c>
      <c r="E53" s="93">
        <v>193074.11168382</v>
      </c>
      <c r="F53" s="35"/>
      <c r="G53" s="170" t="s">
        <v>250</v>
      </c>
      <c r="H53" s="171"/>
      <c r="I53" s="171"/>
      <c r="J53" s="172"/>
      <c r="K53" s="170" t="s">
        <v>253</v>
      </c>
      <c r="L53" s="171"/>
      <c r="M53" s="171"/>
      <c r="N53" s="172"/>
      <c r="O53" s="170" t="s">
        <v>254</v>
      </c>
      <c r="P53" s="171"/>
      <c r="Q53" s="171"/>
      <c r="R53" s="172"/>
    </row>
    <row r="54" spans="1:18" ht="17.25" thickBot="1">
      <c r="A54" s="40" t="s">
        <v>59</v>
      </c>
      <c r="B54" s="11" t="s">
        <v>60</v>
      </c>
      <c r="C54" s="95">
        <v>3120</v>
      </c>
      <c r="D54" s="92">
        <v>-1.10935024E-2</v>
      </c>
      <c r="E54" s="93">
        <v>5320376.8273635302</v>
      </c>
      <c r="F54" s="35"/>
      <c r="G54" s="235" t="s">
        <v>54</v>
      </c>
      <c r="H54" s="247">
        <f ca="1">NOW()</f>
        <v>44626.614851388891</v>
      </c>
      <c r="I54" s="248"/>
      <c r="J54" s="249"/>
      <c r="K54" s="238" t="s">
        <v>54</v>
      </c>
      <c r="L54" s="247">
        <f ca="1">NOW()</f>
        <v>44626.614851388891</v>
      </c>
      <c r="M54" s="248"/>
      <c r="N54" s="249"/>
      <c r="O54" s="238" t="s">
        <v>54</v>
      </c>
      <c r="P54" s="247">
        <f ca="1">NOW()</f>
        <v>44626.614851388891</v>
      </c>
      <c r="Q54" s="248"/>
      <c r="R54" s="249"/>
    </row>
    <row r="55" spans="1:18" ht="17.25" thickBot="1">
      <c r="A55" s="40" t="s">
        <v>167</v>
      </c>
      <c r="B55" s="11" t="s">
        <v>168</v>
      </c>
      <c r="C55" s="95">
        <v>1780</v>
      </c>
      <c r="D55" s="92">
        <v>-1.11111111E-2</v>
      </c>
      <c r="E55" s="93">
        <v>427883.51881128002</v>
      </c>
      <c r="F55" s="35"/>
      <c r="G55" s="232"/>
      <c r="H55" s="36" t="s">
        <v>57</v>
      </c>
      <c r="I55" s="73" t="s">
        <v>58</v>
      </c>
      <c r="J55" s="69" t="s">
        <v>259</v>
      </c>
      <c r="K55" s="232"/>
      <c r="L55" s="36" t="s">
        <v>57</v>
      </c>
      <c r="M55" s="73" t="s">
        <v>58</v>
      </c>
      <c r="N55" s="69" t="s">
        <v>259</v>
      </c>
      <c r="O55" s="232"/>
      <c r="P55" s="36" t="s">
        <v>57</v>
      </c>
      <c r="Q55" s="73" t="s">
        <v>58</v>
      </c>
      <c r="R55" s="69" t="s">
        <v>259</v>
      </c>
    </row>
    <row r="56" spans="1:18">
      <c r="A56" s="40" t="s">
        <v>188</v>
      </c>
      <c r="B56" s="11" t="s">
        <v>189</v>
      </c>
      <c r="C56" s="95">
        <v>88.1</v>
      </c>
      <c r="D56" s="92">
        <v>-1.1223344600000001E-2</v>
      </c>
      <c r="E56" s="93">
        <v>29314664.853109632</v>
      </c>
      <c r="F56" s="35"/>
      <c r="G56" s="55" t="str">
        <f ca="1">IFERROR(OFFSET(INDIRECT($H$3 &amp; "!A179"), 0, 0), "")</f>
        <v>폴리곤</v>
      </c>
      <c r="H56" s="38">
        <f t="shared" ref="H56:H65" ca="1" si="16">_xlfn.IFNA(VLOOKUP(G56, $B$2:$D$200, 2, FALSE), "")</f>
        <v>1850</v>
      </c>
      <c r="I56" s="76">
        <f t="shared" ref="I56:I65" ca="1" si="17">_xlfn.IFNA(VLOOKUP(G56, $B$2:$D$200, 3, FALSE), "")</f>
        <v>-5.3763441000000004E-3</v>
      </c>
      <c r="J56" s="85">
        <f ca="1">_xlfn.IFNA(VLOOKUP(G56, $B$2:$E$200, 4, FALSE), "")</f>
        <v>2179829.91865505</v>
      </c>
      <c r="K56" s="55" t="str">
        <f ca="1">IFERROR(OFFSET(INDIRECT($H$3 &amp; "!A125"), 0, 0), "")</f>
        <v>질리카</v>
      </c>
      <c r="L56" s="38">
        <f t="shared" ref="L56:L75" ca="1" si="18">_xlfn.IFNA(VLOOKUP(K56, $B$2:$D$200, 2, FALSE), "")</f>
        <v>48.7</v>
      </c>
      <c r="M56" s="76">
        <f t="shared" ref="M56:M75" ca="1" si="19">_xlfn.IFNA(VLOOKUP(K56, $B$2:$D$200, 3, FALSE), "")</f>
        <v>-8.1466395000000004E-3</v>
      </c>
      <c r="N56" s="85">
        <f ca="1">_xlfn.IFNA(VLOOKUP(K56, $B$2:$E$200, 4, FALSE), "")</f>
        <v>39214205.700187609</v>
      </c>
      <c r="O56" s="55" t="str">
        <f ca="1">IFERROR(OFFSET(INDIRECT($H$3 &amp; "!A152"), 0, 0), "")</f>
        <v>도지코인</v>
      </c>
      <c r="P56" s="38">
        <f t="shared" ref="P56:P75" ca="1" si="20">_xlfn.IFNA(VLOOKUP(O56, $B$2:$D$200, 2, FALSE), "")</f>
        <v>153</v>
      </c>
      <c r="Q56" s="76">
        <f t="shared" ref="Q56:Q75" ca="1" si="21">_xlfn.IFNA(VLOOKUP(O56, $B$2:$D$200, 3, FALSE), "")</f>
        <v>-1.2903225799999999E-2</v>
      </c>
      <c r="R56" s="85">
        <f ca="1">_xlfn.IFNA(VLOOKUP(O56, $B$2:$E$200, 4, FALSE), "")</f>
        <v>42574045.570073612</v>
      </c>
    </row>
    <row r="57" spans="1:18">
      <c r="A57" s="40" t="s">
        <v>94</v>
      </c>
      <c r="B57" s="11" t="s">
        <v>95</v>
      </c>
      <c r="C57" s="95">
        <v>3835</v>
      </c>
      <c r="D57" s="92">
        <v>-1.15979381E-2</v>
      </c>
      <c r="E57" s="93">
        <v>471747.84963049</v>
      </c>
      <c r="F57" s="35"/>
      <c r="G57" s="56" t="str">
        <f ca="1">IFERROR(OFFSET(INDIRECT($H$3 &amp; "!A179"), 1, 0), "")</f>
        <v>에이브</v>
      </c>
      <c r="H57" s="39">
        <f t="shared" ca="1" si="16"/>
        <v>151100</v>
      </c>
      <c r="I57" s="77">
        <f t="shared" ca="1" si="17"/>
        <v>-1.7555266600000001E-2</v>
      </c>
      <c r="J57" s="86">
        <f t="shared" ref="J57:J75" ca="1" si="22">_xlfn.IFNA(VLOOKUP(G57, $B$2:$E$200, 4, FALSE), "")</f>
        <v>8597.3222406099994</v>
      </c>
      <c r="K57" s="56" t="str">
        <f ca="1">IFERROR(OFFSET(INDIRECT($H$3 &amp; "!A125"), 1, 0), "")</f>
        <v>메타디움</v>
      </c>
      <c r="L57" s="39">
        <f t="shared" ca="1" si="18"/>
        <v>88.1</v>
      </c>
      <c r="M57" s="77">
        <f t="shared" ca="1" si="19"/>
        <v>-1.1223344600000001E-2</v>
      </c>
      <c r="N57" s="86">
        <f t="shared" ref="N57:N75" ca="1" si="23">_xlfn.IFNA(VLOOKUP(K57, $B$2:$E$200, 4, FALSE), "")</f>
        <v>29314664.853109632</v>
      </c>
      <c r="O57" s="56" t="str">
        <f ca="1">IFERROR(OFFSET(INDIRECT($H$3 &amp; "!A152"), 1, 0), "")</f>
        <v>쎄타퓨엘</v>
      </c>
      <c r="P57" s="39">
        <f t="shared" ca="1" si="20"/>
        <v>193</v>
      </c>
      <c r="Q57" s="77">
        <f t="shared" ca="1" si="21"/>
        <v>-1.0256410299999999E-2</v>
      </c>
      <c r="R57" s="86">
        <f t="shared" ref="R57:R75" ca="1" si="24">_xlfn.IFNA(VLOOKUP(O57, $B$2:$E$200, 4, FALSE), "")</f>
        <v>6037479.8638685299</v>
      </c>
    </row>
    <row r="58" spans="1:18">
      <c r="A58" s="40" t="s">
        <v>119</v>
      </c>
      <c r="B58" s="11" t="s">
        <v>120</v>
      </c>
      <c r="C58" s="95">
        <v>328</v>
      </c>
      <c r="D58" s="92">
        <v>-1.20481928E-2</v>
      </c>
      <c r="E58" s="93">
        <v>3185726.4103188799</v>
      </c>
      <c r="F58" s="35"/>
      <c r="G58" s="56" t="str">
        <f ca="1">IFERROR(OFFSET(INDIRECT($H$3 &amp; "!A179"), 2, 0), "")</f>
        <v>니어프로토콜</v>
      </c>
      <c r="H58" s="39">
        <f t="shared" ca="1" si="16"/>
        <v>13070</v>
      </c>
      <c r="I58" s="77">
        <f t="shared" ca="1" si="17"/>
        <v>7.7101002000000002E-3</v>
      </c>
      <c r="J58" s="86">
        <f t="shared" ca="1" si="22"/>
        <v>1798289.85092628</v>
      </c>
      <c r="K58" s="56" t="str">
        <f ca="1">IFERROR(OFFSET(INDIRECT($H$3 &amp; "!A125"), 2, 0), "")</f>
        <v>비체인</v>
      </c>
      <c r="L58" s="39">
        <f t="shared" ca="1" si="18"/>
        <v>62</v>
      </c>
      <c r="M58" s="77">
        <f t="shared" ca="1" si="19"/>
        <v>-1.6103059999999999E-3</v>
      </c>
      <c r="N58" s="86">
        <f t="shared" ca="1" si="23"/>
        <v>44620048.478771299</v>
      </c>
      <c r="O58" s="56" t="str">
        <f ca="1">IFERROR(OFFSET(INDIRECT($H$3 &amp; "!A152"), 2, 0), "")</f>
        <v>쓰레스홀드</v>
      </c>
      <c r="P58" s="39">
        <f t="shared" ca="1" si="20"/>
        <v>190</v>
      </c>
      <c r="Q58" s="77">
        <f t="shared" ca="1" si="21"/>
        <v>-2.5641025599999999E-2</v>
      </c>
      <c r="R58" s="86">
        <f t="shared" ca="1" si="24"/>
        <v>46257225.284122407</v>
      </c>
    </row>
    <row r="59" spans="1:18">
      <c r="A59" s="40" t="s">
        <v>137</v>
      </c>
      <c r="B59" s="11" t="s">
        <v>138</v>
      </c>
      <c r="C59" s="95">
        <v>5695</v>
      </c>
      <c r="D59" s="92">
        <v>-1.21422376E-2</v>
      </c>
      <c r="E59" s="93">
        <v>98043.133483950005</v>
      </c>
      <c r="F59" s="35"/>
      <c r="G59" s="56" t="str">
        <f ca="1">IFERROR(OFFSET(INDIRECT($H$3 &amp; "!A179"), 3, 0), "")</f>
        <v>1인치네트워크</v>
      </c>
      <c r="H59" s="39">
        <f t="shared" ca="1" si="16"/>
        <v>1650</v>
      </c>
      <c r="I59" s="77">
        <f t="shared" ca="1" si="17"/>
        <v>-1.7857142900000001E-2</v>
      </c>
      <c r="J59" s="86">
        <f t="shared" ca="1" si="22"/>
        <v>1092813.0427008299</v>
      </c>
      <c r="K59" s="56" t="str">
        <f ca="1">IFERROR(OFFSET(INDIRECT($H$3 &amp; "!A125"), 3, 0), "")</f>
        <v>이캐시</v>
      </c>
      <c r="L59" s="39">
        <f t="shared" ca="1" si="18"/>
        <v>8.7999999999999995E-2</v>
      </c>
      <c r="M59" s="77">
        <f t="shared" ca="1" si="19"/>
        <v>-2.2222222199999999E-2</v>
      </c>
      <c r="N59" s="86">
        <f t="shared" ca="1" si="23"/>
        <v>20195717130.567978</v>
      </c>
      <c r="O59" s="56" t="str">
        <f ca="1">IFERROR(OFFSET(INDIRECT($H$3 &amp; "!A152"), 3, 0), "")</f>
        <v>헤데라</v>
      </c>
      <c r="P59" s="39">
        <f t="shared" ca="1" si="20"/>
        <v>259</v>
      </c>
      <c r="Q59" s="77">
        <f t="shared" ca="1" si="21"/>
        <v>0</v>
      </c>
      <c r="R59" s="86">
        <f t="shared" ca="1" si="24"/>
        <v>3463915.3443442299</v>
      </c>
    </row>
    <row r="60" spans="1:18">
      <c r="A60" s="40" t="s">
        <v>61</v>
      </c>
      <c r="B60" s="11" t="s">
        <v>62</v>
      </c>
      <c r="C60" s="95">
        <v>26490</v>
      </c>
      <c r="D60" s="92">
        <v>-1.23042506E-2</v>
      </c>
      <c r="E60" s="93">
        <v>84386.06257799</v>
      </c>
      <c r="F60" s="35"/>
      <c r="G60" s="56" t="str">
        <f ca="1">IFERROR(OFFSET(INDIRECT($H$3 &amp; "!A179"), 4, 0), "")</f>
        <v>디카르고</v>
      </c>
      <c r="H60" s="39">
        <f t="shared" ca="1" si="16"/>
        <v>110</v>
      </c>
      <c r="I60" s="77">
        <f t="shared" ca="1" si="17"/>
        <v>-9.0090090000000001E-3</v>
      </c>
      <c r="J60" s="90">
        <f t="shared" ca="1" si="22"/>
        <v>8322176.4685224704</v>
      </c>
      <c r="K60" s="58" t="str">
        <f ca="1">IFERROR(OFFSET(INDIRECT($H$3 &amp; "!A125"), 4, 0), "")</f>
        <v>무비블록</v>
      </c>
      <c r="L60" s="44">
        <f t="shared" ca="1" si="18"/>
        <v>7.47</v>
      </c>
      <c r="M60" s="78">
        <f t="shared" ca="1" si="19"/>
        <v>2.1887824899999998E-2</v>
      </c>
      <c r="N60" s="90">
        <f t="shared" ca="1" si="23"/>
        <v>2577874051.3292875</v>
      </c>
      <c r="O60" s="58" t="str">
        <f ca="1">IFERROR(OFFSET(INDIRECT($H$3 &amp; "!A152"), 4, 0), "")</f>
        <v>알고랜드</v>
      </c>
      <c r="P60" s="44">
        <f t="shared" ca="1" si="20"/>
        <v>947</v>
      </c>
      <c r="Q60" s="78">
        <f t="shared" ca="1" si="21"/>
        <v>-9.4142258999999999E-3</v>
      </c>
      <c r="R60" s="90">
        <f t="shared" ca="1" si="24"/>
        <v>3831655.75720408</v>
      </c>
    </row>
    <row r="61" spans="1:18">
      <c r="A61" s="40" t="s">
        <v>104</v>
      </c>
      <c r="B61" s="11" t="s">
        <v>105</v>
      </c>
      <c r="C61" s="95">
        <v>781</v>
      </c>
      <c r="D61" s="92">
        <v>-1.2642225E-2</v>
      </c>
      <c r="E61" s="93">
        <v>1176199.35998362</v>
      </c>
      <c r="F61" s="35"/>
      <c r="G61" s="60" t="str">
        <f ca="1">IFERROR(OFFSET(INDIRECT($H$3 &amp; "!A179"), 5, 0), "")</f>
        <v>온톨로지</v>
      </c>
      <c r="H61" s="45">
        <f t="shared" ca="1" si="16"/>
        <v>648</v>
      </c>
      <c r="I61" s="80">
        <f t="shared" ca="1" si="17"/>
        <v>-1.66919575E-2</v>
      </c>
      <c r="J61" s="99">
        <f t="shared" ca="1" si="22"/>
        <v>1550559.6189040099</v>
      </c>
      <c r="K61" s="56" t="str">
        <f ca="1">IFERROR(OFFSET(INDIRECT($H$3 &amp; "!A125"), 5, 0), "")</f>
        <v>메인프레임</v>
      </c>
      <c r="L61" s="39">
        <f t="shared" ca="1" si="18"/>
        <v>7.62</v>
      </c>
      <c r="M61" s="77">
        <f t="shared" ca="1" si="19"/>
        <v>-5.2219320999999999E-3</v>
      </c>
      <c r="N61" s="99">
        <f t="shared" ca="1" si="23"/>
        <v>492874066.79517651</v>
      </c>
      <c r="O61" s="56" t="str">
        <f ca="1">IFERROR(OFFSET(INDIRECT($H$3 &amp; "!A152"), 5, 0), "")</f>
        <v>스팀</v>
      </c>
      <c r="P61" s="39">
        <f t="shared" ca="1" si="20"/>
        <v>380</v>
      </c>
      <c r="Q61" s="77">
        <f t="shared" ca="1" si="21"/>
        <v>-1.80878553E-2</v>
      </c>
      <c r="R61" s="99">
        <f t="shared" ca="1" si="24"/>
        <v>897366.62226834998</v>
      </c>
    </row>
    <row r="62" spans="1:18">
      <c r="A62" s="40" t="s">
        <v>324</v>
      </c>
      <c r="B62" s="11" t="s">
        <v>325</v>
      </c>
      <c r="C62" s="95">
        <v>109100</v>
      </c>
      <c r="D62" s="92">
        <v>-1.26696833E-2</v>
      </c>
      <c r="E62" s="93">
        <v>112315.82529981001</v>
      </c>
      <c r="F62" s="35"/>
      <c r="G62" s="56" t="str">
        <f ca="1">IFERROR(OFFSET(INDIRECT($H$3 &amp; "!A179"), 6, 0), "")</f>
        <v>아크</v>
      </c>
      <c r="H62" s="39">
        <f t="shared" ca="1" si="16"/>
        <v>1065</v>
      </c>
      <c r="I62" s="77">
        <f t="shared" ca="1" si="17"/>
        <v>-1.38888889E-2</v>
      </c>
      <c r="J62" s="86">
        <f t="shared" ca="1" si="22"/>
        <v>399219.75920963997</v>
      </c>
      <c r="K62" s="56" t="str">
        <f ca="1">IFERROR(OFFSET(INDIRECT($H$3 &amp; "!A125"), 6, 0), "")</f>
        <v>저스트</v>
      </c>
      <c r="L62" s="39">
        <f t="shared" ca="1" si="18"/>
        <v>57.8</v>
      </c>
      <c r="M62" s="77">
        <f t="shared" ca="1" si="19"/>
        <v>-1.3651877099999999E-2</v>
      </c>
      <c r="N62" s="86">
        <f t="shared" ca="1" si="23"/>
        <v>17718001.71018013</v>
      </c>
      <c r="O62" s="56" t="str">
        <f ca="1">IFERROR(OFFSET(INDIRECT($H$3 &amp; "!A152"), 6, 0), "")</f>
        <v>제로엑스</v>
      </c>
      <c r="P62" s="39">
        <f t="shared" ca="1" si="20"/>
        <v>614</v>
      </c>
      <c r="Q62" s="77">
        <f t="shared" ca="1" si="21"/>
        <v>-9.6774193999999997E-3</v>
      </c>
      <c r="R62" s="86">
        <f t="shared" ca="1" si="24"/>
        <v>976253.57992809999</v>
      </c>
    </row>
    <row r="63" spans="1:18">
      <c r="A63" s="40" t="s">
        <v>260</v>
      </c>
      <c r="B63" s="11" t="s">
        <v>261</v>
      </c>
      <c r="C63" s="95">
        <v>153</v>
      </c>
      <c r="D63" s="92">
        <v>-1.2903225799999999E-2</v>
      </c>
      <c r="E63" s="93">
        <v>42574045.570073612</v>
      </c>
      <c r="F63" s="35"/>
      <c r="G63" s="56" t="str">
        <f ca="1">IFERROR(OFFSET(INDIRECT($H$3 &amp; "!A179"), 7, 0), "")</f>
        <v>스와이프</v>
      </c>
      <c r="H63" s="39">
        <f t="shared" ca="1" si="16"/>
        <v>1740</v>
      </c>
      <c r="I63" s="77">
        <f t="shared" ca="1" si="17"/>
        <v>0</v>
      </c>
      <c r="J63" s="86">
        <f t="shared" ca="1" si="22"/>
        <v>5783387.45616131</v>
      </c>
      <c r="K63" s="56" t="str">
        <f ca="1">IFERROR(OFFSET(INDIRECT($H$3 &amp; "!A125"), 7, 0), "")</f>
        <v>에브리피디아</v>
      </c>
      <c r="L63" s="39">
        <f t="shared" ca="1" si="18"/>
        <v>10.4</v>
      </c>
      <c r="M63" s="77">
        <f t="shared" ca="1" si="19"/>
        <v>-9.5238094999999991E-3</v>
      </c>
      <c r="N63" s="86">
        <f t="shared" ca="1" si="23"/>
        <v>27053248.901163209</v>
      </c>
      <c r="O63" s="56" t="str">
        <f ca="1">IFERROR(OFFSET(INDIRECT($H$3 &amp; "!A152"), 7, 0), "")</f>
        <v>시빅</v>
      </c>
      <c r="P63" s="39">
        <f t="shared" ca="1" si="20"/>
        <v>328</v>
      </c>
      <c r="Q63" s="77">
        <f t="shared" ca="1" si="21"/>
        <v>-1.20481928E-2</v>
      </c>
      <c r="R63" s="86">
        <f t="shared" ca="1" si="24"/>
        <v>3185726.4103188799</v>
      </c>
    </row>
    <row r="64" spans="1:18">
      <c r="A64" s="40" t="s">
        <v>78</v>
      </c>
      <c r="B64" s="11" t="s">
        <v>79</v>
      </c>
      <c r="C64" s="95">
        <v>822</v>
      </c>
      <c r="D64" s="92">
        <v>-1.32052821E-2</v>
      </c>
      <c r="E64" s="93">
        <v>1214876.0722985701</v>
      </c>
      <c r="F64" s="35"/>
      <c r="G64" s="56" t="str">
        <f ca="1">IFERROR(OFFSET(INDIRECT($H$3 &amp; "!A179"), 8, 0), "")</f>
        <v>파워렛저</v>
      </c>
      <c r="H64" s="39">
        <f t="shared" ca="1" si="16"/>
        <v>646</v>
      </c>
      <c r="I64" s="77">
        <f t="shared" ca="1" si="17"/>
        <v>-1.82370821E-2</v>
      </c>
      <c r="J64" s="86">
        <f t="shared" ca="1" si="22"/>
        <v>5315089.9817360602</v>
      </c>
      <c r="K64" s="56" t="str">
        <f ca="1">IFERROR(OFFSET(INDIRECT($H$3 &amp; "!A125"), 8, 0), "")</f>
        <v>캐리프로토콜</v>
      </c>
      <c r="L64" s="39">
        <f t="shared" ca="1" si="18"/>
        <v>8.3800000000000008</v>
      </c>
      <c r="M64" s="77">
        <f t="shared" ca="1" si="19"/>
        <v>-5.9311981E-3</v>
      </c>
      <c r="N64" s="86">
        <f t="shared" ca="1" si="23"/>
        <v>375325963.01437742</v>
      </c>
      <c r="O64" s="56" t="str">
        <f ca="1">IFERROR(OFFSET(INDIRECT($H$3 &amp; "!A152"), 8, 0), "")</f>
        <v>센티넬프로토콜</v>
      </c>
      <c r="P64" s="39">
        <f t="shared" ca="1" si="20"/>
        <v>135</v>
      </c>
      <c r="Q64" s="77">
        <f t="shared" ca="1" si="21"/>
        <v>-2.1739130400000001E-2</v>
      </c>
      <c r="R64" s="86">
        <f t="shared" ca="1" si="24"/>
        <v>3764571.7352074701</v>
      </c>
    </row>
    <row r="65" spans="1:18" ht="17.25" thickBot="1">
      <c r="A65" s="40" t="s">
        <v>244</v>
      </c>
      <c r="B65" s="11" t="s">
        <v>245</v>
      </c>
      <c r="C65" s="95">
        <v>57.8</v>
      </c>
      <c r="D65" s="92">
        <v>-1.3651877099999999E-2</v>
      </c>
      <c r="E65" s="93">
        <v>17718001.71018013</v>
      </c>
      <c r="F65" s="35"/>
      <c r="G65" s="57" t="str">
        <f ca="1">IFERROR(OFFSET(INDIRECT($H$3 &amp; "!A179"), 9, 0), "")</f>
        <v>온톨로지가스</v>
      </c>
      <c r="H65" s="37">
        <f t="shared" ca="1" si="16"/>
        <v>899</v>
      </c>
      <c r="I65" s="79">
        <f t="shared" ca="1" si="17"/>
        <v>-1.9629225699999999E-2</v>
      </c>
      <c r="J65" s="87">
        <f t="shared" ca="1" si="22"/>
        <v>2318112.0151328901</v>
      </c>
      <c r="K65" s="57" t="str">
        <f ca="1">IFERROR(OFFSET(INDIRECT($H$3 &amp; "!A125"), 9, 0), "")</f>
        <v>시아코인</v>
      </c>
      <c r="L65" s="37">
        <f t="shared" ca="1" si="18"/>
        <v>10.8</v>
      </c>
      <c r="M65" s="79">
        <f t="shared" ca="1" si="19"/>
        <v>9.3457943999999994E-3</v>
      </c>
      <c r="N65" s="87">
        <f t="shared" ca="1" si="23"/>
        <v>137077473.98647463</v>
      </c>
      <c r="O65" s="57" t="str">
        <f ca="1">IFERROR(OFFSET(INDIRECT($H$3 &amp; "!A152"), 9, 0), "")</f>
        <v>피르마체인</v>
      </c>
      <c r="P65" s="37">
        <f t="shared" ca="1" si="20"/>
        <v>123</v>
      </c>
      <c r="Q65" s="79">
        <f t="shared" ca="1" si="21"/>
        <v>-8.0645161000000003E-3</v>
      </c>
      <c r="R65" s="87">
        <f t="shared" ca="1" si="24"/>
        <v>4494429.9994486598</v>
      </c>
    </row>
    <row r="66" spans="1:18">
      <c r="A66" s="40" t="s">
        <v>161</v>
      </c>
      <c r="B66" s="11" t="s">
        <v>162</v>
      </c>
      <c r="C66" s="95">
        <v>1070</v>
      </c>
      <c r="D66" s="92">
        <v>-1.3824884799999999E-2</v>
      </c>
      <c r="E66" s="93">
        <v>6348515.2595756203</v>
      </c>
      <c r="F66" s="35"/>
      <c r="G66" s="56" t="str">
        <f ca="1">IFERROR(OFFSET(INDIRECT($H$3 &amp; "!A179"), 10, 0), "")</f>
        <v>아더</v>
      </c>
      <c r="H66" s="38">
        <f t="shared" ref="H66:H75" ca="1" si="25">_xlfn.IFNA(VLOOKUP(G66, $B$2:$D$200, 2, FALSE), "")</f>
        <v>232</v>
      </c>
      <c r="I66" s="76">
        <f t="shared" ref="I66:I75" ca="1" si="26">_xlfn.IFNA(VLOOKUP(G66, $B$2:$D$200, 3, FALSE), "")</f>
        <v>-2.5210084000000001E-2</v>
      </c>
      <c r="J66" s="85">
        <f t="shared" ca="1" si="22"/>
        <v>2954391.44197613</v>
      </c>
      <c r="K66" s="55" t="str">
        <f ca="1">IFERROR(OFFSET(INDIRECT($H$3 &amp; "!A125"), 10, 0), "")</f>
        <v>아이오에스티</v>
      </c>
      <c r="L66" s="38">
        <f t="shared" ca="1" si="18"/>
        <v>28.5</v>
      </c>
      <c r="M66" s="76">
        <f t="shared" ca="1" si="19"/>
        <v>-1.04166667E-2</v>
      </c>
      <c r="N66" s="85">
        <f t="shared" ca="1" si="23"/>
        <v>24006582.22282064</v>
      </c>
      <c r="O66" s="55" t="str">
        <f ca="1">IFERROR(OFFSET(INDIRECT($H$3 &amp; "!A152"), 10, 0), "")</f>
        <v>디카르고</v>
      </c>
      <c r="P66" s="38">
        <f t="shared" ca="1" si="20"/>
        <v>110</v>
      </c>
      <c r="Q66" s="76">
        <f t="shared" ca="1" si="21"/>
        <v>-9.0090090000000001E-3</v>
      </c>
      <c r="R66" s="85">
        <f t="shared" ca="1" si="24"/>
        <v>8322176.4685224704</v>
      </c>
    </row>
    <row r="67" spans="1:18">
      <c r="A67" s="40" t="s">
        <v>238</v>
      </c>
      <c r="B67" s="11" t="s">
        <v>239</v>
      </c>
      <c r="C67" s="95">
        <v>1065</v>
      </c>
      <c r="D67" s="92">
        <v>-1.38888889E-2</v>
      </c>
      <c r="E67" s="93">
        <v>399219.75920963997</v>
      </c>
      <c r="F67" s="35"/>
      <c r="G67" s="56" t="str">
        <f ca="1">IFERROR(OFFSET(INDIRECT($H$3 &amp; "!A179"), 11, 0), "")</f>
        <v>코스모스</v>
      </c>
      <c r="H67" s="39">
        <f t="shared" ca="1" si="25"/>
        <v>36750</v>
      </c>
      <c r="I67" s="77">
        <f t="shared" ca="1" si="26"/>
        <v>-3.5686171599999997E-2</v>
      </c>
      <c r="J67" s="86">
        <f t="shared" ca="1" si="22"/>
        <v>341182.92758250999</v>
      </c>
      <c r="K67" s="56" t="str">
        <f ca="1">IFERROR(OFFSET(INDIRECT($H$3 &amp; "!A125"), 11, 0), "")</f>
        <v>오브스</v>
      </c>
      <c r="L67" s="39">
        <f t="shared" ca="1" si="18"/>
        <v>83.7</v>
      </c>
      <c r="M67" s="77">
        <f t="shared" ca="1" si="19"/>
        <v>-9.4674556000000007E-3</v>
      </c>
      <c r="N67" s="86">
        <f t="shared" ca="1" si="23"/>
        <v>14617442.288682999</v>
      </c>
      <c r="O67" s="56" t="str">
        <f ca="1">IFERROR(OFFSET(INDIRECT($H$3 &amp; "!A152"), 11, 0), "")</f>
        <v>온톨로지</v>
      </c>
      <c r="P67" s="39">
        <f t="shared" ca="1" si="20"/>
        <v>648</v>
      </c>
      <c r="Q67" s="77">
        <f t="shared" ca="1" si="21"/>
        <v>-1.66919575E-2</v>
      </c>
      <c r="R67" s="86">
        <f t="shared" ca="1" si="24"/>
        <v>1550559.6189040099</v>
      </c>
    </row>
    <row r="68" spans="1:18">
      <c r="A68" s="40" t="s">
        <v>149</v>
      </c>
      <c r="B68" s="11" t="s">
        <v>150</v>
      </c>
      <c r="C68" s="95">
        <v>63110</v>
      </c>
      <c r="D68" s="92">
        <v>-1.4214308E-2</v>
      </c>
      <c r="E68" s="93">
        <v>197697.94091092999</v>
      </c>
      <c r="F68" s="35"/>
      <c r="G68" s="56" t="str">
        <f ca="1">IFERROR(OFFSET(INDIRECT($H$3 &amp; "!A179"), 12, 0), "")</f>
        <v>헌트</v>
      </c>
      <c r="H68" s="39">
        <f t="shared" ca="1" si="25"/>
        <v>964</v>
      </c>
      <c r="I68" s="77">
        <f t="shared" ca="1" si="26"/>
        <v>-3.11557789E-2</v>
      </c>
      <c r="J68" s="86">
        <f t="shared" ca="1" si="22"/>
        <v>11121752.94944752</v>
      </c>
      <c r="K68" s="56" t="str">
        <f ca="1">IFERROR(OFFSET(INDIRECT($H$3 &amp; "!A125"), 12, 0), "")</f>
        <v>쿼크체인</v>
      </c>
      <c r="L68" s="39">
        <f t="shared" ca="1" si="18"/>
        <v>19</v>
      </c>
      <c r="M68" s="77">
        <f t="shared" ca="1" si="19"/>
        <v>-1.5544041499999999E-2</v>
      </c>
      <c r="N68" s="86">
        <f t="shared" ca="1" si="23"/>
        <v>31321702.121456169</v>
      </c>
      <c r="O68" s="56" t="str">
        <f ca="1">IFERROR(OFFSET(INDIRECT($H$3 &amp; "!A152"), 12, 0), "")</f>
        <v>파워렛저</v>
      </c>
      <c r="P68" s="39">
        <f t="shared" ca="1" si="20"/>
        <v>646</v>
      </c>
      <c r="Q68" s="77">
        <f t="shared" ca="1" si="21"/>
        <v>-1.82370821E-2</v>
      </c>
      <c r="R68" s="86">
        <f t="shared" ca="1" si="24"/>
        <v>5315089.9817360602</v>
      </c>
    </row>
    <row r="69" spans="1:18">
      <c r="A69" s="40" t="s">
        <v>163</v>
      </c>
      <c r="B69" s="11" t="s">
        <v>164</v>
      </c>
      <c r="C69" s="95">
        <v>1385</v>
      </c>
      <c r="D69" s="92">
        <v>-1.4234875399999999E-2</v>
      </c>
      <c r="E69" s="93">
        <v>1064306.7537236901</v>
      </c>
      <c r="F69" s="35"/>
      <c r="G69" s="56" t="str">
        <f ca="1">IFERROR(OFFSET(INDIRECT($H$3 &amp; "!A179"), 13, 0), "")</f>
        <v>엘프</v>
      </c>
      <c r="H69" s="39">
        <f t="shared" ca="1" si="25"/>
        <v>405</v>
      </c>
      <c r="I69" s="77">
        <f t="shared" ca="1" si="26"/>
        <v>-1.6990291300000002E-2</v>
      </c>
      <c r="J69" s="86">
        <f t="shared" ca="1" si="22"/>
        <v>6055463.7781857699</v>
      </c>
      <c r="K69" s="56" t="str">
        <f ca="1">IFERROR(OFFSET(INDIRECT($H$3 &amp; "!A125"), 13, 0), "")</f>
        <v>메디블록</v>
      </c>
      <c r="L69" s="39">
        <f t="shared" ca="1" si="18"/>
        <v>46.9</v>
      </c>
      <c r="M69" s="77">
        <f t="shared" ca="1" si="19"/>
        <v>-8.4566595999999994E-3</v>
      </c>
      <c r="N69" s="86">
        <f t="shared" ca="1" si="23"/>
        <v>18380328.330207489</v>
      </c>
      <c r="O69" s="56" t="str">
        <f ca="1">IFERROR(OFFSET(INDIRECT($H$3 &amp; "!A152"), 13, 0), "")</f>
        <v>온톨로지가스</v>
      </c>
      <c r="P69" s="39">
        <f t="shared" ca="1" si="20"/>
        <v>899</v>
      </c>
      <c r="Q69" s="77">
        <f t="shared" ca="1" si="21"/>
        <v>-1.9629225699999999E-2</v>
      </c>
      <c r="R69" s="86">
        <f t="shared" ca="1" si="24"/>
        <v>2318112.0151328901</v>
      </c>
    </row>
    <row r="70" spans="1:18">
      <c r="A70" s="40" t="s">
        <v>208</v>
      </c>
      <c r="B70" s="11" t="s">
        <v>209</v>
      </c>
      <c r="C70" s="95">
        <v>1025</v>
      </c>
      <c r="D70" s="92">
        <v>-1.44230769E-2</v>
      </c>
      <c r="E70" s="93">
        <v>3062525.77579174</v>
      </c>
      <c r="F70" s="35"/>
      <c r="G70" s="56" t="str">
        <f ca="1">IFERROR(OFFSET(INDIRECT($H$3 &amp; "!A179"), 14, 0), "")</f>
        <v>아르고</v>
      </c>
      <c r="H70" s="39">
        <f t="shared" ca="1" si="25"/>
        <v>244</v>
      </c>
      <c r="I70" s="77">
        <f t="shared" ca="1" si="26"/>
        <v>-2.78884462E-2</v>
      </c>
      <c r="J70" s="90">
        <f t="shared" ca="1" si="22"/>
        <v>10229022.260355379</v>
      </c>
      <c r="K70" s="58" t="str">
        <f ca="1">IFERROR(OFFSET(INDIRECT($H$3 &amp; "!A125"), 14, 0), "")</f>
        <v>엠블</v>
      </c>
      <c r="L70" s="44">
        <f t="shared" ca="1" si="18"/>
        <v>10.1</v>
      </c>
      <c r="M70" s="78">
        <f t="shared" ca="1" si="19"/>
        <v>0</v>
      </c>
      <c r="N70" s="90">
        <f t="shared" ca="1" si="23"/>
        <v>38204674.947638959</v>
      </c>
      <c r="O70" s="58" t="str">
        <f ca="1">IFERROR(OFFSET(INDIRECT($H$3 &amp; "!A152"), 14, 0), "")</f>
        <v>아더</v>
      </c>
      <c r="P70" s="44">
        <f t="shared" ca="1" si="20"/>
        <v>232</v>
      </c>
      <c r="Q70" s="78">
        <f t="shared" ca="1" si="21"/>
        <v>-2.5210084000000001E-2</v>
      </c>
      <c r="R70" s="90">
        <f t="shared" ca="1" si="24"/>
        <v>2954391.44197613</v>
      </c>
    </row>
    <row r="71" spans="1:18">
      <c r="A71" s="40" t="s">
        <v>129</v>
      </c>
      <c r="B71" s="11" t="s">
        <v>130</v>
      </c>
      <c r="C71" s="95">
        <v>21040</v>
      </c>
      <c r="D71" s="92">
        <v>-1.49812734E-2</v>
      </c>
      <c r="E71" s="93">
        <v>127100.14584061</v>
      </c>
      <c r="F71" s="35"/>
      <c r="G71" s="60" t="str">
        <f ca="1">IFERROR(OFFSET(INDIRECT($H$3 &amp; "!A179"), 15, 0), "")</f>
        <v>스트라이크</v>
      </c>
      <c r="H71" s="45">
        <f t="shared" ca="1" si="25"/>
        <v>46720</v>
      </c>
      <c r="I71" s="80">
        <f t="shared" ca="1" si="26"/>
        <v>-2.8286189699999999E-2</v>
      </c>
      <c r="J71" s="99">
        <f t="shared" ca="1" si="22"/>
        <v>78727.804611240004</v>
      </c>
      <c r="K71" s="56" t="str">
        <f ca="1">IFERROR(OFFSET(INDIRECT($H$3 &amp; "!A125"), 15, 0), "")</f>
        <v>스테이터스네트워크토큰</v>
      </c>
      <c r="L71" s="39">
        <f t="shared" ca="1" si="18"/>
        <v>67</v>
      </c>
      <c r="M71" s="77">
        <f t="shared" ca="1" si="19"/>
        <v>-1.6152716599999999E-2</v>
      </c>
      <c r="N71" s="99">
        <f t="shared" ca="1" si="23"/>
        <v>19005900.998330481</v>
      </c>
      <c r="O71" s="56" t="str">
        <f ca="1">IFERROR(OFFSET(INDIRECT($H$3 &amp; "!A152"), 15, 0), "")</f>
        <v>헌트</v>
      </c>
      <c r="P71" s="39">
        <f t="shared" ca="1" si="20"/>
        <v>964</v>
      </c>
      <c r="Q71" s="77">
        <f t="shared" ca="1" si="21"/>
        <v>-3.11557789E-2</v>
      </c>
      <c r="R71" s="99">
        <f t="shared" ca="1" si="24"/>
        <v>11121752.94944752</v>
      </c>
    </row>
    <row r="72" spans="1:18">
      <c r="A72" s="40" t="s">
        <v>232</v>
      </c>
      <c r="B72" s="11" t="s">
        <v>233</v>
      </c>
      <c r="C72" s="95">
        <v>98.5</v>
      </c>
      <c r="D72" s="92">
        <v>-1.4999999999999999E-2</v>
      </c>
      <c r="E72" s="93">
        <v>7995803.0331633603</v>
      </c>
      <c r="F72" s="35"/>
      <c r="G72" s="56" t="str">
        <f ca="1">IFERROR(OFFSET(INDIRECT($H$3 &amp; "!A179"), 16, 0), "")</f>
        <v>폴리매쓰</v>
      </c>
      <c r="H72" s="39">
        <f t="shared" ca="1" si="25"/>
        <v>505</v>
      </c>
      <c r="I72" s="77">
        <f t="shared" ca="1" si="26"/>
        <v>-1.55945419E-2</v>
      </c>
      <c r="J72" s="86">
        <f t="shared" ca="1" si="22"/>
        <v>2206502.10500796</v>
      </c>
      <c r="K72" s="56" t="str">
        <f ca="1">IFERROR(OFFSET(INDIRECT($H$3 &amp; "!A125"), 16, 0), "")</f>
        <v>리퍼리움</v>
      </c>
      <c r="L72" s="39">
        <f t="shared" ca="1" si="18"/>
        <v>11.1</v>
      </c>
      <c r="M72" s="77">
        <f t="shared" ca="1" si="19"/>
        <v>-8.9285713999999999E-3</v>
      </c>
      <c r="N72" s="86">
        <f t="shared" ca="1" si="23"/>
        <v>32042633.183644772</v>
      </c>
      <c r="O72" s="56" t="str">
        <f ca="1">IFERROR(OFFSET(INDIRECT($H$3 &amp; "!A152"), 16, 0), "")</f>
        <v>엘프</v>
      </c>
      <c r="P72" s="39">
        <f t="shared" ca="1" si="20"/>
        <v>405</v>
      </c>
      <c r="Q72" s="77">
        <f t="shared" ca="1" si="21"/>
        <v>-1.6990291300000002E-2</v>
      </c>
      <c r="R72" s="86">
        <f t="shared" ca="1" si="24"/>
        <v>6055463.7781857699</v>
      </c>
    </row>
    <row r="73" spans="1:18">
      <c r="A73" s="40" t="s">
        <v>165</v>
      </c>
      <c r="B73" s="11" t="s">
        <v>166</v>
      </c>
      <c r="C73" s="95">
        <v>17030</v>
      </c>
      <c r="D73" s="92">
        <v>-1.5037594E-2</v>
      </c>
      <c r="E73" s="93">
        <v>62156.660660829999</v>
      </c>
      <c r="F73" s="35"/>
      <c r="G73" s="56" t="str">
        <f ca="1">IFERROR(OFFSET(INDIRECT($H$3 &amp; "!A179"), 17, 0), "")</f>
        <v>골렘</v>
      </c>
      <c r="H73" s="39">
        <f t="shared" ca="1" si="25"/>
        <v>582</v>
      </c>
      <c r="I73" s="77">
        <f t="shared" ca="1" si="26"/>
        <v>-3.4246575E-3</v>
      </c>
      <c r="J73" s="86">
        <f t="shared" ca="1" si="22"/>
        <v>77277376.137526616</v>
      </c>
      <c r="K73" s="56" t="str">
        <f ca="1">IFERROR(OFFSET(INDIRECT($H$3 &amp; "!A125"), 17, 0), "")</f>
        <v>비트토렌트</v>
      </c>
      <c r="L73" s="39">
        <f t="shared" ca="1" si="18"/>
        <v>2.3E-3</v>
      </c>
      <c r="M73" s="77">
        <f t="shared" ca="1" si="19"/>
        <v>0</v>
      </c>
      <c r="N73" s="86">
        <f t="shared" ca="1" si="23"/>
        <v>474816570232.57129</v>
      </c>
      <c r="O73" s="56" t="str">
        <f ca="1">IFERROR(OFFSET(INDIRECT($H$3 &amp; "!A152"), 17, 0), "")</f>
        <v>아르고</v>
      </c>
      <c r="P73" s="39">
        <f t="shared" ca="1" si="20"/>
        <v>244</v>
      </c>
      <c r="Q73" s="77">
        <f t="shared" ca="1" si="21"/>
        <v>-2.78884462E-2</v>
      </c>
      <c r="R73" s="86">
        <f t="shared" ca="1" si="24"/>
        <v>10229022.260355379</v>
      </c>
    </row>
    <row r="74" spans="1:18">
      <c r="A74" s="40" t="s">
        <v>70</v>
      </c>
      <c r="B74" s="11" t="s">
        <v>71</v>
      </c>
      <c r="C74" s="95">
        <v>19</v>
      </c>
      <c r="D74" s="92">
        <v>-1.5544041499999999E-2</v>
      </c>
      <c r="E74" s="93">
        <v>31321702.121456169</v>
      </c>
      <c r="F74" s="35"/>
      <c r="G74" s="56" t="str">
        <f ca="1">IFERROR(OFFSET(INDIRECT($H$3 &amp; "!A179"), 18, 0), "")</f>
        <v>카이버네트워크</v>
      </c>
      <c r="H74" s="39">
        <f t="shared" ca="1" si="25"/>
        <v>3000</v>
      </c>
      <c r="I74" s="77">
        <f t="shared" ca="1" si="26"/>
        <v>3.4482758600000003E-2</v>
      </c>
      <c r="J74" s="86">
        <f t="shared" ca="1" si="22"/>
        <v>6097601.8136448301</v>
      </c>
      <c r="K74" s="56" t="str">
        <f ca="1">IFERROR(OFFSET(INDIRECT($H$3 &amp; "!A125"), 18, 0), "")</f>
        <v>썸씽</v>
      </c>
      <c r="L74" s="39">
        <f t="shared" ca="1" si="18"/>
        <v>51.2</v>
      </c>
      <c r="M74" s="77">
        <f t="shared" ca="1" si="19"/>
        <v>-5.8252427000000002E-3</v>
      </c>
      <c r="N74" s="86">
        <f t="shared" ca="1" si="23"/>
        <v>27939765.042374969</v>
      </c>
      <c r="O74" s="56" t="str">
        <f ca="1">IFERROR(OFFSET(INDIRECT($H$3 &amp; "!A152"), 18, 0), "")</f>
        <v>폴리매쓰</v>
      </c>
      <c r="P74" s="39">
        <f t="shared" ca="1" si="20"/>
        <v>505</v>
      </c>
      <c r="Q74" s="77">
        <f t="shared" ca="1" si="21"/>
        <v>-1.55945419E-2</v>
      </c>
      <c r="R74" s="86">
        <f t="shared" ca="1" si="24"/>
        <v>2206502.10500796</v>
      </c>
    </row>
    <row r="75" spans="1:18" ht="17.25" thickBot="1">
      <c r="A75" s="40" t="s">
        <v>200</v>
      </c>
      <c r="B75" s="11" t="s">
        <v>201</v>
      </c>
      <c r="C75" s="95">
        <v>505</v>
      </c>
      <c r="D75" s="92">
        <v>-1.55945419E-2</v>
      </c>
      <c r="E75" s="93">
        <v>2206502.10500796</v>
      </c>
      <c r="F75" s="35"/>
      <c r="G75" s="57" t="str">
        <f ca="1">IFERROR(OFFSET(INDIRECT($H$3 &amp; "!A179"), 19, 0), "")</f>
        <v>웨이브</v>
      </c>
      <c r="H75" s="37">
        <f t="shared" ca="1" si="25"/>
        <v>22330</v>
      </c>
      <c r="I75" s="79">
        <f t="shared" ca="1" si="26"/>
        <v>4.6391752600000002E-2</v>
      </c>
      <c r="J75" s="87">
        <f t="shared" ca="1" si="22"/>
        <v>4531674.8456493896</v>
      </c>
      <c r="K75" s="57" t="str">
        <f ca="1">IFERROR(OFFSET(INDIRECT($H$3 &amp; "!A125"), 19, 0), "")</f>
        <v>룸네트워크</v>
      </c>
      <c r="L75" s="37">
        <f t="shared" ca="1" si="18"/>
        <v>98.5</v>
      </c>
      <c r="M75" s="79">
        <f t="shared" ca="1" si="19"/>
        <v>-1.4999999999999999E-2</v>
      </c>
      <c r="N75" s="87">
        <f t="shared" ca="1" si="23"/>
        <v>7995803.0331633603</v>
      </c>
      <c r="O75" s="57" t="str">
        <f ca="1">IFERROR(OFFSET(INDIRECT($H$3 &amp; "!A152"), 19, 0), "")</f>
        <v>골렘</v>
      </c>
      <c r="P75" s="37">
        <f t="shared" ca="1" si="20"/>
        <v>582</v>
      </c>
      <c r="Q75" s="79">
        <f t="shared" ca="1" si="21"/>
        <v>-3.4246575E-3</v>
      </c>
      <c r="R75" s="87">
        <f t="shared" ca="1" si="24"/>
        <v>77277376.137526616</v>
      </c>
    </row>
    <row r="76" spans="1:18">
      <c r="A76" s="40" t="s">
        <v>206</v>
      </c>
      <c r="B76" s="11" t="s">
        <v>207</v>
      </c>
      <c r="C76" s="95">
        <v>976</v>
      </c>
      <c r="D76" s="92">
        <v>-1.6129032299999999E-2</v>
      </c>
      <c r="E76" s="93">
        <v>927546.84306012001</v>
      </c>
      <c r="F76" s="35"/>
      <c r="G76" s="35"/>
      <c r="H76" s="35"/>
      <c r="I76" s="35"/>
    </row>
    <row r="77" spans="1:18">
      <c r="A77" s="40" t="s">
        <v>157</v>
      </c>
      <c r="B77" s="11" t="s">
        <v>158</v>
      </c>
      <c r="C77" s="95">
        <v>67</v>
      </c>
      <c r="D77" s="92">
        <v>-1.6152716599999999E-2</v>
      </c>
      <c r="E77" s="93">
        <v>19005900.998330481</v>
      </c>
      <c r="F77" s="35"/>
      <c r="G77" s="35"/>
      <c r="H77" s="35"/>
      <c r="I77" s="35"/>
    </row>
    <row r="78" spans="1:18">
      <c r="A78" s="40" t="s">
        <v>100</v>
      </c>
      <c r="B78" s="11" t="s">
        <v>101</v>
      </c>
      <c r="C78" s="95">
        <v>648</v>
      </c>
      <c r="D78" s="92">
        <v>-1.66919575E-2</v>
      </c>
      <c r="E78" s="93">
        <v>1550559.6189040099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405</v>
      </c>
      <c r="D79" s="92">
        <v>-1.6990291300000002E-2</v>
      </c>
      <c r="E79" s="93">
        <v>6055463.7781857699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17.3</v>
      </c>
      <c r="D80" s="92">
        <v>-1.7045454500000001E-2</v>
      </c>
      <c r="E80" s="93">
        <v>193233792.14779925</v>
      </c>
      <c r="F80" s="35"/>
      <c r="G80" s="35"/>
      <c r="H80" s="35"/>
      <c r="I80" s="35"/>
    </row>
    <row r="81" spans="1:9">
      <c r="A81" s="40" t="s">
        <v>242</v>
      </c>
      <c r="B81" s="11" t="s">
        <v>243</v>
      </c>
      <c r="C81" s="95">
        <v>1135</v>
      </c>
      <c r="D81" s="92">
        <v>-1.73160173E-2</v>
      </c>
      <c r="E81" s="93">
        <v>524278.18927422998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4485</v>
      </c>
      <c r="D82" s="92">
        <v>-1.7524643999999999E-2</v>
      </c>
      <c r="E82" s="93">
        <v>124734.63002579</v>
      </c>
      <c r="F82" s="35"/>
      <c r="G82" s="35"/>
      <c r="H82" s="35"/>
      <c r="I82" s="35"/>
    </row>
    <row r="83" spans="1:9">
      <c r="A83" s="40" t="s">
        <v>332</v>
      </c>
      <c r="B83" s="11" t="s">
        <v>333</v>
      </c>
      <c r="C83" s="95">
        <v>151100</v>
      </c>
      <c r="D83" s="92">
        <v>-1.7555266600000001E-2</v>
      </c>
      <c r="E83" s="93">
        <v>8597.3222406099994</v>
      </c>
      <c r="F83" s="35"/>
      <c r="G83" s="35"/>
      <c r="H83" s="35"/>
      <c r="I83" s="35"/>
    </row>
    <row r="84" spans="1:9">
      <c r="A84" s="40" t="s">
        <v>226</v>
      </c>
      <c r="B84" s="11" t="s">
        <v>227</v>
      </c>
      <c r="C84" s="95">
        <v>1110</v>
      </c>
      <c r="D84" s="92">
        <v>-1.7699115000000001E-2</v>
      </c>
      <c r="E84" s="93">
        <v>1439500.5051126999</v>
      </c>
      <c r="F84" s="35"/>
      <c r="G84" s="35"/>
      <c r="H84" s="35"/>
      <c r="I84" s="35"/>
    </row>
    <row r="85" spans="1:9">
      <c r="A85" s="40" t="s">
        <v>344</v>
      </c>
      <c r="B85" s="11" t="s">
        <v>345</v>
      </c>
      <c r="C85" s="95">
        <v>1650</v>
      </c>
      <c r="D85" s="92">
        <v>-1.7857142900000001E-2</v>
      </c>
      <c r="E85" s="93">
        <v>1092813.0427008299</v>
      </c>
      <c r="F85" s="35"/>
      <c r="G85" s="35"/>
      <c r="H85" s="35"/>
      <c r="I85" s="35"/>
    </row>
    <row r="86" spans="1:9">
      <c r="A86" s="40" t="s">
        <v>50</v>
      </c>
      <c r="B86" s="11" t="s">
        <v>51</v>
      </c>
      <c r="C86" s="95">
        <v>219</v>
      </c>
      <c r="D86" s="92">
        <v>-1.79372197E-2</v>
      </c>
      <c r="E86" s="93">
        <v>12398297.087818479</v>
      </c>
      <c r="F86" s="35"/>
      <c r="G86" s="35"/>
      <c r="H86" s="35"/>
      <c r="I86" s="35"/>
    </row>
    <row r="87" spans="1:9">
      <c r="A87" s="40" t="s">
        <v>230</v>
      </c>
      <c r="B87" s="11" t="s">
        <v>231</v>
      </c>
      <c r="C87" s="95">
        <v>380</v>
      </c>
      <c r="D87" s="92">
        <v>-1.80878553E-2</v>
      </c>
      <c r="E87" s="93">
        <v>897366.62226834998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95">
        <v>646</v>
      </c>
      <c r="D88" s="92">
        <v>-1.82370821E-2</v>
      </c>
      <c r="E88" s="93">
        <v>5315089.9817360602</v>
      </c>
      <c r="F88" s="35"/>
      <c r="G88" s="35"/>
      <c r="H88" s="35"/>
      <c r="I88" s="35"/>
    </row>
    <row r="89" spans="1:9">
      <c r="A89" s="40" t="s">
        <v>240</v>
      </c>
      <c r="B89" s="11" t="s">
        <v>241</v>
      </c>
      <c r="C89" s="95">
        <v>5160</v>
      </c>
      <c r="D89" s="92">
        <v>-1.9011406799999998E-2</v>
      </c>
      <c r="E89" s="93">
        <v>100057.77404721</v>
      </c>
      <c r="F89" s="35"/>
      <c r="G89" s="35"/>
      <c r="H89" s="35"/>
      <c r="I89" s="35"/>
    </row>
    <row r="90" spans="1:9">
      <c r="A90" s="40" t="s">
        <v>90</v>
      </c>
      <c r="B90" s="11" t="s">
        <v>91</v>
      </c>
      <c r="C90" s="95">
        <v>36620</v>
      </c>
      <c r="D90" s="92">
        <v>-1.9019555300000001E-2</v>
      </c>
      <c r="E90" s="93">
        <v>21930.644207869998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2040</v>
      </c>
      <c r="D91" s="92">
        <v>-1.9230769200000001E-2</v>
      </c>
      <c r="E91" s="93">
        <v>729121.08254166006</v>
      </c>
      <c r="F91" s="35"/>
      <c r="G91" s="35"/>
      <c r="H91" s="35"/>
      <c r="I91" s="35"/>
    </row>
    <row r="92" spans="1:9">
      <c r="A92" s="40" t="s">
        <v>179</v>
      </c>
      <c r="B92" s="11" t="s">
        <v>180</v>
      </c>
      <c r="C92" s="95">
        <v>899</v>
      </c>
      <c r="D92" s="92">
        <v>-1.9629225699999999E-2</v>
      </c>
      <c r="E92" s="93">
        <v>2318112.0151328901</v>
      </c>
      <c r="F92" s="35"/>
      <c r="G92" s="35"/>
      <c r="H92" s="35"/>
      <c r="I92" s="35"/>
    </row>
    <row r="93" spans="1:9">
      <c r="A93" s="40" t="s">
        <v>216</v>
      </c>
      <c r="B93" s="11" t="s">
        <v>217</v>
      </c>
      <c r="C93" s="95">
        <v>198</v>
      </c>
      <c r="D93" s="92">
        <v>-1.9801980199999999E-2</v>
      </c>
      <c r="E93" s="93">
        <v>7627559.1156294299</v>
      </c>
      <c r="F93" s="35"/>
      <c r="G93" s="35"/>
      <c r="H93" s="35"/>
      <c r="I93" s="35"/>
    </row>
    <row r="94" spans="1:9">
      <c r="A94" s="40" t="s">
        <v>220</v>
      </c>
      <c r="B94" s="11" t="s">
        <v>221</v>
      </c>
      <c r="C94" s="95">
        <v>906</v>
      </c>
      <c r="D94" s="92">
        <v>-2.0540540499999999E-2</v>
      </c>
      <c r="E94" s="93">
        <v>11023632.32473602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3075</v>
      </c>
      <c r="D95" s="92">
        <v>-2.07006369E-2</v>
      </c>
      <c r="E95" s="93">
        <v>189822.56071423</v>
      </c>
      <c r="F95" s="35"/>
      <c r="G95" s="35"/>
      <c r="H95" s="35"/>
      <c r="I95" s="35"/>
    </row>
    <row r="96" spans="1:9">
      <c r="A96" s="40" t="s">
        <v>218</v>
      </c>
      <c r="B96" s="11" t="s">
        <v>219</v>
      </c>
      <c r="C96" s="95">
        <v>2805</v>
      </c>
      <c r="D96" s="92">
        <v>-2.0942408400000001E-2</v>
      </c>
      <c r="E96" s="93">
        <v>279264.18897706002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4870</v>
      </c>
      <c r="D97" s="92">
        <v>-2.11055276E-2</v>
      </c>
      <c r="E97" s="93">
        <v>238054.72887744001</v>
      </c>
      <c r="F97" s="35"/>
      <c r="G97" s="35"/>
      <c r="H97" s="35"/>
      <c r="I97" s="35"/>
    </row>
    <row r="98" spans="1:9">
      <c r="A98" s="40" t="s">
        <v>214</v>
      </c>
      <c r="B98" s="11" t="s">
        <v>215</v>
      </c>
      <c r="C98" s="95">
        <v>135</v>
      </c>
      <c r="D98" s="92">
        <v>-2.1739130400000001E-2</v>
      </c>
      <c r="E98" s="93">
        <v>3764571.7352074701</v>
      </c>
      <c r="F98" s="35"/>
      <c r="G98" s="35"/>
      <c r="H98" s="35"/>
      <c r="I98" s="35"/>
    </row>
    <row r="99" spans="1:9">
      <c r="A99" s="40" t="s">
        <v>340</v>
      </c>
      <c r="B99" s="11" t="s">
        <v>341</v>
      </c>
      <c r="C99" s="95">
        <v>8.7999999999999995E-2</v>
      </c>
      <c r="D99" s="92">
        <v>-2.2222222199999999E-2</v>
      </c>
      <c r="E99" s="93">
        <v>20195717130.567978</v>
      </c>
      <c r="F99" s="35"/>
      <c r="G99" s="35"/>
      <c r="H99" s="35"/>
      <c r="I99" s="35"/>
    </row>
    <row r="100" spans="1:9">
      <c r="A100" s="40" t="s">
        <v>112</v>
      </c>
      <c r="B100" s="11" t="s">
        <v>113</v>
      </c>
      <c r="C100" s="95">
        <v>3910</v>
      </c>
      <c r="D100" s="92">
        <v>-2.2499999999999999E-2</v>
      </c>
      <c r="E100" s="93">
        <v>311095.2246665</v>
      </c>
      <c r="F100" s="35"/>
      <c r="G100" s="35"/>
      <c r="H100" s="35"/>
      <c r="I100" s="35"/>
    </row>
    <row r="101" spans="1:9">
      <c r="A101" s="40" t="s">
        <v>65</v>
      </c>
      <c r="B101" s="11" t="s">
        <v>66</v>
      </c>
      <c r="C101" s="95">
        <v>2635</v>
      </c>
      <c r="D101" s="92">
        <v>-2.4074074099999999E-2</v>
      </c>
      <c r="E101" s="93">
        <v>361136.51096422999</v>
      </c>
      <c r="F101" s="35"/>
      <c r="G101" s="35"/>
      <c r="H101" s="35"/>
      <c r="I101" s="35"/>
    </row>
    <row r="102" spans="1:9">
      <c r="A102" s="40" t="s">
        <v>224</v>
      </c>
      <c r="B102" s="11" t="s">
        <v>225</v>
      </c>
      <c r="C102" s="95">
        <v>354</v>
      </c>
      <c r="D102" s="92">
        <v>-2.4793388400000001E-2</v>
      </c>
      <c r="E102" s="93">
        <v>4947919.8220845498</v>
      </c>
      <c r="F102" s="35"/>
      <c r="G102" s="35"/>
      <c r="H102" s="35"/>
      <c r="I102" s="35"/>
    </row>
    <row r="103" spans="1:9">
      <c r="A103" s="40" t="s">
        <v>248</v>
      </c>
      <c r="B103" s="11" t="s">
        <v>249</v>
      </c>
      <c r="C103" s="95">
        <v>232</v>
      </c>
      <c r="D103" s="92">
        <v>-2.5210084000000001E-2</v>
      </c>
      <c r="E103" s="93">
        <v>2954391.44197613</v>
      </c>
      <c r="F103" s="35"/>
      <c r="G103" s="35"/>
      <c r="H103" s="35"/>
      <c r="I103" s="35"/>
    </row>
    <row r="104" spans="1:9">
      <c r="A104" s="40" t="s">
        <v>347</v>
      </c>
      <c r="B104" s="11" t="s">
        <v>348</v>
      </c>
      <c r="C104" s="95">
        <v>190</v>
      </c>
      <c r="D104" s="92">
        <v>-2.5641025599999999E-2</v>
      </c>
      <c r="E104" s="93">
        <v>46257225.284122407</v>
      </c>
      <c r="F104" s="35"/>
      <c r="G104" s="35"/>
      <c r="H104" s="35"/>
      <c r="I104" s="35"/>
    </row>
    <row r="105" spans="1:9">
      <c r="A105" s="40" t="s">
        <v>204</v>
      </c>
      <c r="B105" s="11" t="s">
        <v>205</v>
      </c>
      <c r="C105" s="95">
        <v>11.3</v>
      </c>
      <c r="D105" s="92">
        <v>-2.5862069000000001E-2</v>
      </c>
      <c r="E105" s="93">
        <v>130100875.83141309</v>
      </c>
      <c r="F105" s="35"/>
      <c r="G105" s="35"/>
      <c r="H105" s="35"/>
      <c r="I105" s="35"/>
    </row>
    <row r="106" spans="1:9">
      <c r="A106" s="40" t="s">
        <v>326</v>
      </c>
      <c r="B106" s="11" t="s">
        <v>327</v>
      </c>
      <c r="C106" s="95">
        <v>622</v>
      </c>
      <c r="D106" s="92">
        <v>-2.66040689E-2</v>
      </c>
      <c r="E106" s="93">
        <v>20717225.870016001</v>
      </c>
      <c r="F106" s="35"/>
      <c r="G106" s="35"/>
      <c r="H106" s="35"/>
      <c r="I106" s="35"/>
    </row>
    <row r="107" spans="1:9">
      <c r="A107" s="40" t="s">
        <v>183</v>
      </c>
      <c r="B107" s="11" t="s">
        <v>346</v>
      </c>
      <c r="C107" s="95">
        <v>9.49</v>
      </c>
      <c r="D107" s="92">
        <v>-2.6666666700000001E-2</v>
      </c>
      <c r="E107" s="93">
        <v>813833155.96123362</v>
      </c>
      <c r="F107" s="35"/>
      <c r="G107" s="35"/>
      <c r="H107" s="35"/>
      <c r="I107" s="35"/>
    </row>
    <row r="108" spans="1:9">
      <c r="A108" s="40" t="s">
        <v>246</v>
      </c>
      <c r="B108" s="11" t="s">
        <v>247</v>
      </c>
      <c r="C108" s="95">
        <v>709</v>
      </c>
      <c r="D108" s="92">
        <v>-2.74348422E-2</v>
      </c>
      <c r="E108" s="93">
        <v>2510123.6987132598</v>
      </c>
      <c r="F108" s="35"/>
      <c r="G108" s="35"/>
      <c r="H108" s="35"/>
      <c r="I108" s="35"/>
    </row>
    <row r="109" spans="1:9">
      <c r="A109" s="40" t="s">
        <v>186</v>
      </c>
      <c r="B109" s="11" t="s">
        <v>187</v>
      </c>
      <c r="C109" s="95">
        <v>244</v>
      </c>
      <c r="D109" s="92">
        <v>-2.78884462E-2</v>
      </c>
      <c r="E109" s="41">
        <v>10229022.260355379</v>
      </c>
    </row>
    <row r="110" spans="1:9">
      <c r="A110" s="40" t="s">
        <v>177</v>
      </c>
      <c r="B110" s="11" t="s">
        <v>178</v>
      </c>
      <c r="C110" s="95">
        <v>46720</v>
      </c>
      <c r="D110" s="92">
        <v>-2.8286189699999999E-2</v>
      </c>
      <c r="E110" s="41">
        <v>78727.804611240004</v>
      </c>
    </row>
    <row r="111" spans="1:9">
      <c r="A111" s="40" t="s">
        <v>222</v>
      </c>
      <c r="B111" s="11" t="s">
        <v>223</v>
      </c>
      <c r="C111" s="95">
        <v>964</v>
      </c>
      <c r="D111" s="92">
        <v>-3.11557789E-2</v>
      </c>
      <c r="E111" s="41">
        <v>11121752.94944752</v>
      </c>
    </row>
    <row r="112" spans="1:9">
      <c r="A112" s="40" t="s">
        <v>72</v>
      </c>
      <c r="B112" s="11" t="s">
        <v>73</v>
      </c>
      <c r="C112" s="95">
        <v>36750</v>
      </c>
      <c r="D112" s="92">
        <v>-3.5686171599999997E-2</v>
      </c>
      <c r="E112" s="41">
        <v>341182.92758250999</v>
      </c>
    </row>
    <row r="113" spans="1:5">
      <c r="A113" s="40" t="s">
        <v>84</v>
      </c>
      <c r="B113" s="11" t="s">
        <v>85</v>
      </c>
      <c r="C113" s="95">
        <v>275</v>
      </c>
      <c r="D113" s="92">
        <v>-4.1811846700000002E-2</v>
      </c>
      <c r="E113" s="41">
        <v>121512341.48450369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252</v>
      </c>
      <c r="B1" s="69" t="s">
        <v>39</v>
      </c>
      <c r="C1" s="68" t="s">
        <v>37</v>
      </c>
      <c r="D1" s="70" t="s">
        <v>38</v>
      </c>
      <c r="E1" s="91" t="s">
        <v>259</v>
      </c>
    </row>
    <row r="2" spans="1:18" ht="17.25" thickBot="1">
      <c r="A2" s="40" t="s">
        <v>139</v>
      </c>
      <c r="B2" s="11" t="s">
        <v>140</v>
      </c>
      <c r="C2" s="95">
        <v>87.1</v>
      </c>
      <c r="D2" s="92">
        <v>6.3492063500000001E-2</v>
      </c>
      <c r="E2" s="93">
        <v>490079445.64157683</v>
      </c>
      <c r="F2" s="35"/>
      <c r="G2" s="54"/>
      <c r="H2" s="35"/>
      <c r="I2" s="35"/>
    </row>
    <row r="3" spans="1:18" ht="17.25" thickBot="1">
      <c r="A3" s="40" t="s">
        <v>153</v>
      </c>
      <c r="B3" s="11" t="s">
        <v>154</v>
      </c>
      <c r="C3" s="95">
        <v>22330</v>
      </c>
      <c r="D3" s="92">
        <v>4.6391752600000002E-2</v>
      </c>
      <c r="E3" s="93">
        <v>4531674.8456493896</v>
      </c>
      <c r="F3" s="35"/>
      <c r="G3" s="231" t="s">
        <v>255</v>
      </c>
      <c r="H3" s="243" t="s">
        <v>349</v>
      </c>
      <c r="I3" s="243"/>
      <c r="K3" s="170" t="s">
        <v>34</v>
      </c>
      <c r="L3" s="171"/>
      <c r="M3" s="171"/>
      <c r="N3" s="172"/>
      <c r="O3" s="170" t="s">
        <v>256</v>
      </c>
      <c r="P3" s="171"/>
      <c r="Q3" s="171"/>
      <c r="R3" s="172"/>
    </row>
    <row r="4" spans="1:18" ht="17.25" thickBot="1">
      <c r="A4" s="40" t="s">
        <v>131</v>
      </c>
      <c r="B4" s="11" t="s">
        <v>132</v>
      </c>
      <c r="C4" s="95">
        <v>3000</v>
      </c>
      <c r="D4" s="92">
        <v>3.4482758600000003E-2</v>
      </c>
      <c r="E4" s="93">
        <v>6097601.8136448301</v>
      </c>
      <c r="F4" s="35"/>
      <c r="G4" s="232"/>
      <c r="H4" s="244"/>
      <c r="I4" s="244"/>
      <c r="K4" s="235" t="s">
        <v>54</v>
      </c>
      <c r="L4" s="247">
        <f ca="1">NOW()</f>
        <v>44626.614851388891</v>
      </c>
      <c r="M4" s="248"/>
      <c r="N4" s="249"/>
      <c r="O4" s="238" t="s">
        <v>54</v>
      </c>
      <c r="P4" s="247">
        <f ca="1">NOW()</f>
        <v>44626.614851388891</v>
      </c>
      <c r="Q4" s="248"/>
      <c r="R4" s="249"/>
    </row>
    <row r="5" spans="1:18" ht="17.25" thickBot="1">
      <c r="A5" s="40" t="s">
        <v>210</v>
      </c>
      <c r="B5" s="11" t="s">
        <v>211</v>
      </c>
      <c r="C5" s="95">
        <v>7.47</v>
      </c>
      <c r="D5" s="92">
        <v>2.1887824899999998E-2</v>
      </c>
      <c r="E5" s="93">
        <v>2577874051.3292875</v>
      </c>
      <c r="F5" s="35"/>
      <c r="K5" s="232"/>
      <c r="L5" s="51" t="s">
        <v>57</v>
      </c>
      <c r="M5" s="73" t="s">
        <v>58</v>
      </c>
      <c r="N5" s="69" t="s">
        <v>259</v>
      </c>
      <c r="O5" s="187"/>
      <c r="P5" s="51" t="s">
        <v>57</v>
      </c>
      <c r="Q5" s="73" t="s">
        <v>58</v>
      </c>
      <c r="R5" s="91" t="s">
        <v>259</v>
      </c>
    </row>
    <row r="6" spans="1:18" ht="17.25" thickBot="1">
      <c r="A6" s="40" t="s">
        <v>151</v>
      </c>
      <c r="B6" s="11" t="s">
        <v>152</v>
      </c>
      <c r="C6" s="95">
        <v>1770</v>
      </c>
      <c r="D6" s="92">
        <v>1.14285714E-2</v>
      </c>
      <c r="E6" s="93">
        <v>5510229.4761804398</v>
      </c>
      <c r="F6" s="35"/>
      <c r="G6" s="170" t="s">
        <v>52</v>
      </c>
      <c r="H6" s="171"/>
      <c r="I6" s="172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140</v>
      </c>
      <c r="P6" s="38">
        <f t="shared" ref="P6:P25" si="2">_xlfn.IFNA(VLOOKUP(O6, $B$2:$D$200, 2, FALSE), "")</f>
        <v>87.1</v>
      </c>
      <c r="Q6" s="76">
        <f t="shared" ref="Q6:Q25" si="3">_xlfn.IFNA(VLOOKUP(O6, $B$2:$D$200, 3, FALSE), "")</f>
        <v>6.3492063500000001E-2</v>
      </c>
      <c r="R6" s="85">
        <f>_xlfn.IFNA(VLOOKUP(O6, $B$2:$E$200, 4, FALSE), "")</f>
        <v>490079445.64157683</v>
      </c>
    </row>
    <row r="7" spans="1:18">
      <c r="A7" s="40" t="s">
        <v>143</v>
      </c>
      <c r="B7" s="11" t="s">
        <v>144</v>
      </c>
      <c r="C7" s="95">
        <v>10.8</v>
      </c>
      <c r="D7" s="92">
        <v>9.3457943999999994E-3</v>
      </c>
      <c r="E7" s="93">
        <v>137077473.98647463</v>
      </c>
      <c r="F7" s="35"/>
      <c r="G7" s="179" t="s">
        <v>36</v>
      </c>
      <c r="H7" s="180"/>
      <c r="I7" s="181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154</v>
      </c>
      <c r="P7" s="39">
        <f t="shared" si="2"/>
        <v>22330</v>
      </c>
      <c r="Q7" s="77">
        <f t="shared" si="3"/>
        <v>4.6391752600000002E-2</v>
      </c>
      <c r="R7" s="86">
        <f t="shared" ref="R7:R25" si="5">_xlfn.IFNA(VLOOKUP(O7, $B$2:$E$200, 4, FALSE), "")</f>
        <v>4531674.8456493896</v>
      </c>
    </row>
    <row r="8" spans="1:18" ht="17.25" thickBot="1">
      <c r="A8" s="40" t="s">
        <v>336</v>
      </c>
      <c r="B8" s="11" t="s">
        <v>337</v>
      </c>
      <c r="C8" s="95">
        <v>13070</v>
      </c>
      <c r="D8" s="92">
        <v>7.7101002000000002E-3</v>
      </c>
      <c r="E8" s="93">
        <v>1798289.85092628</v>
      </c>
      <c r="F8" s="35"/>
      <c r="G8" s="185"/>
      <c r="H8" s="186"/>
      <c r="I8" s="187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132</v>
      </c>
      <c r="P8" s="39">
        <f t="shared" si="2"/>
        <v>3000</v>
      </c>
      <c r="Q8" s="77">
        <f t="shared" si="3"/>
        <v>3.4482758600000003E-2</v>
      </c>
      <c r="R8" s="86">
        <f t="shared" si="5"/>
        <v>6097601.8136448301</v>
      </c>
    </row>
    <row r="9" spans="1:18" ht="17.25" thickBot="1">
      <c r="A9" s="40" t="s">
        <v>155</v>
      </c>
      <c r="B9" s="11" t="s">
        <v>156</v>
      </c>
      <c r="C9" s="95">
        <v>1190</v>
      </c>
      <c r="D9" s="92">
        <v>4.2194093E-3</v>
      </c>
      <c r="E9" s="93">
        <v>2919626.3401708701</v>
      </c>
      <c r="F9" s="35"/>
      <c r="G9" s="50" t="s">
        <v>38</v>
      </c>
      <c r="H9" s="171" t="s">
        <v>37</v>
      </c>
      <c r="I9" s="172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211</v>
      </c>
      <c r="P9" s="39">
        <f t="shared" si="2"/>
        <v>7.47</v>
      </c>
      <c r="Q9" s="77">
        <f t="shared" si="3"/>
        <v>2.1887824899999998E-2</v>
      </c>
      <c r="R9" s="86">
        <f t="shared" si="5"/>
        <v>2577874051.3292875</v>
      </c>
    </row>
    <row r="10" spans="1:18">
      <c r="A10" s="40" t="s">
        <v>48</v>
      </c>
      <c r="B10" s="11" t="s">
        <v>49</v>
      </c>
      <c r="C10" s="95">
        <v>48774000</v>
      </c>
      <c r="D10" s="92">
        <v>3.4770084999999999E-3</v>
      </c>
      <c r="E10" s="93">
        <v>1038.8393464200001</v>
      </c>
      <c r="F10" s="35"/>
      <c r="G10" s="245">
        <f>_xlfn.IFNA(VLOOKUP(G7, $B$2:$D$200, 3, FALSE), "-")</f>
        <v>3.4770084999999999E-3</v>
      </c>
      <c r="H10" s="239">
        <f>_xlfn.IFNA(VLOOKUP(G7, $B$2:$D$200, 2, FALSE), "-")</f>
        <v>48774000</v>
      </c>
      <c r="I10" s="240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152</v>
      </c>
      <c r="P10" s="39">
        <f t="shared" si="2"/>
        <v>1770</v>
      </c>
      <c r="Q10" s="77">
        <f t="shared" si="3"/>
        <v>1.14285714E-2</v>
      </c>
      <c r="R10" s="90">
        <f t="shared" si="5"/>
        <v>5510229.4761804398</v>
      </c>
    </row>
    <row r="11" spans="1:18" ht="17.25" thickBot="1">
      <c r="A11" s="40" t="s">
        <v>147</v>
      </c>
      <c r="B11" s="11" t="s">
        <v>148</v>
      </c>
      <c r="C11" s="95">
        <v>74.7</v>
      </c>
      <c r="D11" s="92">
        <v>2.6845637999999999E-3</v>
      </c>
      <c r="E11" s="93">
        <v>50283057.962235928</v>
      </c>
      <c r="F11" s="35"/>
      <c r="G11" s="246"/>
      <c r="H11" s="241"/>
      <c r="I11" s="242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144</v>
      </c>
      <c r="P11" s="45">
        <f t="shared" si="2"/>
        <v>10.8</v>
      </c>
      <c r="Q11" s="80">
        <f t="shared" si="3"/>
        <v>9.3457943999999994E-3</v>
      </c>
      <c r="R11" s="99">
        <f t="shared" si="5"/>
        <v>137077473.98647463</v>
      </c>
    </row>
    <row r="12" spans="1:18" ht="17.25" thickBot="1">
      <c r="A12" s="40" t="s">
        <v>342</v>
      </c>
      <c r="B12" s="11" t="s">
        <v>343</v>
      </c>
      <c r="C12" s="95">
        <v>6085</v>
      </c>
      <c r="D12" s="92">
        <v>8.223684E-4</v>
      </c>
      <c r="E12" s="93">
        <v>581018.72027500998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337</v>
      </c>
      <c r="P12" s="39">
        <f t="shared" si="2"/>
        <v>13070</v>
      </c>
      <c r="Q12" s="77">
        <f t="shared" si="3"/>
        <v>7.7101002000000002E-3</v>
      </c>
      <c r="R12" s="86">
        <f t="shared" si="5"/>
        <v>1798289.85092628</v>
      </c>
    </row>
    <row r="13" spans="1:18" ht="17.25" thickBot="1">
      <c r="A13" s="40" t="s">
        <v>96</v>
      </c>
      <c r="B13" s="11" t="s">
        <v>97</v>
      </c>
      <c r="C13" s="95">
        <v>2.3E-3</v>
      </c>
      <c r="D13" s="92">
        <v>0</v>
      </c>
      <c r="E13" s="93">
        <v>474816570232.57129</v>
      </c>
      <c r="F13" s="35"/>
      <c r="G13" s="170" t="s">
        <v>69</v>
      </c>
      <c r="H13" s="171"/>
      <c r="I13" s="172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156</v>
      </c>
      <c r="P13" s="39">
        <f t="shared" si="2"/>
        <v>1190</v>
      </c>
      <c r="Q13" s="77">
        <f t="shared" si="3"/>
        <v>4.2194093E-3</v>
      </c>
      <c r="R13" s="86">
        <f t="shared" si="5"/>
        <v>2919626.3401708701</v>
      </c>
    </row>
    <row r="14" spans="1:18">
      <c r="A14" s="40" t="s">
        <v>53</v>
      </c>
      <c r="B14" s="11" t="s">
        <v>338</v>
      </c>
      <c r="C14" s="95">
        <v>259</v>
      </c>
      <c r="D14" s="92">
        <v>0</v>
      </c>
      <c r="E14" s="93">
        <v>3463915.3443442299</v>
      </c>
      <c r="F14" s="35"/>
      <c r="G14" s="179" t="s">
        <v>36</v>
      </c>
      <c r="H14" s="180"/>
      <c r="I14" s="181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49</v>
      </c>
      <c r="P14" s="39">
        <f t="shared" si="2"/>
        <v>48774000</v>
      </c>
      <c r="Q14" s="77">
        <f t="shared" si="3"/>
        <v>3.4770084999999999E-3</v>
      </c>
      <c r="R14" s="86">
        <f t="shared" si="5"/>
        <v>1038.8393464200001</v>
      </c>
    </row>
    <row r="15" spans="1:18" ht="17.25" thickBot="1">
      <c r="A15" s="40" t="s">
        <v>141</v>
      </c>
      <c r="B15" s="11" t="s">
        <v>142</v>
      </c>
      <c r="C15" s="95">
        <v>1740</v>
      </c>
      <c r="D15" s="92">
        <v>0</v>
      </c>
      <c r="E15" s="93">
        <v>5783387.45616131</v>
      </c>
      <c r="F15" s="35"/>
      <c r="G15" s="185"/>
      <c r="H15" s="186"/>
      <c r="I15" s="187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148</v>
      </c>
      <c r="P15" s="37">
        <f t="shared" si="2"/>
        <v>74.7</v>
      </c>
      <c r="Q15" s="79">
        <f t="shared" si="3"/>
        <v>2.6845637999999999E-3</v>
      </c>
      <c r="R15" s="87">
        <f t="shared" si="5"/>
        <v>50283057.962235928</v>
      </c>
    </row>
    <row r="16" spans="1:18" ht="17.25" thickBot="1">
      <c r="A16" s="40" t="s">
        <v>184</v>
      </c>
      <c r="B16" s="11" t="s">
        <v>185</v>
      </c>
      <c r="C16" s="95">
        <v>10.1</v>
      </c>
      <c r="D16" s="92">
        <v>0</v>
      </c>
      <c r="E16" s="93">
        <v>38204674.947638959</v>
      </c>
      <c r="F16" s="35"/>
      <c r="G16" s="50" t="s">
        <v>38</v>
      </c>
      <c r="H16" s="171" t="s">
        <v>37</v>
      </c>
      <c r="I16" s="172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343</v>
      </c>
      <c r="P16" s="38">
        <f t="shared" si="2"/>
        <v>6085</v>
      </c>
      <c r="Q16" s="76">
        <f t="shared" si="3"/>
        <v>8.223684E-4</v>
      </c>
      <c r="R16" s="85">
        <f t="shared" si="5"/>
        <v>581018.72027500998</v>
      </c>
    </row>
    <row r="17" spans="1:18">
      <c r="A17" s="40" t="s">
        <v>123</v>
      </c>
      <c r="B17" s="11" t="s">
        <v>124</v>
      </c>
      <c r="C17" s="95">
        <v>62</v>
      </c>
      <c r="D17" s="92">
        <v>-1.6103059999999999E-3</v>
      </c>
      <c r="E17" s="93">
        <v>44620048.478771299</v>
      </c>
      <c r="F17" s="35"/>
      <c r="G17" s="245">
        <f>_xlfn.IFNA(VLOOKUP(G14, $B$2:$D$200, 3, FALSE), "-")</f>
        <v>3.4770084999999999E-3</v>
      </c>
      <c r="H17" s="239">
        <f>_xlfn.IFNA(VLOOKUP(G14, $B$2:$D$200, 2, FALSE), "-")</f>
        <v>48774000</v>
      </c>
      <c r="I17" s="240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97</v>
      </c>
      <c r="P17" s="39">
        <f t="shared" si="2"/>
        <v>2.3E-3</v>
      </c>
      <c r="Q17" s="77">
        <f t="shared" si="3"/>
        <v>0</v>
      </c>
      <c r="R17" s="86">
        <f t="shared" si="5"/>
        <v>474816570232.57129</v>
      </c>
    </row>
    <row r="18" spans="1:18" ht="17.25" thickBot="1">
      <c r="A18" s="40" t="s">
        <v>114</v>
      </c>
      <c r="B18" s="11" t="s">
        <v>339</v>
      </c>
      <c r="C18" s="95">
        <v>504</v>
      </c>
      <c r="D18" s="92">
        <v>-1.9801979999999999E-3</v>
      </c>
      <c r="E18" s="93">
        <v>673958.87632405001</v>
      </c>
      <c r="F18" s="35"/>
      <c r="G18" s="246"/>
      <c r="H18" s="241"/>
      <c r="I18" s="242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338</v>
      </c>
      <c r="P18" s="39">
        <f t="shared" si="2"/>
        <v>259</v>
      </c>
      <c r="Q18" s="77">
        <f t="shared" si="3"/>
        <v>0</v>
      </c>
      <c r="R18" s="86">
        <f t="shared" si="5"/>
        <v>3463915.3443442299</v>
      </c>
    </row>
    <row r="19" spans="1:18" ht="17.25" thickBot="1">
      <c r="A19" s="40" t="s">
        <v>171</v>
      </c>
      <c r="B19" s="11" t="s">
        <v>172</v>
      </c>
      <c r="C19" s="95">
        <v>905</v>
      </c>
      <c r="D19" s="92">
        <v>-2.2050717000000001E-3</v>
      </c>
      <c r="E19" s="93">
        <v>1287980.5929801001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142</v>
      </c>
      <c r="P19" s="39">
        <f t="shared" si="2"/>
        <v>1740</v>
      </c>
      <c r="Q19" s="77">
        <f t="shared" si="3"/>
        <v>0</v>
      </c>
      <c r="R19" s="86">
        <f t="shared" si="5"/>
        <v>5783387.45616131</v>
      </c>
    </row>
    <row r="20" spans="1:18" ht="17.25" thickBot="1">
      <c r="A20" s="40" t="s">
        <v>236</v>
      </c>
      <c r="B20" s="11" t="s">
        <v>237</v>
      </c>
      <c r="C20" s="95">
        <v>582</v>
      </c>
      <c r="D20" s="92">
        <v>-3.4246575E-3</v>
      </c>
      <c r="E20" s="93">
        <v>77277376.137526616</v>
      </c>
      <c r="F20" s="35"/>
      <c r="G20" s="170" t="s">
        <v>251</v>
      </c>
      <c r="H20" s="171"/>
      <c r="I20" s="172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185</v>
      </c>
      <c r="P20" s="39">
        <f t="shared" si="2"/>
        <v>10.1</v>
      </c>
      <c r="Q20" s="77">
        <f t="shared" si="3"/>
        <v>0</v>
      </c>
      <c r="R20" s="90">
        <f t="shared" si="5"/>
        <v>38204674.947638959</v>
      </c>
    </row>
    <row r="21" spans="1:18">
      <c r="A21" s="40" t="s">
        <v>92</v>
      </c>
      <c r="B21" s="11" t="s">
        <v>93</v>
      </c>
      <c r="C21" s="95">
        <v>3278000</v>
      </c>
      <c r="D21" s="92">
        <v>-3.6474163999999998E-3</v>
      </c>
      <c r="E21" s="93">
        <v>7900.0464844999997</v>
      </c>
      <c r="F21" s="35"/>
      <c r="G21" s="179" t="s">
        <v>36</v>
      </c>
      <c r="H21" s="180"/>
      <c r="I21" s="181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124</v>
      </c>
      <c r="P21" s="45">
        <f t="shared" si="2"/>
        <v>62</v>
      </c>
      <c r="Q21" s="80">
        <f t="shared" si="3"/>
        <v>-1.6103059999999999E-3</v>
      </c>
      <c r="R21" s="99">
        <f t="shared" si="5"/>
        <v>44620048.478771299</v>
      </c>
    </row>
    <row r="22" spans="1:18" ht="17.25" thickBot="1">
      <c r="A22" s="40" t="s">
        <v>86</v>
      </c>
      <c r="B22" s="11" t="s">
        <v>87</v>
      </c>
      <c r="C22" s="95">
        <v>99970</v>
      </c>
      <c r="D22" s="92">
        <v>-3.7867463999999998E-3</v>
      </c>
      <c r="E22" s="93">
        <v>4498.2722765999997</v>
      </c>
      <c r="F22" s="35"/>
      <c r="G22" s="185"/>
      <c r="H22" s="186"/>
      <c r="I22" s="187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339</v>
      </c>
      <c r="P22" s="39">
        <f t="shared" si="2"/>
        <v>504</v>
      </c>
      <c r="Q22" s="77">
        <f t="shared" si="3"/>
        <v>-1.9801979999999999E-3</v>
      </c>
      <c r="R22" s="86">
        <f t="shared" si="5"/>
        <v>673958.87632405001</v>
      </c>
    </row>
    <row r="23" spans="1:18" ht="17.25" thickBot="1">
      <c r="A23" s="40" t="s">
        <v>202</v>
      </c>
      <c r="B23" s="11" t="s">
        <v>203</v>
      </c>
      <c r="C23" s="95">
        <v>7.62</v>
      </c>
      <c r="D23" s="92">
        <v>-5.2219320999999999E-3</v>
      </c>
      <c r="E23" s="93">
        <v>492874066.79517651</v>
      </c>
      <c r="F23" s="35"/>
      <c r="G23" s="50" t="s">
        <v>38</v>
      </c>
      <c r="H23" s="171" t="s">
        <v>37</v>
      </c>
      <c r="I23" s="172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172</v>
      </c>
      <c r="P23" s="39">
        <f t="shared" si="2"/>
        <v>905</v>
      </c>
      <c r="Q23" s="77">
        <f t="shared" si="3"/>
        <v>-2.2050717000000001E-3</v>
      </c>
      <c r="R23" s="86">
        <f t="shared" si="5"/>
        <v>1287980.5929801001</v>
      </c>
    </row>
    <row r="24" spans="1:18">
      <c r="A24" s="40" t="s">
        <v>334</v>
      </c>
      <c r="B24" s="11" t="s">
        <v>335</v>
      </c>
      <c r="C24" s="95">
        <v>1850</v>
      </c>
      <c r="D24" s="92">
        <v>-5.3763441000000004E-3</v>
      </c>
      <c r="E24" s="93">
        <v>2179829.91865505</v>
      </c>
      <c r="F24" s="35"/>
      <c r="G24" s="245">
        <f>_xlfn.IFNA(VLOOKUP(G21, $B$2:$D$200, 3, FALSE), "-")</f>
        <v>3.4770084999999999E-3</v>
      </c>
      <c r="H24" s="239">
        <f>_xlfn.IFNA(VLOOKUP(G21, $B$2:$D$200, 2, FALSE), "-")</f>
        <v>48774000</v>
      </c>
      <c r="I24" s="240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237</v>
      </c>
      <c r="P24" s="39">
        <f t="shared" si="2"/>
        <v>582</v>
      </c>
      <c r="Q24" s="77">
        <f t="shared" si="3"/>
        <v>-3.4246575E-3</v>
      </c>
      <c r="R24" s="86">
        <f t="shared" si="5"/>
        <v>77277376.137526616</v>
      </c>
    </row>
    <row r="25" spans="1:18" ht="17.25" thickBot="1">
      <c r="A25" s="40" t="s">
        <v>328</v>
      </c>
      <c r="B25" s="11" t="s">
        <v>329</v>
      </c>
      <c r="C25" s="95">
        <v>94050</v>
      </c>
      <c r="D25" s="92">
        <v>-5.6037216999999997E-3</v>
      </c>
      <c r="E25" s="93">
        <v>41563.386251290001</v>
      </c>
      <c r="F25" s="35"/>
      <c r="G25" s="246"/>
      <c r="H25" s="241"/>
      <c r="I25" s="242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93</v>
      </c>
      <c r="P25" s="37">
        <f t="shared" si="2"/>
        <v>3278000</v>
      </c>
      <c r="Q25" s="79">
        <f t="shared" si="3"/>
        <v>-3.6474163999999998E-3</v>
      </c>
      <c r="R25" s="87">
        <f t="shared" si="5"/>
        <v>7900.0464844999997</v>
      </c>
    </row>
    <row r="26" spans="1:18">
      <c r="A26" s="40" t="s">
        <v>76</v>
      </c>
      <c r="B26" s="11" t="s">
        <v>77</v>
      </c>
      <c r="C26" s="95">
        <v>360900</v>
      </c>
      <c r="D26" s="92">
        <v>-5.785124E-3</v>
      </c>
      <c r="E26" s="93">
        <v>1674.64615486</v>
      </c>
      <c r="F26" s="35"/>
    </row>
    <row r="27" spans="1:18" ht="17.25" thickBot="1">
      <c r="A27" s="40" t="s">
        <v>228</v>
      </c>
      <c r="B27" s="11" t="s">
        <v>229</v>
      </c>
      <c r="C27" s="95">
        <v>51.2</v>
      </c>
      <c r="D27" s="92">
        <v>-5.8252427000000002E-3</v>
      </c>
      <c r="E27" s="93">
        <v>27939765.042374969</v>
      </c>
      <c r="F27" s="35"/>
    </row>
    <row r="28" spans="1:18" ht="17.25" thickBot="1">
      <c r="A28" s="40" t="s">
        <v>145</v>
      </c>
      <c r="B28" s="11" t="s">
        <v>146</v>
      </c>
      <c r="C28" s="95">
        <v>8.3800000000000008</v>
      </c>
      <c r="D28" s="92">
        <v>-5.9311981E-3</v>
      </c>
      <c r="E28" s="93">
        <v>375325963.01437742</v>
      </c>
      <c r="F28" s="35"/>
      <c r="G28" s="170" t="s">
        <v>46</v>
      </c>
      <c r="H28" s="171"/>
      <c r="I28" s="171"/>
      <c r="J28" s="172"/>
      <c r="K28" s="170" t="s">
        <v>44</v>
      </c>
      <c r="L28" s="171"/>
      <c r="M28" s="171"/>
      <c r="N28" s="172"/>
      <c r="O28" s="170" t="s">
        <v>45</v>
      </c>
      <c r="P28" s="171"/>
      <c r="Q28" s="171"/>
      <c r="R28" s="172"/>
    </row>
    <row r="29" spans="1:18" ht="17.25" thickBot="1">
      <c r="A29" s="40" t="s">
        <v>82</v>
      </c>
      <c r="B29" s="11" t="s">
        <v>83</v>
      </c>
      <c r="C29" s="95">
        <v>2510</v>
      </c>
      <c r="D29" s="92">
        <v>-5.9405941E-3</v>
      </c>
      <c r="E29" s="93">
        <v>1438673.32716412</v>
      </c>
      <c r="F29" s="35"/>
      <c r="G29" s="235" t="s">
        <v>54</v>
      </c>
      <c r="H29" s="247">
        <f ca="1">NOW()</f>
        <v>44626.614851388891</v>
      </c>
      <c r="I29" s="248"/>
      <c r="J29" s="249"/>
      <c r="K29" s="238" t="s">
        <v>54</v>
      </c>
      <c r="L29" s="247">
        <f ca="1">NOW()</f>
        <v>44626.614851388891</v>
      </c>
      <c r="M29" s="248"/>
      <c r="N29" s="249"/>
      <c r="O29" s="238" t="s">
        <v>54</v>
      </c>
      <c r="P29" s="247">
        <f ca="1">NOW()</f>
        <v>44626.614851388891</v>
      </c>
      <c r="Q29" s="248"/>
      <c r="R29" s="249"/>
    </row>
    <row r="30" spans="1:18" ht="17.25" thickBot="1">
      <c r="A30" s="40" t="s">
        <v>67</v>
      </c>
      <c r="B30" s="11" t="s">
        <v>68</v>
      </c>
      <c r="C30" s="95">
        <v>2300</v>
      </c>
      <c r="D30" s="92">
        <v>-6.4794815999999998E-3</v>
      </c>
      <c r="E30" s="93">
        <v>522618.15121498</v>
      </c>
      <c r="F30" s="35"/>
      <c r="G30" s="232"/>
      <c r="H30" s="51" t="s">
        <v>57</v>
      </c>
      <c r="I30" s="73" t="s">
        <v>58</v>
      </c>
      <c r="J30" s="69" t="s">
        <v>259</v>
      </c>
      <c r="K30" s="187"/>
      <c r="L30" s="51" t="s">
        <v>57</v>
      </c>
      <c r="M30" s="73" t="s">
        <v>58</v>
      </c>
      <c r="N30" s="91" t="s">
        <v>259</v>
      </c>
      <c r="O30" s="187"/>
      <c r="P30" s="51" t="s">
        <v>57</v>
      </c>
      <c r="Q30" s="73" t="s">
        <v>58</v>
      </c>
      <c r="R30" s="91" t="s">
        <v>259</v>
      </c>
    </row>
    <row r="31" spans="1:18">
      <c r="A31" s="40" t="s">
        <v>192</v>
      </c>
      <c r="B31" s="11" t="s">
        <v>193</v>
      </c>
      <c r="C31" s="95">
        <v>7125</v>
      </c>
      <c r="D31" s="92">
        <v>-6.9686410999999998E-3</v>
      </c>
      <c r="E31" s="93">
        <v>1720484.2963711801</v>
      </c>
      <c r="F31" s="35"/>
      <c r="G31" s="52" t="s">
        <v>140</v>
      </c>
      <c r="H31" s="38">
        <f t="shared" ref="H31:H50" si="6">_xlfn.IFNA(VLOOKUP(G31, $B$2:$D$200, 2, FALSE), "")</f>
        <v>87.1</v>
      </c>
      <c r="I31" s="76">
        <f t="shared" ref="I31:I50" si="7">_xlfn.IFNA(VLOOKUP(G31, $B$2:$D$200, 3, FALSE), "")</f>
        <v>6.3492063500000001E-2</v>
      </c>
      <c r="J31" s="85">
        <f>_xlfn.IFNA(VLOOKUP(G31, $B$2:$E$200, 4, FALSE), "")</f>
        <v>490079445.64157683</v>
      </c>
      <c r="K31" s="81" t="s">
        <v>140</v>
      </c>
      <c r="L31" s="38">
        <f t="shared" ref="L31:L50" si="8">_xlfn.IFNA(VLOOKUP(K31, $B$2:$D$200, 2, FALSE), "")</f>
        <v>87.1</v>
      </c>
      <c r="M31" s="76">
        <f t="shared" ref="M31:M50" si="9">_xlfn.IFNA(VLOOKUP(K31, $B$2:$D$200, 3, FALSE), "")</f>
        <v>6.3492063500000001E-2</v>
      </c>
      <c r="N31" s="85">
        <f>_xlfn.IFNA(VLOOKUP(K31, $B$2:$E$200, 4, FALSE), "")</f>
        <v>490079445.64157683</v>
      </c>
      <c r="O31" s="81" t="s">
        <v>338</v>
      </c>
      <c r="P31" s="38">
        <f t="shared" ref="P31:P50" si="10">_xlfn.IFNA(VLOOKUP(O31, $B$2:$D$200, 2, FALSE), "")</f>
        <v>259</v>
      </c>
      <c r="Q31" s="76">
        <f t="shared" ref="Q31:Q50" si="11">_xlfn.IFNA(VLOOKUP(O31, $B$2:$D$200, 3, FALSE), "")</f>
        <v>0</v>
      </c>
      <c r="R31" s="85">
        <f>_xlfn.IFNA(VLOOKUP(O31, $B$2:$E$200, 4, FALSE), "")</f>
        <v>3463915.3443442299</v>
      </c>
    </row>
    <row r="32" spans="1:18">
      <c r="A32" s="40" t="s">
        <v>108</v>
      </c>
      <c r="B32" s="11" t="s">
        <v>109</v>
      </c>
      <c r="C32" s="95">
        <v>3520</v>
      </c>
      <c r="D32" s="92">
        <v>-7.0521862000000003E-3</v>
      </c>
      <c r="E32" s="93">
        <v>552048.11189975997</v>
      </c>
      <c r="F32" s="35"/>
      <c r="G32" s="47" t="s">
        <v>154</v>
      </c>
      <c r="H32" s="39">
        <f t="shared" si="6"/>
        <v>22330</v>
      </c>
      <c r="I32" s="77">
        <f t="shared" si="7"/>
        <v>4.6391752600000002E-2</v>
      </c>
      <c r="J32" s="86">
        <f t="shared" ref="J32:J50" si="12">_xlfn.IFNA(VLOOKUP(G32, $B$2:$E$200, 4, FALSE), "")</f>
        <v>4531674.8456493896</v>
      </c>
      <c r="K32" s="82" t="s">
        <v>211</v>
      </c>
      <c r="L32" s="39">
        <f t="shared" si="8"/>
        <v>7.47</v>
      </c>
      <c r="M32" s="77">
        <f t="shared" si="9"/>
        <v>2.1887824899999998E-2</v>
      </c>
      <c r="N32" s="86">
        <f t="shared" ref="N32:N50" si="13">_xlfn.IFNA(VLOOKUP(K32, $B$2:$E$200, 4, FALSE), "")</f>
        <v>2577874051.3292875</v>
      </c>
      <c r="O32" s="82" t="s">
        <v>339</v>
      </c>
      <c r="P32" s="39">
        <f t="shared" si="10"/>
        <v>504</v>
      </c>
      <c r="Q32" s="77">
        <f t="shared" si="11"/>
        <v>-1.9801979999999999E-3</v>
      </c>
      <c r="R32" s="86">
        <f t="shared" ref="R32:R50" si="14">_xlfn.IFNA(VLOOKUP(O32, $B$2:$E$200, 4, FALSE), "")</f>
        <v>673958.87632405001</v>
      </c>
    </row>
    <row r="33" spans="1:18">
      <c r="A33" s="40" t="s">
        <v>212</v>
      </c>
      <c r="B33" s="11" t="s">
        <v>213</v>
      </c>
      <c r="C33" s="95">
        <v>279</v>
      </c>
      <c r="D33" s="92">
        <v>-7.1174376999999997E-3</v>
      </c>
      <c r="E33" s="93">
        <v>3239654.1353928498</v>
      </c>
      <c r="F33" s="35"/>
      <c r="G33" s="47" t="s">
        <v>132</v>
      </c>
      <c r="H33" s="39">
        <f t="shared" si="6"/>
        <v>3000</v>
      </c>
      <c r="I33" s="77">
        <f t="shared" si="7"/>
        <v>3.4482758600000003E-2</v>
      </c>
      <c r="J33" s="86">
        <f t="shared" si="12"/>
        <v>6097601.8136448301</v>
      </c>
      <c r="K33" s="82" t="s">
        <v>144</v>
      </c>
      <c r="L33" s="39">
        <f t="shared" si="8"/>
        <v>10.8</v>
      </c>
      <c r="M33" s="77">
        <f t="shared" si="9"/>
        <v>9.3457943999999994E-3</v>
      </c>
      <c r="N33" s="86">
        <f t="shared" si="13"/>
        <v>137077473.98647463</v>
      </c>
      <c r="O33" s="82" t="s">
        <v>172</v>
      </c>
      <c r="P33" s="39">
        <f t="shared" si="10"/>
        <v>905</v>
      </c>
      <c r="Q33" s="77">
        <f t="shared" si="11"/>
        <v>-2.2050717000000001E-3</v>
      </c>
      <c r="R33" s="86">
        <f t="shared" si="14"/>
        <v>1287980.5929801001</v>
      </c>
    </row>
    <row r="34" spans="1:18">
      <c r="A34" s="40" t="s">
        <v>194</v>
      </c>
      <c r="B34" s="11" t="s">
        <v>195</v>
      </c>
      <c r="C34" s="95">
        <v>123</v>
      </c>
      <c r="D34" s="92">
        <v>-8.0645161000000003E-3</v>
      </c>
      <c r="E34" s="93">
        <v>4494429.9994486598</v>
      </c>
      <c r="F34" s="35"/>
      <c r="G34" s="47" t="s">
        <v>211</v>
      </c>
      <c r="H34" s="39">
        <f t="shared" si="6"/>
        <v>7.47</v>
      </c>
      <c r="I34" s="77">
        <f t="shared" si="7"/>
        <v>2.1887824899999998E-2</v>
      </c>
      <c r="J34" s="86">
        <f t="shared" si="12"/>
        <v>2577874051.3292875</v>
      </c>
      <c r="K34" s="82" t="s">
        <v>148</v>
      </c>
      <c r="L34" s="39">
        <f t="shared" si="8"/>
        <v>74.7</v>
      </c>
      <c r="M34" s="77">
        <f t="shared" si="9"/>
        <v>2.6845637999999999E-3</v>
      </c>
      <c r="N34" s="86">
        <f t="shared" si="13"/>
        <v>50283057.962235928</v>
      </c>
      <c r="O34" s="82" t="s">
        <v>237</v>
      </c>
      <c r="P34" s="39">
        <f t="shared" si="10"/>
        <v>582</v>
      </c>
      <c r="Q34" s="77">
        <f t="shared" si="11"/>
        <v>-3.4246575E-3</v>
      </c>
      <c r="R34" s="86">
        <f t="shared" si="14"/>
        <v>77277376.137526616</v>
      </c>
    </row>
    <row r="35" spans="1:18">
      <c r="A35" s="40" t="s">
        <v>110</v>
      </c>
      <c r="B35" s="11" t="s">
        <v>111</v>
      </c>
      <c r="C35" s="95">
        <v>3685</v>
      </c>
      <c r="D35" s="92">
        <v>-8.0753700999999997E-3</v>
      </c>
      <c r="E35" s="93">
        <v>9578321.9321507402</v>
      </c>
      <c r="F35" s="35"/>
      <c r="G35" s="47" t="s">
        <v>152</v>
      </c>
      <c r="H35" s="44">
        <f t="shared" si="6"/>
        <v>1770</v>
      </c>
      <c r="I35" s="78">
        <f t="shared" si="7"/>
        <v>1.14285714E-2</v>
      </c>
      <c r="J35" s="90">
        <f t="shared" si="12"/>
        <v>5510229.4761804398</v>
      </c>
      <c r="K35" s="83" t="s">
        <v>97</v>
      </c>
      <c r="L35" s="44">
        <f t="shared" si="8"/>
        <v>2.3E-3</v>
      </c>
      <c r="M35" s="78">
        <f t="shared" si="9"/>
        <v>0</v>
      </c>
      <c r="N35" s="90">
        <f t="shared" si="13"/>
        <v>474816570232.57129</v>
      </c>
      <c r="O35" s="83" t="s">
        <v>213</v>
      </c>
      <c r="P35" s="44">
        <f t="shared" si="10"/>
        <v>279</v>
      </c>
      <c r="Q35" s="78">
        <f t="shared" si="11"/>
        <v>-7.1174376999999997E-3</v>
      </c>
      <c r="R35" s="90">
        <f t="shared" si="14"/>
        <v>3239654.1353928498</v>
      </c>
    </row>
    <row r="36" spans="1:18">
      <c r="A36" s="40" t="s">
        <v>127</v>
      </c>
      <c r="B36" s="11" t="s">
        <v>128</v>
      </c>
      <c r="C36" s="95">
        <v>48.7</v>
      </c>
      <c r="D36" s="92">
        <v>-8.1466395000000004E-3</v>
      </c>
      <c r="E36" s="93">
        <v>39214205.700187609</v>
      </c>
      <c r="F36" s="35"/>
      <c r="G36" s="49" t="s">
        <v>144</v>
      </c>
      <c r="H36" s="39">
        <f t="shared" si="6"/>
        <v>10.8</v>
      </c>
      <c r="I36" s="77">
        <f t="shared" si="7"/>
        <v>9.3457943999999994E-3</v>
      </c>
      <c r="J36" s="99">
        <f t="shared" si="12"/>
        <v>137077473.98647463</v>
      </c>
      <c r="K36" s="82" t="s">
        <v>185</v>
      </c>
      <c r="L36" s="39">
        <f t="shared" si="8"/>
        <v>10.1</v>
      </c>
      <c r="M36" s="77">
        <f t="shared" si="9"/>
        <v>0</v>
      </c>
      <c r="N36" s="99">
        <f t="shared" si="13"/>
        <v>38204674.947638959</v>
      </c>
      <c r="O36" s="82" t="s">
        <v>195</v>
      </c>
      <c r="P36" s="39">
        <f t="shared" si="10"/>
        <v>123</v>
      </c>
      <c r="Q36" s="77">
        <f t="shared" si="11"/>
        <v>-8.0645161000000003E-3</v>
      </c>
      <c r="R36" s="99">
        <f t="shared" si="14"/>
        <v>4494429.9994486598</v>
      </c>
    </row>
    <row r="37" spans="1:18">
      <c r="A37" s="40" t="s">
        <v>55</v>
      </c>
      <c r="B37" s="11" t="s">
        <v>56</v>
      </c>
      <c r="C37" s="95">
        <v>120</v>
      </c>
      <c r="D37" s="92">
        <v>-8.2644628000000005E-3</v>
      </c>
      <c r="E37" s="93">
        <v>3253314.8251225902</v>
      </c>
      <c r="F37" s="35"/>
      <c r="G37" s="47" t="s">
        <v>337</v>
      </c>
      <c r="H37" s="39">
        <f t="shared" si="6"/>
        <v>13070</v>
      </c>
      <c r="I37" s="77">
        <f t="shared" si="7"/>
        <v>7.7101002000000002E-3</v>
      </c>
      <c r="J37" s="86">
        <f t="shared" si="12"/>
        <v>1798289.85092628</v>
      </c>
      <c r="K37" s="82" t="s">
        <v>124</v>
      </c>
      <c r="L37" s="39">
        <f t="shared" si="8"/>
        <v>62</v>
      </c>
      <c r="M37" s="77">
        <f t="shared" si="9"/>
        <v>-1.6103059999999999E-3</v>
      </c>
      <c r="N37" s="86">
        <f t="shared" si="13"/>
        <v>44620048.478771299</v>
      </c>
      <c r="O37" s="82" t="s">
        <v>56</v>
      </c>
      <c r="P37" s="39">
        <f t="shared" si="10"/>
        <v>120</v>
      </c>
      <c r="Q37" s="77">
        <f t="shared" si="11"/>
        <v>-8.2644628000000005E-3</v>
      </c>
      <c r="R37" s="86">
        <f t="shared" si="14"/>
        <v>3253314.8251225902</v>
      </c>
    </row>
    <row r="38" spans="1:18">
      <c r="A38" s="40" t="s">
        <v>196</v>
      </c>
      <c r="B38" s="11" t="s">
        <v>197</v>
      </c>
      <c r="C38" s="95">
        <v>46.9</v>
      </c>
      <c r="D38" s="92">
        <v>-8.4566595999999994E-3</v>
      </c>
      <c r="E38" s="93">
        <v>18380328.330207489</v>
      </c>
      <c r="F38" s="35"/>
      <c r="G38" s="47" t="s">
        <v>156</v>
      </c>
      <c r="H38" s="39">
        <f t="shared" si="6"/>
        <v>1190</v>
      </c>
      <c r="I38" s="77">
        <f t="shared" si="7"/>
        <v>4.2194093E-3</v>
      </c>
      <c r="J38" s="86">
        <f t="shared" si="12"/>
        <v>2919626.3401708701</v>
      </c>
      <c r="K38" s="82" t="s">
        <v>203</v>
      </c>
      <c r="L38" s="39">
        <f t="shared" si="8"/>
        <v>7.62</v>
      </c>
      <c r="M38" s="77">
        <f t="shared" si="9"/>
        <v>-5.2219320999999999E-3</v>
      </c>
      <c r="N38" s="86">
        <f t="shared" si="13"/>
        <v>492874066.79517651</v>
      </c>
      <c r="O38" s="82" t="s">
        <v>235</v>
      </c>
      <c r="P38" s="39">
        <f t="shared" si="10"/>
        <v>110</v>
      </c>
      <c r="Q38" s="77">
        <f t="shared" si="11"/>
        <v>-9.0090090000000001E-3</v>
      </c>
      <c r="R38" s="86">
        <f t="shared" si="14"/>
        <v>25056286.496166412</v>
      </c>
    </row>
    <row r="39" spans="1:18">
      <c r="A39" s="40" t="s">
        <v>198</v>
      </c>
      <c r="B39" s="11" t="s">
        <v>199</v>
      </c>
      <c r="C39" s="95">
        <v>11.1</v>
      </c>
      <c r="D39" s="92">
        <v>-8.9285713999999999E-3</v>
      </c>
      <c r="E39" s="93">
        <v>32042633.183644772</v>
      </c>
      <c r="F39" s="35"/>
      <c r="G39" s="47" t="s">
        <v>49</v>
      </c>
      <c r="H39" s="39">
        <f t="shared" si="6"/>
        <v>48774000</v>
      </c>
      <c r="I39" s="77">
        <f t="shared" si="7"/>
        <v>3.4770084999999999E-3</v>
      </c>
      <c r="J39" s="86">
        <f t="shared" si="12"/>
        <v>1038.8393464200001</v>
      </c>
      <c r="K39" s="82" t="s">
        <v>229</v>
      </c>
      <c r="L39" s="39">
        <f t="shared" si="8"/>
        <v>51.2</v>
      </c>
      <c r="M39" s="77">
        <f t="shared" si="9"/>
        <v>-5.8252427000000002E-3</v>
      </c>
      <c r="N39" s="86">
        <f t="shared" si="13"/>
        <v>27939765.042374969</v>
      </c>
      <c r="O39" s="82" t="s">
        <v>107</v>
      </c>
      <c r="P39" s="39">
        <f t="shared" si="10"/>
        <v>110</v>
      </c>
      <c r="Q39" s="77">
        <f t="shared" si="11"/>
        <v>-9.0090090000000001E-3</v>
      </c>
      <c r="R39" s="86">
        <f t="shared" si="14"/>
        <v>8322176.4685224704</v>
      </c>
    </row>
    <row r="40" spans="1:18" ht="17.25" thickBot="1">
      <c r="A40" s="40" t="s">
        <v>234</v>
      </c>
      <c r="B40" s="11" t="s">
        <v>235</v>
      </c>
      <c r="C40" s="95">
        <v>110</v>
      </c>
      <c r="D40" s="92">
        <v>-9.0090090000000001E-3</v>
      </c>
      <c r="E40" s="93">
        <v>25056286.496166412</v>
      </c>
      <c r="F40" s="35"/>
      <c r="G40" s="53" t="s">
        <v>148</v>
      </c>
      <c r="H40" s="37">
        <f t="shared" si="6"/>
        <v>74.7</v>
      </c>
      <c r="I40" s="79">
        <f t="shared" si="7"/>
        <v>2.6845637999999999E-3</v>
      </c>
      <c r="J40" s="87">
        <f t="shared" si="12"/>
        <v>50283057.962235928</v>
      </c>
      <c r="K40" s="84" t="s">
        <v>146</v>
      </c>
      <c r="L40" s="37">
        <f t="shared" si="8"/>
        <v>8.3800000000000008</v>
      </c>
      <c r="M40" s="79">
        <f t="shared" si="9"/>
        <v>-5.9311981E-3</v>
      </c>
      <c r="N40" s="87">
        <f t="shared" si="13"/>
        <v>375325963.01437742</v>
      </c>
      <c r="O40" s="84" t="s">
        <v>331</v>
      </c>
      <c r="P40" s="37">
        <f t="shared" si="10"/>
        <v>947</v>
      </c>
      <c r="Q40" s="79">
        <f t="shared" si="11"/>
        <v>-9.4142258999999999E-3</v>
      </c>
      <c r="R40" s="87">
        <f t="shared" si="14"/>
        <v>3831655.75720408</v>
      </c>
    </row>
    <row r="41" spans="1:18">
      <c r="A41" s="40" t="s">
        <v>106</v>
      </c>
      <c r="B41" s="11" t="s">
        <v>107</v>
      </c>
      <c r="C41" s="95">
        <v>110</v>
      </c>
      <c r="D41" s="92">
        <v>-9.0090090000000001E-3</v>
      </c>
      <c r="E41" s="93">
        <v>8322176.4685224704</v>
      </c>
      <c r="F41" s="35"/>
      <c r="G41" s="52" t="s">
        <v>343</v>
      </c>
      <c r="H41" s="38">
        <f t="shared" si="6"/>
        <v>6085</v>
      </c>
      <c r="I41" s="76">
        <f t="shared" si="7"/>
        <v>8.223684E-4</v>
      </c>
      <c r="J41" s="85">
        <f t="shared" si="12"/>
        <v>581018.72027500998</v>
      </c>
      <c r="K41" s="81" t="s">
        <v>128</v>
      </c>
      <c r="L41" s="38">
        <f t="shared" si="8"/>
        <v>48.7</v>
      </c>
      <c r="M41" s="76">
        <f t="shared" si="9"/>
        <v>-8.1466395000000004E-3</v>
      </c>
      <c r="N41" s="85">
        <f t="shared" si="13"/>
        <v>39214205.700187609</v>
      </c>
      <c r="O41" s="81" t="s">
        <v>103</v>
      </c>
      <c r="P41" s="38">
        <f t="shared" si="10"/>
        <v>614</v>
      </c>
      <c r="Q41" s="76">
        <f t="shared" si="11"/>
        <v>-9.6774193999999997E-3</v>
      </c>
      <c r="R41" s="85">
        <f t="shared" si="14"/>
        <v>976253.57992809999</v>
      </c>
    </row>
    <row r="42" spans="1:18">
      <c r="A42" s="40" t="s">
        <v>80</v>
      </c>
      <c r="B42" s="11" t="s">
        <v>81</v>
      </c>
      <c r="C42" s="95">
        <v>1080</v>
      </c>
      <c r="D42" s="92">
        <v>-9.1743119000000008E-3</v>
      </c>
      <c r="E42" s="93">
        <v>2511142.6821911298</v>
      </c>
      <c r="F42" s="35"/>
      <c r="G42" s="47" t="s">
        <v>97</v>
      </c>
      <c r="H42" s="39">
        <f t="shared" si="6"/>
        <v>2.3E-3</v>
      </c>
      <c r="I42" s="77">
        <f t="shared" si="7"/>
        <v>0</v>
      </c>
      <c r="J42" s="86">
        <f t="shared" si="12"/>
        <v>474816570232.57129</v>
      </c>
      <c r="K42" s="82" t="s">
        <v>197</v>
      </c>
      <c r="L42" s="39">
        <f t="shared" si="8"/>
        <v>46.9</v>
      </c>
      <c r="M42" s="77">
        <f t="shared" si="9"/>
        <v>-8.4566595999999994E-3</v>
      </c>
      <c r="N42" s="86">
        <f t="shared" si="13"/>
        <v>18380328.330207489</v>
      </c>
      <c r="O42" s="82" t="s">
        <v>134</v>
      </c>
      <c r="P42" s="39">
        <f t="shared" si="10"/>
        <v>193</v>
      </c>
      <c r="Q42" s="77">
        <f t="shared" si="11"/>
        <v>-1.0256410299999999E-2</v>
      </c>
      <c r="R42" s="86">
        <f t="shared" si="14"/>
        <v>6037479.8638685299</v>
      </c>
    </row>
    <row r="43" spans="1:18">
      <c r="A43" s="40" t="s">
        <v>121</v>
      </c>
      <c r="B43" s="11" t="s">
        <v>122</v>
      </c>
      <c r="C43" s="95">
        <v>128100</v>
      </c>
      <c r="D43" s="92">
        <v>-9.2807424999999995E-3</v>
      </c>
      <c r="E43" s="93">
        <v>8360.4586843199995</v>
      </c>
      <c r="F43" s="35"/>
      <c r="G43" s="47" t="s">
        <v>338</v>
      </c>
      <c r="H43" s="39">
        <f t="shared" si="6"/>
        <v>259</v>
      </c>
      <c r="I43" s="77">
        <f t="shared" si="7"/>
        <v>0</v>
      </c>
      <c r="J43" s="86">
        <f t="shared" si="12"/>
        <v>3463915.3443442299</v>
      </c>
      <c r="K43" s="82" t="s">
        <v>199</v>
      </c>
      <c r="L43" s="39">
        <f t="shared" si="8"/>
        <v>11.1</v>
      </c>
      <c r="M43" s="77">
        <f t="shared" si="9"/>
        <v>-8.9285713999999999E-3</v>
      </c>
      <c r="N43" s="86">
        <f t="shared" si="13"/>
        <v>32042633.183644772</v>
      </c>
      <c r="O43" s="82" t="s">
        <v>89</v>
      </c>
      <c r="P43" s="39">
        <f t="shared" si="10"/>
        <v>921</v>
      </c>
      <c r="Q43" s="77">
        <f t="shared" si="11"/>
        <v>-1.07411386E-2</v>
      </c>
      <c r="R43" s="86">
        <f t="shared" si="14"/>
        <v>92853974.205019817</v>
      </c>
    </row>
    <row r="44" spans="1:18">
      <c r="A44" s="40" t="s">
        <v>175</v>
      </c>
      <c r="B44" s="11" t="s">
        <v>176</v>
      </c>
      <c r="C44" s="95">
        <v>7445</v>
      </c>
      <c r="D44" s="92">
        <v>-9.3147039000000004E-3</v>
      </c>
      <c r="E44" s="93">
        <v>170371.73624403001</v>
      </c>
      <c r="F44" s="35"/>
      <c r="G44" s="47" t="s">
        <v>142</v>
      </c>
      <c r="H44" s="39">
        <f t="shared" si="6"/>
        <v>1740</v>
      </c>
      <c r="I44" s="77">
        <f t="shared" si="7"/>
        <v>0</v>
      </c>
      <c r="J44" s="86">
        <f t="shared" si="12"/>
        <v>5783387.45616131</v>
      </c>
      <c r="K44" s="82" t="s">
        <v>126</v>
      </c>
      <c r="L44" s="39">
        <f t="shared" si="8"/>
        <v>83.7</v>
      </c>
      <c r="M44" s="77">
        <f t="shared" si="9"/>
        <v>-9.4674556000000007E-3</v>
      </c>
      <c r="N44" s="86">
        <f t="shared" si="13"/>
        <v>14617442.288682999</v>
      </c>
      <c r="O44" s="82" t="s">
        <v>120</v>
      </c>
      <c r="P44" s="39">
        <f t="shared" si="10"/>
        <v>328</v>
      </c>
      <c r="Q44" s="77">
        <f t="shared" si="11"/>
        <v>-1.20481928E-2</v>
      </c>
      <c r="R44" s="86">
        <f t="shared" si="14"/>
        <v>3185726.4103188799</v>
      </c>
    </row>
    <row r="45" spans="1:18">
      <c r="A45" s="40" t="s">
        <v>330</v>
      </c>
      <c r="B45" s="11" t="s">
        <v>331</v>
      </c>
      <c r="C45" s="95">
        <v>947</v>
      </c>
      <c r="D45" s="92">
        <v>-9.4142258999999999E-3</v>
      </c>
      <c r="E45" s="93">
        <v>3831655.75720408</v>
      </c>
      <c r="F45" s="35"/>
      <c r="G45" s="47" t="s">
        <v>185</v>
      </c>
      <c r="H45" s="44">
        <f t="shared" si="6"/>
        <v>10.1</v>
      </c>
      <c r="I45" s="78">
        <f t="shared" si="7"/>
        <v>0</v>
      </c>
      <c r="J45" s="90">
        <f t="shared" si="12"/>
        <v>38204674.947638959</v>
      </c>
      <c r="K45" s="83" t="s">
        <v>174</v>
      </c>
      <c r="L45" s="44">
        <f t="shared" si="8"/>
        <v>10.4</v>
      </c>
      <c r="M45" s="78">
        <f t="shared" si="9"/>
        <v>-9.5238094999999991E-3</v>
      </c>
      <c r="N45" s="90">
        <f t="shared" si="13"/>
        <v>27053248.901163209</v>
      </c>
      <c r="O45" s="83" t="s">
        <v>105</v>
      </c>
      <c r="P45" s="44">
        <f t="shared" si="10"/>
        <v>781</v>
      </c>
      <c r="Q45" s="78">
        <f t="shared" si="11"/>
        <v>-1.2642225E-2</v>
      </c>
      <c r="R45" s="90">
        <f t="shared" si="14"/>
        <v>1176199.35998362</v>
      </c>
    </row>
    <row r="46" spans="1:18">
      <c r="A46" s="40" t="s">
        <v>125</v>
      </c>
      <c r="B46" s="11" t="s">
        <v>126</v>
      </c>
      <c r="C46" s="95">
        <v>83.7</v>
      </c>
      <c r="D46" s="92">
        <v>-9.4674556000000007E-3</v>
      </c>
      <c r="E46" s="93">
        <v>14617442.288682999</v>
      </c>
      <c r="F46" s="35"/>
      <c r="G46" s="49" t="s">
        <v>124</v>
      </c>
      <c r="H46" s="39">
        <f t="shared" si="6"/>
        <v>62</v>
      </c>
      <c r="I46" s="77">
        <f t="shared" si="7"/>
        <v>-1.6103059999999999E-3</v>
      </c>
      <c r="J46" s="99">
        <f t="shared" si="12"/>
        <v>44620048.478771299</v>
      </c>
      <c r="K46" s="82" t="s">
        <v>64</v>
      </c>
      <c r="L46" s="39">
        <f t="shared" si="8"/>
        <v>28.5</v>
      </c>
      <c r="M46" s="77">
        <f t="shared" si="9"/>
        <v>-1.04166667E-2</v>
      </c>
      <c r="N46" s="99">
        <f t="shared" si="13"/>
        <v>24006582.22282064</v>
      </c>
      <c r="O46" s="82" t="s">
        <v>261</v>
      </c>
      <c r="P46" s="39">
        <f t="shared" si="10"/>
        <v>153</v>
      </c>
      <c r="Q46" s="77">
        <f t="shared" si="11"/>
        <v>-1.2903225799999999E-2</v>
      </c>
      <c r="R46" s="99">
        <f t="shared" si="14"/>
        <v>42574045.570073612</v>
      </c>
    </row>
    <row r="47" spans="1:18">
      <c r="A47" s="40" t="s">
        <v>173</v>
      </c>
      <c r="B47" s="11" t="s">
        <v>174</v>
      </c>
      <c r="C47" s="95">
        <v>10.4</v>
      </c>
      <c r="D47" s="92">
        <v>-9.5238094999999991E-3</v>
      </c>
      <c r="E47" s="93">
        <v>27053248.901163209</v>
      </c>
      <c r="F47" s="35"/>
      <c r="G47" s="47" t="s">
        <v>339</v>
      </c>
      <c r="H47" s="39">
        <f t="shared" si="6"/>
        <v>504</v>
      </c>
      <c r="I47" s="77">
        <f t="shared" si="7"/>
        <v>-1.9801979999999999E-3</v>
      </c>
      <c r="J47" s="86">
        <f t="shared" si="12"/>
        <v>673958.87632405001</v>
      </c>
      <c r="K47" s="82" t="s">
        <v>189</v>
      </c>
      <c r="L47" s="39">
        <f t="shared" si="8"/>
        <v>88.1</v>
      </c>
      <c r="M47" s="77">
        <f t="shared" si="9"/>
        <v>-1.1223344600000001E-2</v>
      </c>
      <c r="N47" s="86">
        <f t="shared" si="13"/>
        <v>29314664.853109632</v>
      </c>
      <c r="O47" s="82" t="s">
        <v>79</v>
      </c>
      <c r="P47" s="39">
        <f t="shared" si="10"/>
        <v>822</v>
      </c>
      <c r="Q47" s="77">
        <f t="shared" si="11"/>
        <v>-1.32052821E-2</v>
      </c>
      <c r="R47" s="86">
        <f t="shared" si="14"/>
        <v>1214876.0722985701</v>
      </c>
    </row>
    <row r="48" spans="1:18">
      <c r="A48" s="40" t="s">
        <v>102</v>
      </c>
      <c r="B48" s="11" t="s">
        <v>103</v>
      </c>
      <c r="C48" s="95">
        <v>614</v>
      </c>
      <c r="D48" s="92">
        <v>-9.6774193999999997E-3</v>
      </c>
      <c r="E48" s="93">
        <v>976253.57992809999</v>
      </c>
      <c r="F48" s="35"/>
      <c r="G48" s="47" t="s">
        <v>172</v>
      </c>
      <c r="H48" s="39">
        <f t="shared" si="6"/>
        <v>905</v>
      </c>
      <c r="I48" s="77">
        <f t="shared" si="7"/>
        <v>-2.2050717000000001E-3</v>
      </c>
      <c r="J48" s="86">
        <f t="shared" si="12"/>
        <v>1287980.5929801001</v>
      </c>
      <c r="K48" s="82" t="s">
        <v>245</v>
      </c>
      <c r="L48" s="39">
        <f t="shared" si="8"/>
        <v>57.8</v>
      </c>
      <c r="M48" s="77">
        <f t="shared" si="9"/>
        <v>-1.3651877099999999E-2</v>
      </c>
      <c r="N48" s="86">
        <f t="shared" si="13"/>
        <v>17718001.71018013</v>
      </c>
      <c r="O48" s="82" t="s">
        <v>201</v>
      </c>
      <c r="P48" s="39">
        <f t="shared" si="10"/>
        <v>505</v>
      </c>
      <c r="Q48" s="77">
        <f t="shared" si="11"/>
        <v>-1.55945419E-2</v>
      </c>
      <c r="R48" s="86">
        <f t="shared" si="14"/>
        <v>2206502.10500796</v>
      </c>
    </row>
    <row r="49" spans="1:18">
      <c r="A49" s="40" t="s">
        <v>133</v>
      </c>
      <c r="B49" s="11" t="s">
        <v>134</v>
      </c>
      <c r="C49" s="95">
        <v>193</v>
      </c>
      <c r="D49" s="92">
        <v>-1.0256410299999999E-2</v>
      </c>
      <c r="E49" s="93">
        <v>6037479.8638685299</v>
      </c>
      <c r="F49" s="35"/>
      <c r="G49" s="47" t="s">
        <v>237</v>
      </c>
      <c r="H49" s="39">
        <f t="shared" si="6"/>
        <v>582</v>
      </c>
      <c r="I49" s="77">
        <f t="shared" si="7"/>
        <v>-3.4246575E-3</v>
      </c>
      <c r="J49" s="86">
        <f t="shared" si="12"/>
        <v>77277376.137526616</v>
      </c>
      <c r="K49" s="82" t="s">
        <v>233</v>
      </c>
      <c r="L49" s="39">
        <f t="shared" si="8"/>
        <v>98.5</v>
      </c>
      <c r="M49" s="77">
        <f t="shared" si="9"/>
        <v>-1.4999999999999999E-2</v>
      </c>
      <c r="N49" s="86">
        <f t="shared" si="13"/>
        <v>7995803.0331633603</v>
      </c>
      <c r="O49" s="82" t="s">
        <v>207</v>
      </c>
      <c r="P49" s="39">
        <f t="shared" si="10"/>
        <v>976</v>
      </c>
      <c r="Q49" s="77">
        <f t="shared" si="11"/>
        <v>-1.6129032299999999E-2</v>
      </c>
      <c r="R49" s="86">
        <f t="shared" si="14"/>
        <v>927546.84306012001</v>
      </c>
    </row>
    <row r="50" spans="1:18" ht="17.25" thickBot="1">
      <c r="A50" s="40" t="s">
        <v>63</v>
      </c>
      <c r="B50" s="11" t="s">
        <v>64</v>
      </c>
      <c r="C50" s="95">
        <v>28.5</v>
      </c>
      <c r="D50" s="92">
        <v>-1.04166667E-2</v>
      </c>
      <c r="E50" s="93">
        <v>24006582.22282064</v>
      </c>
      <c r="F50" s="35"/>
      <c r="G50" s="53" t="s">
        <v>93</v>
      </c>
      <c r="H50" s="37">
        <f t="shared" si="6"/>
        <v>3278000</v>
      </c>
      <c r="I50" s="79">
        <f t="shared" si="7"/>
        <v>-3.6474163999999998E-3</v>
      </c>
      <c r="J50" s="87">
        <f t="shared" si="12"/>
        <v>7900.0464844999997</v>
      </c>
      <c r="K50" s="84" t="s">
        <v>71</v>
      </c>
      <c r="L50" s="37">
        <f t="shared" si="8"/>
        <v>19</v>
      </c>
      <c r="M50" s="79">
        <f t="shared" si="9"/>
        <v>-1.5544041499999999E-2</v>
      </c>
      <c r="N50" s="87">
        <f t="shared" si="13"/>
        <v>31321702.121456169</v>
      </c>
      <c r="O50" s="84" t="s">
        <v>101</v>
      </c>
      <c r="P50" s="37">
        <f t="shared" si="10"/>
        <v>648</v>
      </c>
      <c r="Q50" s="79">
        <f t="shared" si="11"/>
        <v>-1.66919575E-2</v>
      </c>
      <c r="R50" s="87">
        <f t="shared" si="14"/>
        <v>1550559.6189040099</v>
      </c>
    </row>
    <row r="51" spans="1:18">
      <c r="A51" s="40" t="s">
        <v>74</v>
      </c>
      <c r="B51" s="11" t="s">
        <v>75</v>
      </c>
      <c r="C51" s="95">
        <v>17090</v>
      </c>
      <c r="D51" s="92">
        <v>-1.04226983E-2</v>
      </c>
      <c r="E51" s="93">
        <v>81751.604895850003</v>
      </c>
      <c r="F51" s="35"/>
    </row>
    <row r="52" spans="1:18" ht="17.25" thickBot="1">
      <c r="A52" s="40" t="s">
        <v>88</v>
      </c>
      <c r="B52" s="11" t="s">
        <v>89</v>
      </c>
      <c r="C52" s="95">
        <v>921</v>
      </c>
      <c r="D52" s="92">
        <v>-1.07411386E-2</v>
      </c>
      <c r="E52" s="93">
        <v>92853974.205019817</v>
      </c>
      <c r="F52" s="35"/>
    </row>
    <row r="53" spans="1:18" ht="17.25" thickBot="1">
      <c r="A53" s="40" t="s">
        <v>98</v>
      </c>
      <c r="B53" s="11" t="s">
        <v>99</v>
      </c>
      <c r="C53" s="95">
        <v>33940</v>
      </c>
      <c r="D53" s="92">
        <v>-1.10722611E-2</v>
      </c>
      <c r="E53" s="93">
        <v>193074.11168382</v>
      </c>
      <c r="F53" s="35"/>
      <c r="G53" s="170" t="s">
        <v>250</v>
      </c>
      <c r="H53" s="171"/>
      <c r="I53" s="171"/>
      <c r="J53" s="172"/>
      <c r="K53" s="170" t="s">
        <v>253</v>
      </c>
      <c r="L53" s="171"/>
      <c r="M53" s="171"/>
      <c r="N53" s="172"/>
      <c r="O53" s="170" t="s">
        <v>254</v>
      </c>
      <c r="P53" s="171"/>
      <c r="Q53" s="171"/>
      <c r="R53" s="172"/>
    </row>
    <row r="54" spans="1:18" ht="17.25" thickBot="1">
      <c r="A54" s="40" t="s">
        <v>59</v>
      </c>
      <c r="B54" s="11" t="s">
        <v>60</v>
      </c>
      <c r="C54" s="95">
        <v>3120</v>
      </c>
      <c r="D54" s="92">
        <v>-1.10935024E-2</v>
      </c>
      <c r="E54" s="93">
        <v>5320376.8273635302</v>
      </c>
      <c r="F54" s="35"/>
      <c r="G54" s="235" t="s">
        <v>54</v>
      </c>
      <c r="H54" s="247">
        <f ca="1">NOW()</f>
        <v>44626.614851388891</v>
      </c>
      <c r="I54" s="248"/>
      <c r="J54" s="249"/>
      <c r="K54" s="238" t="s">
        <v>54</v>
      </c>
      <c r="L54" s="247">
        <f ca="1">NOW()</f>
        <v>44626.614851388891</v>
      </c>
      <c r="M54" s="248"/>
      <c r="N54" s="249"/>
      <c r="O54" s="238" t="s">
        <v>54</v>
      </c>
      <c r="P54" s="247">
        <f ca="1">NOW()</f>
        <v>44626.614851388891</v>
      </c>
      <c r="Q54" s="248"/>
      <c r="R54" s="249"/>
    </row>
    <row r="55" spans="1:18" ht="17.25" thickBot="1">
      <c r="A55" s="40" t="s">
        <v>167</v>
      </c>
      <c r="B55" s="11" t="s">
        <v>168</v>
      </c>
      <c r="C55" s="95">
        <v>1780</v>
      </c>
      <c r="D55" s="92">
        <v>-1.11111111E-2</v>
      </c>
      <c r="E55" s="93">
        <v>427883.51881128002</v>
      </c>
      <c r="F55" s="35"/>
      <c r="G55" s="232"/>
      <c r="H55" s="51" t="s">
        <v>57</v>
      </c>
      <c r="I55" s="73" t="s">
        <v>58</v>
      </c>
      <c r="J55" s="69" t="s">
        <v>259</v>
      </c>
      <c r="K55" s="187"/>
      <c r="L55" s="51" t="s">
        <v>57</v>
      </c>
      <c r="M55" s="73" t="s">
        <v>58</v>
      </c>
      <c r="N55" s="69" t="s">
        <v>259</v>
      </c>
      <c r="O55" s="187"/>
      <c r="P55" s="51" t="s">
        <v>57</v>
      </c>
      <c r="Q55" s="73" t="s">
        <v>58</v>
      </c>
      <c r="R55" s="69" t="s">
        <v>259</v>
      </c>
    </row>
    <row r="56" spans="1:18">
      <c r="A56" s="40" t="s">
        <v>188</v>
      </c>
      <c r="B56" s="11" t="s">
        <v>189</v>
      </c>
      <c r="C56" s="95">
        <v>88.1</v>
      </c>
      <c r="D56" s="92">
        <v>-1.1223344600000001E-2</v>
      </c>
      <c r="E56" s="93">
        <v>29314664.853109632</v>
      </c>
      <c r="F56" s="35"/>
      <c r="G56" s="55" t="s">
        <v>221</v>
      </c>
      <c r="H56" s="38">
        <f t="shared" ref="H56:H75" si="15">_xlfn.IFNA(VLOOKUP(G56, $B$2:$D$200, 2, FALSE), "")</f>
        <v>906</v>
      </c>
      <c r="I56" s="76">
        <f t="shared" ref="I56:I65" si="16">_xlfn.IFNA(VLOOKUP(G56, $B$2:$D$200, 3, FALSE), "")</f>
        <v>-2.0540540499999999E-2</v>
      </c>
      <c r="J56" s="85">
        <f>_xlfn.IFNA(VLOOKUP(G56, $B$2:$E$200, 4, FALSE), "")</f>
        <v>11023632.32473602</v>
      </c>
      <c r="K56" s="81" t="s">
        <v>185</v>
      </c>
      <c r="L56" s="38">
        <f t="shared" ref="L56:L75" si="17">_xlfn.IFNA(VLOOKUP(K56, $B$2:$D$200, 2, FALSE), "")</f>
        <v>10.1</v>
      </c>
      <c r="M56" s="76">
        <f t="shared" ref="M56:M75" si="18">_xlfn.IFNA(VLOOKUP(K56, $B$2:$D$200, 3, FALSE), "")</f>
        <v>0</v>
      </c>
      <c r="N56" s="85">
        <f>_xlfn.IFNA(VLOOKUP(K56, $B$2:$E$200, 4, FALSE), "")</f>
        <v>38204674.947638959</v>
      </c>
      <c r="O56" s="81" t="s">
        <v>79</v>
      </c>
      <c r="P56" s="38">
        <f t="shared" ref="P56:P75" si="19">_xlfn.IFNA(VLOOKUP(O56, $B$2:$D$200, 2, FALSE), "")</f>
        <v>822</v>
      </c>
      <c r="Q56" s="76">
        <f t="shared" ref="Q56:Q75" si="20">_xlfn.IFNA(VLOOKUP(O56, $B$2:$D$200, 3, FALSE), "")</f>
        <v>-1.32052821E-2</v>
      </c>
      <c r="R56" s="85">
        <f>_xlfn.IFNA(VLOOKUP(O56, $B$2:$E$200, 4, FALSE), "")</f>
        <v>1214876.0722985701</v>
      </c>
    </row>
    <row r="57" spans="1:18">
      <c r="A57" s="40" t="s">
        <v>94</v>
      </c>
      <c r="B57" s="11" t="s">
        <v>95</v>
      </c>
      <c r="C57" s="95">
        <v>3835</v>
      </c>
      <c r="D57" s="92">
        <v>-1.15979381E-2</v>
      </c>
      <c r="E57" s="93">
        <v>471747.84963049</v>
      </c>
      <c r="F57" s="35"/>
      <c r="G57" s="56" t="s">
        <v>116</v>
      </c>
      <c r="H57" s="39">
        <f t="shared" si="15"/>
        <v>3075</v>
      </c>
      <c r="I57" s="77">
        <f t="shared" si="16"/>
        <v>-2.07006369E-2</v>
      </c>
      <c r="J57" s="86">
        <f t="shared" ref="J57:J75" si="21">_xlfn.IFNA(VLOOKUP(G57, $B$2:$E$200, 4, FALSE), "")</f>
        <v>189822.56071423</v>
      </c>
      <c r="K57" s="82" t="s">
        <v>124</v>
      </c>
      <c r="L57" s="39">
        <f t="shared" si="17"/>
        <v>62</v>
      </c>
      <c r="M57" s="77">
        <f t="shared" si="18"/>
        <v>-1.6103059999999999E-3</v>
      </c>
      <c r="N57" s="86">
        <f t="shared" ref="N57:N75" si="22">_xlfn.IFNA(VLOOKUP(K57, $B$2:$E$200, 4, FALSE), "")</f>
        <v>44620048.478771299</v>
      </c>
      <c r="O57" s="82" t="s">
        <v>201</v>
      </c>
      <c r="P57" s="39">
        <f t="shared" si="19"/>
        <v>505</v>
      </c>
      <c r="Q57" s="77">
        <f t="shared" si="20"/>
        <v>-1.55945419E-2</v>
      </c>
      <c r="R57" s="86">
        <f t="shared" ref="R57:R75" si="23">_xlfn.IFNA(VLOOKUP(O57, $B$2:$E$200, 4, FALSE), "")</f>
        <v>2206502.10500796</v>
      </c>
    </row>
    <row r="58" spans="1:18">
      <c r="A58" s="40" t="s">
        <v>119</v>
      </c>
      <c r="B58" s="11" t="s">
        <v>120</v>
      </c>
      <c r="C58" s="95">
        <v>328</v>
      </c>
      <c r="D58" s="92">
        <v>-1.20481928E-2</v>
      </c>
      <c r="E58" s="93">
        <v>3185726.4103188799</v>
      </c>
      <c r="F58" s="35"/>
      <c r="G58" s="56" t="s">
        <v>219</v>
      </c>
      <c r="H58" s="39">
        <f t="shared" si="15"/>
        <v>2805</v>
      </c>
      <c r="I58" s="77">
        <f t="shared" si="16"/>
        <v>-2.0942408400000001E-2</v>
      </c>
      <c r="J58" s="86">
        <f t="shared" si="21"/>
        <v>279264.18897706002</v>
      </c>
      <c r="K58" s="82" t="s">
        <v>203</v>
      </c>
      <c r="L58" s="39">
        <f t="shared" si="17"/>
        <v>7.62</v>
      </c>
      <c r="M58" s="77">
        <f t="shared" si="18"/>
        <v>-5.2219320999999999E-3</v>
      </c>
      <c r="N58" s="86">
        <f t="shared" si="22"/>
        <v>492874066.79517651</v>
      </c>
      <c r="O58" s="82" t="s">
        <v>207</v>
      </c>
      <c r="P58" s="39">
        <f t="shared" si="19"/>
        <v>976</v>
      </c>
      <c r="Q58" s="77">
        <f t="shared" si="20"/>
        <v>-1.6129032299999999E-2</v>
      </c>
      <c r="R58" s="86">
        <f t="shared" si="23"/>
        <v>927546.84306012001</v>
      </c>
    </row>
    <row r="59" spans="1:18">
      <c r="A59" s="40" t="s">
        <v>137</v>
      </c>
      <c r="B59" s="11" t="s">
        <v>138</v>
      </c>
      <c r="C59" s="95">
        <v>5695</v>
      </c>
      <c r="D59" s="92">
        <v>-1.21422376E-2</v>
      </c>
      <c r="E59" s="93">
        <v>98043.133483950005</v>
      </c>
      <c r="F59" s="35"/>
      <c r="G59" s="56" t="s">
        <v>136</v>
      </c>
      <c r="H59" s="39">
        <f t="shared" si="15"/>
        <v>4870</v>
      </c>
      <c r="I59" s="77">
        <f t="shared" si="16"/>
        <v>-2.11055276E-2</v>
      </c>
      <c r="J59" s="86">
        <f t="shared" si="21"/>
        <v>238054.72887744001</v>
      </c>
      <c r="K59" s="82" t="s">
        <v>229</v>
      </c>
      <c r="L59" s="39">
        <f t="shared" si="17"/>
        <v>51.2</v>
      </c>
      <c r="M59" s="77">
        <f t="shared" si="18"/>
        <v>-5.8252427000000002E-3</v>
      </c>
      <c r="N59" s="86">
        <f t="shared" si="22"/>
        <v>27939765.042374969</v>
      </c>
      <c r="O59" s="82" t="s">
        <v>101</v>
      </c>
      <c r="P59" s="39">
        <f t="shared" si="19"/>
        <v>648</v>
      </c>
      <c r="Q59" s="77">
        <f t="shared" si="20"/>
        <v>-1.66919575E-2</v>
      </c>
      <c r="R59" s="86">
        <f t="shared" si="23"/>
        <v>1550559.6189040099</v>
      </c>
    </row>
    <row r="60" spans="1:18">
      <c r="A60" s="40" t="s">
        <v>61</v>
      </c>
      <c r="B60" s="11" t="s">
        <v>62</v>
      </c>
      <c r="C60" s="95">
        <v>26490</v>
      </c>
      <c r="D60" s="92">
        <v>-1.23042506E-2</v>
      </c>
      <c r="E60" s="93">
        <v>84386.06257799</v>
      </c>
      <c r="F60" s="35"/>
      <c r="G60" s="56" t="s">
        <v>215</v>
      </c>
      <c r="H60" s="39">
        <f t="shared" si="15"/>
        <v>135</v>
      </c>
      <c r="I60" s="77">
        <f t="shared" si="16"/>
        <v>-2.1739130400000001E-2</v>
      </c>
      <c r="J60" s="90">
        <f t="shared" si="21"/>
        <v>3764571.7352074701</v>
      </c>
      <c r="K60" s="83" t="s">
        <v>146</v>
      </c>
      <c r="L60" s="44">
        <f t="shared" si="17"/>
        <v>8.3800000000000008</v>
      </c>
      <c r="M60" s="78">
        <f t="shared" si="18"/>
        <v>-5.9311981E-3</v>
      </c>
      <c r="N60" s="90">
        <f t="shared" si="22"/>
        <v>375325963.01437742</v>
      </c>
      <c r="O60" s="83" t="s">
        <v>160</v>
      </c>
      <c r="P60" s="44">
        <f t="shared" si="19"/>
        <v>405</v>
      </c>
      <c r="Q60" s="78">
        <f t="shared" si="20"/>
        <v>-1.6990291300000002E-2</v>
      </c>
      <c r="R60" s="90">
        <f t="shared" si="23"/>
        <v>6055463.7781857699</v>
      </c>
    </row>
    <row r="61" spans="1:18">
      <c r="A61" s="40" t="s">
        <v>104</v>
      </c>
      <c r="B61" s="11" t="s">
        <v>105</v>
      </c>
      <c r="C61" s="95">
        <v>781</v>
      </c>
      <c r="D61" s="92">
        <v>-1.2642225E-2</v>
      </c>
      <c r="E61" s="93">
        <v>1176199.35998362</v>
      </c>
      <c r="F61" s="35"/>
      <c r="G61" s="60" t="s">
        <v>341</v>
      </c>
      <c r="H61" s="45">
        <f t="shared" si="15"/>
        <v>8.7999999999999995E-2</v>
      </c>
      <c r="I61" s="80">
        <f t="shared" si="16"/>
        <v>-2.2222222199999999E-2</v>
      </c>
      <c r="J61" s="99">
        <f t="shared" si="21"/>
        <v>20195717130.567978</v>
      </c>
      <c r="K61" s="82" t="s">
        <v>128</v>
      </c>
      <c r="L61" s="39">
        <f t="shared" si="17"/>
        <v>48.7</v>
      </c>
      <c r="M61" s="77">
        <f t="shared" si="18"/>
        <v>-8.1466395000000004E-3</v>
      </c>
      <c r="N61" s="99">
        <f t="shared" si="22"/>
        <v>39214205.700187609</v>
      </c>
      <c r="O61" s="82" t="s">
        <v>51</v>
      </c>
      <c r="P61" s="39">
        <f t="shared" si="19"/>
        <v>219</v>
      </c>
      <c r="Q61" s="77">
        <f t="shared" si="20"/>
        <v>-1.79372197E-2</v>
      </c>
      <c r="R61" s="99">
        <f t="shared" si="23"/>
        <v>12398297.087818479</v>
      </c>
    </row>
    <row r="62" spans="1:18">
      <c r="A62" s="40" t="s">
        <v>324</v>
      </c>
      <c r="B62" s="11" t="s">
        <v>325</v>
      </c>
      <c r="C62" s="95">
        <v>109100</v>
      </c>
      <c r="D62" s="92">
        <v>-1.26696833E-2</v>
      </c>
      <c r="E62" s="93">
        <v>112315.82529981001</v>
      </c>
      <c r="F62" s="35"/>
      <c r="G62" s="56" t="s">
        <v>113</v>
      </c>
      <c r="H62" s="39">
        <f t="shared" si="15"/>
        <v>3910</v>
      </c>
      <c r="I62" s="77">
        <f t="shared" si="16"/>
        <v>-2.2499999999999999E-2</v>
      </c>
      <c r="J62" s="86">
        <f t="shared" si="21"/>
        <v>311095.2246665</v>
      </c>
      <c r="K62" s="82" t="s">
        <v>197</v>
      </c>
      <c r="L62" s="39">
        <f t="shared" si="17"/>
        <v>46.9</v>
      </c>
      <c r="M62" s="77">
        <f t="shared" si="18"/>
        <v>-8.4566595999999994E-3</v>
      </c>
      <c r="N62" s="86">
        <f t="shared" si="22"/>
        <v>18380328.330207489</v>
      </c>
      <c r="O62" s="82" t="s">
        <v>231</v>
      </c>
      <c r="P62" s="39">
        <f t="shared" si="19"/>
        <v>380</v>
      </c>
      <c r="Q62" s="77">
        <f t="shared" si="20"/>
        <v>-1.80878553E-2</v>
      </c>
      <c r="R62" s="86">
        <f t="shared" si="23"/>
        <v>897366.62226834998</v>
      </c>
    </row>
    <row r="63" spans="1:18">
      <c r="A63" s="40" t="s">
        <v>260</v>
      </c>
      <c r="B63" s="11" t="s">
        <v>261</v>
      </c>
      <c r="C63" s="95">
        <v>153</v>
      </c>
      <c r="D63" s="92">
        <v>-1.2903225799999999E-2</v>
      </c>
      <c r="E63" s="93">
        <v>42574045.570073612</v>
      </c>
      <c r="F63" s="35"/>
      <c r="G63" s="56" t="s">
        <v>66</v>
      </c>
      <c r="H63" s="39">
        <f t="shared" si="15"/>
        <v>2635</v>
      </c>
      <c r="I63" s="77">
        <f t="shared" si="16"/>
        <v>-2.4074074099999999E-2</v>
      </c>
      <c r="J63" s="86">
        <f t="shared" si="21"/>
        <v>361136.51096422999</v>
      </c>
      <c r="K63" s="82" t="s">
        <v>199</v>
      </c>
      <c r="L63" s="39">
        <f t="shared" si="17"/>
        <v>11.1</v>
      </c>
      <c r="M63" s="77">
        <f t="shared" si="18"/>
        <v>-8.9285713999999999E-3</v>
      </c>
      <c r="N63" s="86">
        <f t="shared" si="22"/>
        <v>32042633.183644772</v>
      </c>
      <c r="O63" s="82" t="s">
        <v>170</v>
      </c>
      <c r="P63" s="39">
        <f t="shared" si="19"/>
        <v>646</v>
      </c>
      <c r="Q63" s="77">
        <f t="shared" si="20"/>
        <v>-1.82370821E-2</v>
      </c>
      <c r="R63" s="86">
        <f t="shared" si="23"/>
        <v>5315089.9817360602</v>
      </c>
    </row>
    <row r="64" spans="1:18">
      <c r="A64" s="40" t="s">
        <v>78</v>
      </c>
      <c r="B64" s="11" t="s">
        <v>79</v>
      </c>
      <c r="C64" s="95">
        <v>822</v>
      </c>
      <c r="D64" s="92">
        <v>-1.32052821E-2</v>
      </c>
      <c r="E64" s="93">
        <v>1214876.0722985701</v>
      </c>
      <c r="F64" s="35"/>
      <c r="G64" s="56" t="s">
        <v>225</v>
      </c>
      <c r="H64" s="39">
        <f t="shared" si="15"/>
        <v>354</v>
      </c>
      <c r="I64" s="77">
        <f t="shared" si="16"/>
        <v>-2.4793388400000001E-2</v>
      </c>
      <c r="J64" s="86">
        <f t="shared" si="21"/>
        <v>4947919.8220845498</v>
      </c>
      <c r="K64" s="82" t="s">
        <v>126</v>
      </c>
      <c r="L64" s="39">
        <f t="shared" si="17"/>
        <v>83.7</v>
      </c>
      <c r="M64" s="77">
        <f t="shared" si="18"/>
        <v>-9.4674556000000007E-3</v>
      </c>
      <c r="N64" s="86">
        <f t="shared" si="22"/>
        <v>14617442.288682999</v>
      </c>
      <c r="O64" s="82" t="s">
        <v>180</v>
      </c>
      <c r="P64" s="39">
        <f t="shared" si="19"/>
        <v>899</v>
      </c>
      <c r="Q64" s="77">
        <f t="shared" si="20"/>
        <v>-1.9629225699999999E-2</v>
      </c>
      <c r="R64" s="86">
        <f t="shared" si="23"/>
        <v>2318112.0151328901</v>
      </c>
    </row>
    <row r="65" spans="1:18" ht="17.25" thickBot="1">
      <c r="A65" s="40" t="s">
        <v>244</v>
      </c>
      <c r="B65" s="11" t="s">
        <v>245</v>
      </c>
      <c r="C65" s="95">
        <v>57.8</v>
      </c>
      <c r="D65" s="92">
        <v>-1.3651877099999999E-2</v>
      </c>
      <c r="E65" s="93">
        <v>17718001.71018013</v>
      </c>
      <c r="F65" s="35"/>
      <c r="G65" s="57" t="s">
        <v>249</v>
      </c>
      <c r="H65" s="37">
        <f t="shared" si="15"/>
        <v>232</v>
      </c>
      <c r="I65" s="79">
        <f t="shared" si="16"/>
        <v>-2.5210084000000001E-2</v>
      </c>
      <c r="J65" s="87">
        <f t="shared" si="21"/>
        <v>2954391.44197613</v>
      </c>
      <c r="K65" s="84" t="s">
        <v>174</v>
      </c>
      <c r="L65" s="37">
        <f t="shared" si="17"/>
        <v>10.4</v>
      </c>
      <c r="M65" s="79">
        <f t="shared" si="18"/>
        <v>-9.5238094999999991E-3</v>
      </c>
      <c r="N65" s="87">
        <f t="shared" si="22"/>
        <v>27053248.901163209</v>
      </c>
      <c r="O65" s="84" t="s">
        <v>217</v>
      </c>
      <c r="P65" s="37">
        <f t="shared" si="19"/>
        <v>198</v>
      </c>
      <c r="Q65" s="79">
        <f t="shared" si="20"/>
        <v>-1.9801980199999999E-2</v>
      </c>
      <c r="R65" s="87">
        <f t="shared" si="23"/>
        <v>7627559.1156294299</v>
      </c>
    </row>
    <row r="66" spans="1:18">
      <c r="A66" s="40" t="s">
        <v>161</v>
      </c>
      <c r="B66" s="11" t="s">
        <v>162</v>
      </c>
      <c r="C66" s="95">
        <v>1070</v>
      </c>
      <c r="D66" s="92">
        <v>-1.3824884799999999E-2</v>
      </c>
      <c r="E66" s="93">
        <v>6348515.2595756203</v>
      </c>
      <c r="F66" s="35"/>
      <c r="G66" s="56" t="s">
        <v>348</v>
      </c>
      <c r="H66" s="38">
        <f t="shared" si="15"/>
        <v>190</v>
      </c>
      <c r="I66" s="76">
        <f t="shared" ref="I66:I75" si="24">_xlfn.IFNA(VLOOKUP(G66, $B$2:$D$200, 3, FALSE), "")</f>
        <v>-2.5641025599999999E-2</v>
      </c>
      <c r="J66" s="85">
        <f t="shared" si="21"/>
        <v>46257225.284122407</v>
      </c>
      <c r="K66" s="81" t="s">
        <v>64</v>
      </c>
      <c r="L66" s="38">
        <f t="shared" si="17"/>
        <v>28.5</v>
      </c>
      <c r="M66" s="76">
        <f t="shared" si="18"/>
        <v>-1.04166667E-2</v>
      </c>
      <c r="N66" s="85">
        <f t="shared" si="22"/>
        <v>24006582.22282064</v>
      </c>
      <c r="O66" s="81" t="s">
        <v>221</v>
      </c>
      <c r="P66" s="38">
        <f t="shared" si="19"/>
        <v>906</v>
      </c>
      <c r="Q66" s="76">
        <f t="shared" si="20"/>
        <v>-2.0540540499999999E-2</v>
      </c>
      <c r="R66" s="85">
        <f t="shared" si="23"/>
        <v>11023632.32473602</v>
      </c>
    </row>
    <row r="67" spans="1:18">
      <c r="A67" s="40" t="s">
        <v>238</v>
      </c>
      <c r="B67" s="11" t="s">
        <v>239</v>
      </c>
      <c r="C67" s="95">
        <v>1065</v>
      </c>
      <c r="D67" s="92">
        <v>-1.38888889E-2</v>
      </c>
      <c r="E67" s="93">
        <v>399219.75920963997</v>
      </c>
      <c r="F67" s="35"/>
      <c r="G67" s="56" t="s">
        <v>205</v>
      </c>
      <c r="H67" s="39">
        <f t="shared" si="15"/>
        <v>11.3</v>
      </c>
      <c r="I67" s="77">
        <f t="shared" si="24"/>
        <v>-2.5862069000000001E-2</v>
      </c>
      <c r="J67" s="86">
        <f t="shared" si="21"/>
        <v>130100875.83141309</v>
      </c>
      <c r="K67" s="82" t="s">
        <v>189</v>
      </c>
      <c r="L67" s="39">
        <f t="shared" si="17"/>
        <v>88.1</v>
      </c>
      <c r="M67" s="77">
        <f t="shared" si="18"/>
        <v>-1.1223344600000001E-2</v>
      </c>
      <c r="N67" s="86">
        <f t="shared" si="22"/>
        <v>29314664.853109632</v>
      </c>
      <c r="O67" s="82" t="s">
        <v>215</v>
      </c>
      <c r="P67" s="39">
        <f t="shared" si="19"/>
        <v>135</v>
      </c>
      <c r="Q67" s="77">
        <f t="shared" si="20"/>
        <v>-2.1739130400000001E-2</v>
      </c>
      <c r="R67" s="86">
        <f t="shared" si="23"/>
        <v>3764571.7352074701</v>
      </c>
    </row>
    <row r="68" spans="1:18">
      <c r="A68" s="40" t="s">
        <v>149</v>
      </c>
      <c r="B68" s="11" t="s">
        <v>150</v>
      </c>
      <c r="C68" s="95">
        <v>63110</v>
      </c>
      <c r="D68" s="92">
        <v>-1.4214308E-2</v>
      </c>
      <c r="E68" s="93">
        <v>197697.94091092999</v>
      </c>
      <c r="F68" s="35"/>
      <c r="G68" s="56" t="s">
        <v>327</v>
      </c>
      <c r="H68" s="39">
        <f t="shared" si="15"/>
        <v>622</v>
      </c>
      <c r="I68" s="77">
        <f t="shared" si="24"/>
        <v>-2.66040689E-2</v>
      </c>
      <c r="J68" s="86">
        <f t="shared" si="21"/>
        <v>20717225.870016001</v>
      </c>
      <c r="K68" s="82" t="s">
        <v>245</v>
      </c>
      <c r="L68" s="39">
        <f t="shared" si="17"/>
        <v>57.8</v>
      </c>
      <c r="M68" s="77">
        <f t="shared" si="18"/>
        <v>-1.3651877099999999E-2</v>
      </c>
      <c r="N68" s="86">
        <f t="shared" si="22"/>
        <v>17718001.71018013</v>
      </c>
      <c r="O68" s="82" t="s">
        <v>225</v>
      </c>
      <c r="P68" s="39">
        <f t="shared" si="19"/>
        <v>354</v>
      </c>
      <c r="Q68" s="77">
        <f t="shared" si="20"/>
        <v>-2.4793388400000001E-2</v>
      </c>
      <c r="R68" s="86">
        <f t="shared" si="23"/>
        <v>4947919.8220845498</v>
      </c>
    </row>
    <row r="69" spans="1:18">
      <c r="A69" s="40" t="s">
        <v>163</v>
      </c>
      <c r="B69" s="11" t="s">
        <v>164</v>
      </c>
      <c r="C69" s="95">
        <v>1385</v>
      </c>
      <c r="D69" s="92">
        <v>-1.4234875399999999E-2</v>
      </c>
      <c r="E69" s="93">
        <v>1064306.7537236901</v>
      </c>
      <c r="F69" s="35"/>
      <c r="G69" s="56" t="s">
        <v>346</v>
      </c>
      <c r="H69" s="39">
        <f t="shared" si="15"/>
        <v>9.49</v>
      </c>
      <c r="I69" s="77">
        <f t="shared" si="24"/>
        <v>-2.6666666700000001E-2</v>
      </c>
      <c r="J69" s="86">
        <f t="shared" si="21"/>
        <v>813833155.96123362</v>
      </c>
      <c r="K69" s="82" t="s">
        <v>233</v>
      </c>
      <c r="L69" s="39">
        <f t="shared" si="17"/>
        <v>98.5</v>
      </c>
      <c r="M69" s="77">
        <f t="shared" si="18"/>
        <v>-1.4999999999999999E-2</v>
      </c>
      <c r="N69" s="86">
        <f t="shared" si="22"/>
        <v>7995803.0331633603</v>
      </c>
      <c r="O69" s="82" t="s">
        <v>249</v>
      </c>
      <c r="P69" s="39">
        <f t="shared" si="19"/>
        <v>232</v>
      </c>
      <c r="Q69" s="77">
        <f t="shared" si="20"/>
        <v>-2.5210084000000001E-2</v>
      </c>
      <c r="R69" s="86">
        <f t="shared" si="23"/>
        <v>2954391.44197613</v>
      </c>
    </row>
    <row r="70" spans="1:18">
      <c r="A70" s="40" t="s">
        <v>208</v>
      </c>
      <c r="B70" s="11" t="s">
        <v>209</v>
      </c>
      <c r="C70" s="95">
        <v>1025</v>
      </c>
      <c r="D70" s="92">
        <v>-1.44230769E-2</v>
      </c>
      <c r="E70" s="93">
        <v>3062525.77579174</v>
      </c>
      <c r="F70" s="35"/>
      <c r="G70" s="56" t="s">
        <v>247</v>
      </c>
      <c r="H70" s="39">
        <f t="shared" si="15"/>
        <v>709</v>
      </c>
      <c r="I70" s="77">
        <f t="shared" si="24"/>
        <v>-2.74348422E-2</v>
      </c>
      <c r="J70" s="90">
        <f t="shared" si="21"/>
        <v>2510123.6987132598</v>
      </c>
      <c r="K70" s="83" t="s">
        <v>71</v>
      </c>
      <c r="L70" s="44">
        <f t="shared" si="17"/>
        <v>19</v>
      </c>
      <c r="M70" s="78">
        <f t="shared" si="18"/>
        <v>-1.5544041499999999E-2</v>
      </c>
      <c r="N70" s="90">
        <f t="shared" si="22"/>
        <v>31321702.121456169</v>
      </c>
      <c r="O70" s="83" t="s">
        <v>348</v>
      </c>
      <c r="P70" s="44">
        <f t="shared" si="19"/>
        <v>190</v>
      </c>
      <c r="Q70" s="78">
        <f t="shared" si="20"/>
        <v>-2.5641025599999999E-2</v>
      </c>
      <c r="R70" s="90">
        <f t="shared" si="23"/>
        <v>46257225.284122407</v>
      </c>
    </row>
    <row r="71" spans="1:18">
      <c r="A71" s="40" t="s">
        <v>129</v>
      </c>
      <c r="B71" s="11" t="s">
        <v>130</v>
      </c>
      <c r="C71" s="95">
        <v>21040</v>
      </c>
      <c r="D71" s="92">
        <v>-1.49812734E-2</v>
      </c>
      <c r="E71" s="93">
        <v>127100.14584061</v>
      </c>
      <c r="F71" s="35"/>
      <c r="G71" s="60" t="s">
        <v>187</v>
      </c>
      <c r="H71" s="45">
        <f t="shared" si="15"/>
        <v>244</v>
      </c>
      <c r="I71" s="80">
        <f t="shared" si="24"/>
        <v>-2.78884462E-2</v>
      </c>
      <c r="J71" s="99">
        <f t="shared" si="21"/>
        <v>10229022.260355379</v>
      </c>
      <c r="K71" s="82" t="s">
        <v>158</v>
      </c>
      <c r="L71" s="39">
        <f t="shared" si="17"/>
        <v>67</v>
      </c>
      <c r="M71" s="77">
        <f t="shared" si="18"/>
        <v>-1.6152716599999999E-2</v>
      </c>
      <c r="N71" s="99">
        <f t="shared" si="22"/>
        <v>19005900.998330481</v>
      </c>
      <c r="O71" s="82" t="s">
        <v>327</v>
      </c>
      <c r="P71" s="39">
        <f t="shared" si="19"/>
        <v>622</v>
      </c>
      <c r="Q71" s="77">
        <f t="shared" si="20"/>
        <v>-2.66040689E-2</v>
      </c>
      <c r="R71" s="99">
        <f t="shared" si="23"/>
        <v>20717225.870016001</v>
      </c>
    </row>
    <row r="72" spans="1:18">
      <c r="A72" s="40" t="s">
        <v>232</v>
      </c>
      <c r="B72" s="11" t="s">
        <v>233</v>
      </c>
      <c r="C72" s="95">
        <v>98.5</v>
      </c>
      <c r="D72" s="92">
        <v>-1.4999999999999999E-2</v>
      </c>
      <c r="E72" s="93">
        <v>7995803.0331633603</v>
      </c>
      <c r="F72" s="35"/>
      <c r="G72" s="56" t="s">
        <v>178</v>
      </c>
      <c r="H72" s="39">
        <f t="shared" si="15"/>
        <v>46720</v>
      </c>
      <c r="I72" s="77">
        <f t="shared" si="24"/>
        <v>-2.8286189699999999E-2</v>
      </c>
      <c r="J72" s="86">
        <f t="shared" si="21"/>
        <v>78727.804611240004</v>
      </c>
      <c r="K72" s="82" t="s">
        <v>118</v>
      </c>
      <c r="L72" s="39">
        <f t="shared" si="17"/>
        <v>17.3</v>
      </c>
      <c r="M72" s="77">
        <f t="shared" si="18"/>
        <v>-1.7045454500000001E-2</v>
      </c>
      <c r="N72" s="86">
        <f t="shared" si="22"/>
        <v>193233792.14779925</v>
      </c>
      <c r="O72" s="82" t="s">
        <v>247</v>
      </c>
      <c r="P72" s="39">
        <f t="shared" si="19"/>
        <v>709</v>
      </c>
      <c r="Q72" s="77">
        <f t="shared" si="20"/>
        <v>-2.74348422E-2</v>
      </c>
      <c r="R72" s="86">
        <f t="shared" si="23"/>
        <v>2510123.6987132598</v>
      </c>
    </row>
    <row r="73" spans="1:18">
      <c r="A73" s="40" t="s">
        <v>165</v>
      </c>
      <c r="B73" s="11" t="s">
        <v>166</v>
      </c>
      <c r="C73" s="95">
        <v>17030</v>
      </c>
      <c r="D73" s="92">
        <v>-1.5037594E-2</v>
      </c>
      <c r="E73" s="93">
        <v>62156.660660829999</v>
      </c>
      <c r="F73" s="35"/>
      <c r="G73" s="56" t="s">
        <v>223</v>
      </c>
      <c r="H73" s="39">
        <f t="shared" si="15"/>
        <v>964</v>
      </c>
      <c r="I73" s="77">
        <f t="shared" si="24"/>
        <v>-3.11557789E-2</v>
      </c>
      <c r="J73" s="86">
        <f t="shared" si="21"/>
        <v>11121752.94944752</v>
      </c>
      <c r="K73" s="82" t="s">
        <v>341</v>
      </c>
      <c r="L73" s="39">
        <f t="shared" si="17"/>
        <v>8.7999999999999995E-2</v>
      </c>
      <c r="M73" s="77">
        <f t="shared" si="18"/>
        <v>-2.2222222199999999E-2</v>
      </c>
      <c r="N73" s="86">
        <f t="shared" si="22"/>
        <v>20195717130.567978</v>
      </c>
      <c r="O73" s="82" t="s">
        <v>187</v>
      </c>
      <c r="P73" s="39">
        <f t="shared" si="19"/>
        <v>244</v>
      </c>
      <c r="Q73" s="77">
        <f t="shared" si="20"/>
        <v>-2.78884462E-2</v>
      </c>
      <c r="R73" s="86">
        <f t="shared" si="23"/>
        <v>10229022.260355379</v>
      </c>
    </row>
    <row r="74" spans="1:18">
      <c r="A74" s="40" t="s">
        <v>70</v>
      </c>
      <c r="B74" s="11" t="s">
        <v>71</v>
      </c>
      <c r="C74" s="95">
        <v>19</v>
      </c>
      <c r="D74" s="92">
        <v>-1.5544041499999999E-2</v>
      </c>
      <c r="E74" s="93">
        <v>31321702.121456169</v>
      </c>
      <c r="F74" s="35"/>
      <c r="G74" s="56" t="s">
        <v>73</v>
      </c>
      <c r="H74" s="39">
        <f t="shared" si="15"/>
        <v>36750</v>
      </c>
      <c r="I74" s="77">
        <f t="shared" si="24"/>
        <v>-3.5686171599999997E-2</v>
      </c>
      <c r="J74" s="86">
        <f t="shared" si="21"/>
        <v>341182.92758250999</v>
      </c>
      <c r="K74" s="82" t="s">
        <v>205</v>
      </c>
      <c r="L74" s="39">
        <f t="shared" si="17"/>
        <v>11.3</v>
      </c>
      <c r="M74" s="77">
        <f t="shared" si="18"/>
        <v>-2.5862069000000001E-2</v>
      </c>
      <c r="N74" s="86">
        <f t="shared" si="22"/>
        <v>130100875.83141309</v>
      </c>
      <c r="O74" s="82" t="s">
        <v>223</v>
      </c>
      <c r="P74" s="39">
        <f t="shared" si="19"/>
        <v>964</v>
      </c>
      <c r="Q74" s="77">
        <f t="shared" si="20"/>
        <v>-3.11557789E-2</v>
      </c>
      <c r="R74" s="86">
        <f t="shared" si="23"/>
        <v>11121752.94944752</v>
      </c>
    </row>
    <row r="75" spans="1:18" ht="17.25" thickBot="1">
      <c r="A75" s="40" t="s">
        <v>200</v>
      </c>
      <c r="B75" s="11" t="s">
        <v>201</v>
      </c>
      <c r="C75" s="95">
        <v>505</v>
      </c>
      <c r="D75" s="92">
        <v>-1.55945419E-2</v>
      </c>
      <c r="E75" s="93">
        <v>2206502.10500796</v>
      </c>
      <c r="F75" s="35"/>
      <c r="G75" s="57" t="s">
        <v>85</v>
      </c>
      <c r="H75" s="37">
        <f t="shared" si="15"/>
        <v>275</v>
      </c>
      <c r="I75" s="79">
        <f t="shared" si="24"/>
        <v>-4.1811846700000002E-2</v>
      </c>
      <c r="J75" s="87">
        <f t="shared" si="21"/>
        <v>121512341.48450369</v>
      </c>
      <c r="K75" s="84" t="s">
        <v>346</v>
      </c>
      <c r="L75" s="37">
        <f t="shared" si="17"/>
        <v>9.49</v>
      </c>
      <c r="M75" s="79">
        <f t="shared" si="18"/>
        <v>-2.6666666700000001E-2</v>
      </c>
      <c r="N75" s="87">
        <f t="shared" si="22"/>
        <v>813833155.96123362</v>
      </c>
      <c r="O75" s="84" t="s">
        <v>85</v>
      </c>
      <c r="P75" s="37">
        <f t="shared" si="19"/>
        <v>275</v>
      </c>
      <c r="Q75" s="79">
        <f t="shared" si="20"/>
        <v>-4.1811846700000002E-2</v>
      </c>
      <c r="R75" s="87">
        <f t="shared" si="23"/>
        <v>121512341.48450369</v>
      </c>
    </row>
    <row r="76" spans="1:18">
      <c r="A76" s="40" t="s">
        <v>206</v>
      </c>
      <c r="B76" s="11" t="s">
        <v>207</v>
      </c>
      <c r="C76" s="95">
        <v>976</v>
      </c>
      <c r="D76" s="92">
        <v>-1.6129032299999999E-2</v>
      </c>
      <c r="E76" s="93">
        <v>927546.84306012001</v>
      </c>
      <c r="F76" s="35"/>
      <c r="G76" s="35"/>
      <c r="H76" s="35"/>
      <c r="I76" s="35"/>
    </row>
    <row r="77" spans="1:18">
      <c r="A77" s="40" t="s">
        <v>157</v>
      </c>
      <c r="B77" s="11" t="s">
        <v>158</v>
      </c>
      <c r="C77" s="95">
        <v>67</v>
      </c>
      <c r="D77" s="92">
        <v>-1.6152716599999999E-2</v>
      </c>
      <c r="E77" s="93">
        <v>19005900.998330481</v>
      </c>
      <c r="F77" s="35"/>
      <c r="G77" s="35"/>
      <c r="H77" s="35"/>
      <c r="I77" s="35"/>
    </row>
    <row r="78" spans="1:18">
      <c r="A78" s="40" t="s">
        <v>100</v>
      </c>
      <c r="B78" s="11" t="s">
        <v>101</v>
      </c>
      <c r="C78" s="95">
        <v>648</v>
      </c>
      <c r="D78" s="92">
        <v>-1.66919575E-2</v>
      </c>
      <c r="E78" s="93">
        <v>1550559.6189040099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405</v>
      </c>
      <c r="D79" s="92">
        <v>-1.6990291300000002E-2</v>
      </c>
      <c r="E79" s="93">
        <v>6055463.7781857699</v>
      </c>
      <c r="F79" s="35"/>
      <c r="G79" s="35"/>
      <c r="H79" s="35"/>
      <c r="I79" s="35"/>
    </row>
    <row r="80" spans="1:18">
      <c r="A80" s="40" t="s">
        <v>117</v>
      </c>
      <c r="B80" s="11" t="s">
        <v>118</v>
      </c>
      <c r="C80" s="95">
        <v>17.3</v>
      </c>
      <c r="D80" s="92">
        <v>-1.7045454500000001E-2</v>
      </c>
      <c r="E80" s="93">
        <v>193233792.14779925</v>
      </c>
      <c r="F80" s="35"/>
      <c r="G80" s="35"/>
      <c r="H80" s="35"/>
      <c r="I80" s="35"/>
    </row>
    <row r="81" spans="1:9">
      <c r="A81" s="40" t="s">
        <v>242</v>
      </c>
      <c r="B81" s="11" t="s">
        <v>243</v>
      </c>
      <c r="C81" s="95">
        <v>1135</v>
      </c>
      <c r="D81" s="92">
        <v>-1.73160173E-2</v>
      </c>
      <c r="E81" s="93">
        <v>524278.18927422998</v>
      </c>
      <c r="F81" s="35"/>
      <c r="G81" s="35"/>
      <c r="H81" s="35"/>
      <c r="I81" s="35"/>
    </row>
    <row r="82" spans="1:9">
      <c r="A82" s="40" t="s">
        <v>181</v>
      </c>
      <c r="B82" s="11" t="s">
        <v>182</v>
      </c>
      <c r="C82" s="95">
        <v>4485</v>
      </c>
      <c r="D82" s="92">
        <v>-1.7524643999999999E-2</v>
      </c>
      <c r="E82" s="93">
        <v>124734.63002579</v>
      </c>
      <c r="F82" s="35"/>
      <c r="G82" s="35"/>
      <c r="H82" s="35"/>
      <c r="I82" s="35"/>
    </row>
    <row r="83" spans="1:9">
      <c r="A83" s="40" t="s">
        <v>332</v>
      </c>
      <c r="B83" s="11" t="s">
        <v>333</v>
      </c>
      <c r="C83" s="95">
        <v>151100</v>
      </c>
      <c r="D83" s="92">
        <v>-1.7555266600000001E-2</v>
      </c>
      <c r="E83" s="93">
        <v>8597.3222406099994</v>
      </c>
      <c r="F83" s="35"/>
      <c r="G83" s="35"/>
      <c r="H83" s="35"/>
      <c r="I83" s="35"/>
    </row>
    <row r="84" spans="1:9">
      <c r="A84" s="40" t="s">
        <v>226</v>
      </c>
      <c r="B84" s="11" t="s">
        <v>227</v>
      </c>
      <c r="C84" s="95">
        <v>1110</v>
      </c>
      <c r="D84" s="92">
        <v>-1.7699115000000001E-2</v>
      </c>
      <c r="E84" s="93">
        <v>1439500.5051126999</v>
      </c>
      <c r="F84" s="35"/>
      <c r="G84" s="35"/>
      <c r="H84" s="35"/>
      <c r="I84" s="35"/>
    </row>
    <row r="85" spans="1:9">
      <c r="A85" s="40" t="s">
        <v>344</v>
      </c>
      <c r="B85" s="11" t="s">
        <v>345</v>
      </c>
      <c r="C85" s="95">
        <v>1650</v>
      </c>
      <c r="D85" s="92">
        <v>-1.7857142900000001E-2</v>
      </c>
      <c r="E85" s="93">
        <v>1092813.0427008299</v>
      </c>
      <c r="F85" s="35"/>
      <c r="G85" s="35"/>
      <c r="H85" s="35"/>
      <c r="I85" s="35"/>
    </row>
    <row r="86" spans="1:9">
      <c r="A86" s="40" t="s">
        <v>50</v>
      </c>
      <c r="B86" s="11" t="s">
        <v>51</v>
      </c>
      <c r="C86" s="95">
        <v>219</v>
      </c>
      <c r="D86" s="92">
        <v>-1.79372197E-2</v>
      </c>
      <c r="E86" s="93">
        <v>12398297.087818479</v>
      </c>
      <c r="F86" s="35"/>
      <c r="G86" s="35"/>
      <c r="H86" s="35"/>
      <c r="I86" s="35"/>
    </row>
    <row r="87" spans="1:9">
      <c r="A87" s="40" t="s">
        <v>230</v>
      </c>
      <c r="B87" s="11" t="s">
        <v>231</v>
      </c>
      <c r="C87" s="95">
        <v>380</v>
      </c>
      <c r="D87" s="92">
        <v>-1.80878553E-2</v>
      </c>
      <c r="E87" s="93">
        <v>897366.62226834998</v>
      </c>
      <c r="F87" s="35"/>
      <c r="G87" s="35"/>
      <c r="H87" s="35"/>
      <c r="I87" s="35"/>
    </row>
    <row r="88" spans="1:9">
      <c r="A88" s="40" t="s">
        <v>169</v>
      </c>
      <c r="B88" s="11" t="s">
        <v>170</v>
      </c>
      <c r="C88" s="95">
        <v>646</v>
      </c>
      <c r="D88" s="92">
        <v>-1.82370821E-2</v>
      </c>
      <c r="E88" s="93">
        <v>5315089.9817360602</v>
      </c>
      <c r="F88" s="35"/>
      <c r="G88" s="35"/>
      <c r="H88" s="35"/>
      <c r="I88" s="35"/>
    </row>
    <row r="89" spans="1:9">
      <c r="A89" s="40" t="s">
        <v>240</v>
      </c>
      <c r="B89" s="11" t="s">
        <v>241</v>
      </c>
      <c r="C89" s="95">
        <v>5160</v>
      </c>
      <c r="D89" s="92">
        <v>-1.9011406799999998E-2</v>
      </c>
      <c r="E89" s="93">
        <v>100057.77404721</v>
      </c>
      <c r="F89" s="35"/>
      <c r="G89" s="35"/>
      <c r="H89" s="35"/>
      <c r="I89" s="35"/>
    </row>
    <row r="90" spans="1:9">
      <c r="A90" s="40" t="s">
        <v>90</v>
      </c>
      <c r="B90" s="11" t="s">
        <v>91</v>
      </c>
      <c r="C90" s="95">
        <v>36620</v>
      </c>
      <c r="D90" s="92">
        <v>-1.9019555300000001E-2</v>
      </c>
      <c r="E90" s="93">
        <v>21930.644207869998</v>
      </c>
      <c r="F90" s="35"/>
      <c r="G90" s="35"/>
      <c r="H90" s="35"/>
      <c r="I90" s="35"/>
    </row>
    <row r="91" spans="1:9">
      <c r="A91" s="40" t="s">
        <v>190</v>
      </c>
      <c r="B91" s="11" t="s">
        <v>191</v>
      </c>
      <c r="C91" s="95">
        <v>2040</v>
      </c>
      <c r="D91" s="92">
        <v>-1.9230769200000001E-2</v>
      </c>
      <c r="E91" s="93">
        <v>729121.08254166006</v>
      </c>
      <c r="F91" s="35"/>
      <c r="G91" s="35"/>
      <c r="H91" s="35"/>
      <c r="I91" s="35"/>
    </row>
    <row r="92" spans="1:9">
      <c r="A92" s="40" t="s">
        <v>179</v>
      </c>
      <c r="B92" s="11" t="s">
        <v>180</v>
      </c>
      <c r="C92" s="95">
        <v>899</v>
      </c>
      <c r="D92" s="92">
        <v>-1.9629225699999999E-2</v>
      </c>
      <c r="E92" s="93">
        <v>2318112.0151328901</v>
      </c>
      <c r="F92" s="35"/>
      <c r="G92" s="35"/>
      <c r="H92" s="35"/>
      <c r="I92" s="35"/>
    </row>
    <row r="93" spans="1:9">
      <c r="A93" s="40" t="s">
        <v>216</v>
      </c>
      <c r="B93" s="11" t="s">
        <v>217</v>
      </c>
      <c r="C93" s="95">
        <v>198</v>
      </c>
      <c r="D93" s="92">
        <v>-1.9801980199999999E-2</v>
      </c>
      <c r="E93" s="93">
        <v>7627559.1156294299</v>
      </c>
      <c r="F93" s="35"/>
      <c r="G93" s="35"/>
      <c r="H93" s="35"/>
      <c r="I93" s="35"/>
    </row>
    <row r="94" spans="1:9">
      <c r="A94" s="40" t="s">
        <v>220</v>
      </c>
      <c r="B94" s="11" t="s">
        <v>221</v>
      </c>
      <c r="C94" s="95">
        <v>906</v>
      </c>
      <c r="D94" s="92">
        <v>-2.0540540499999999E-2</v>
      </c>
      <c r="E94" s="93">
        <v>11023632.32473602</v>
      </c>
      <c r="F94" s="35"/>
      <c r="G94" s="35"/>
      <c r="H94" s="35"/>
      <c r="I94" s="35"/>
    </row>
    <row r="95" spans="1:9">
      <c r="A95" s="40" t="s">
        <v>115</v>
      </c>
      <c r="B95" s="11" t="s">
        <v>116</v>
      </c>
      <c r="C95" s="95">
        <v>3075</v>
      </c>
      <c r="D95" s="92">
        <v>-2.07006369E-2</v>
      </c>
      <c r="E95" s="93">
        <v>189822.56071423</v>
      </c>
      <c r="F95" s="35"/>
      <c r="G95" s="35"/>
      <c r="H95" s="35"/>
      <c r="I95" s="35"/>
    </row>
    <row r="96" spans="1:9">
      <c r="A96" s="40" t="s">
        <v>218</v>
      </c>
      <c r="B96" s="11" t="s">
        <v>219</v>
      </c>
      <c r="C96" s="95">
        <v>2805</v>
      </c>
      <c r="D96" s="92">
        <v>-2.0942408400000001E-2</v>
      </c>
      <c r="E96" s="93">
        <v>279264.18897706002</v>
      </c>
      <c r="F96" s="35"/>
      <c r="G96" s="35"/>
      <c r="H96" s="35"/>
      <c r="I96" s="35"/>
    </row>
    <row r="97" spans="1:9">
      <c r="A97" s="40" t="s">
        <v>135</v>
      </c>
      <c r="B97" s="11" t="s">
        <v>136</v>
      </c>
      <c r="C97" s="95">
        <v>4870</v>
      </c>
      <c r="D97" s="92">
        <v>-2.11055276E-2</v>
      </c>
      <c r="E97" s="93">
        <v>238054.72887744001</v>
      </c>
      <c r="F97" s="35"/>
      <c r="G97" s="35"/>
      <c r="H97" s="35"/>
      <c r="I97" s="35"/>
    </row>
    <row r="98" spans="1:9">
      <c r="A98" s="40" t="s">
        <v>214</v>
      </c>
      <c r="B98" s="11" t="s">
        <v>215</v>
      </c>
      <c r="C98" s="95">
        <v>135</v>
      </c>
      <c r="D98" s="92">
        <v>-2.1739130400000001E-2</v>
      </c>
      <c r="E98" s="93">
        <v>3764571.7352074701</v>
      </c>
      <c r="F98" s="35"/>
      <c r="G98" s="35"/>
      <c r="H98" s="35"/>
      <c r="I98" s="35"/>
    </row>
    <row r="99" spans="1:9">
      <c r="A99" s="40" t="s">
        <v>340</v>
      </c>
      <c r="B99" s="11" t="s">
        <v>341</v>
      </c>
      <c r="C99" s="95">
        <v>8.7999999999999995E-2</v>
      </c>
      <c r="D99" s="92">
        <v>-2.2222222199999999E-2</v>
      </c>
      <c r="E99" s="93">
        <v>20195717130.567978</v>
      </c>
      <c r="F99" s="35"/>
      <c r="G99" s="35"/>
      <c r="H99" s="35"/>
      <c r="I99" s="35"/>
    </row>
    <row r="100" spans="1:9">
      <c r="A100" s="40" t="s">
        <v>112</v>
      </c>
      <c r="B100" s="11" t="s">
        <v>113</v>
      </c>
      <c r="C100" s="95">
        <v>3910</v>
      </c>
      <c r="D100" s="92">
        <v>-2.2499999999999999E-2</v>
      </c>
      <c r="E100" s="93">
        <v>311095.2246665</v>
      </c>
      <c r="F100" s="35"/>
      <c r="G100" s="35"/>
      <c r="H100" s="35"/>
      <c r="I100" s="35"/>
    </row>
    <row r="101" spans="1:9">
      <c r="A101" s="40" t="s">
        <v>65</v>
      </c>
      <c r="B101" s="11" t="s">
        <v>66</v>
      </c>
      <c r="C101" s="95">
        <v>2635</v>
      </c>
      <c r="D101" s="92">
        <v>-2.4074074099999999E-2</v>
      </c>
      <c r="E101" s="93">
        <v>361136.51096422999</v>
      </c>
      <c r="F101" s="35"/>
      <c r="G101" s="35"/>
      <c r="H101" s="35"/>
      <c r="I101" s="35"/>
    </row>
    <row r="102" spans="1:9">
      <c r="A102" s="40" t="s">
        <v>224</v>
      </c>
      <c r="B102" s="11" t="s">
        <v>225</v>
      </c>
      <c r="C102" s="95">
        <v>354</v>
      </c>
      <c r="D102" s="92">
        <v>-2.4793388400000001E-2</v>
      </c>
      <c r="E102" s="93">
        <v>4947919.8220845498</v>
      </c>
      <c r="F102" s="35"/>
      <c r="G102" s="35"/>
      <c r="H102" s="35"/>
      <c r="I102" s="35"/>
    </row>
    <row r="103" spans="1:9">
      <c r="A103" s="40" t="s">
        <v>248</v>
      </c>
      <c r="B103" s="11" t="s">
        <v>249</v>
      </c>
      <c r="C103" s="95">
        <v>232</v>
      </c>
      <c r="D103" s="92">
        <v>-2.5210084000000001E-2</v>
      </c>
      <c r="E103" s="93">
        <v>2954391.44197613</v>
      </c>
      <c r="F103" s="35"/>
      <c r="G103" s="35"/>
      <c r="H103" s="35"/>
      <c r="I103" s="35"/>
    </row>
    <row r="104" spans="1:9">
      <c r="A104" s="40" t="s">
        <v>347</v>
      </c>
      <c r="B104" s="11" t="s">
        <v>348</v>
      </c>
      <c r="C104" s="95">
        <v>190</v>
      </c>
      <c r="D104" s="92">
        <v>-2.5641025599999999E-2</v>
      </c>
      <c r="E104" s="93">
        <v>46257225.284122407</v>
      </c>
      <c r="F104" s="35"/>
      <c r="G104" s="35"/>
      <c r="H104" s="35"/>
      <c r="I104" s="35"/>
    </row>
    <row r="105" spans="1:9">
      <c r="A105" s="40" t="s">
        <v>204</v>
      </c>
      <c r="B105" s="11" t="s">
        <v>205</v>
      </c>
      <c r="C105" s="95">
        <v>11.3</v>
      </c>
      <c r="D105" s="92">
        <v>-2.5862069000000001E-2</v>
      </c>
      <c r="E105" s="93">
        <v>130100875.83141309</v>
      </c>
      <c r="F105" s="35"/>
      <c r="G105" s="35"/>
      <c r="H105" s="35"/>
      <c r="I105" s="35"/>
    </row>
    <row r="106" spans="1:9">
      <c r="A106" s="40" t="s">
        <v>326</v>
      </c>
      <c r="B106" s="11" t="s">
        <v>327</v>
      </c>
      <c r="C106" s="95">
        <v>622</v>
      </c>
      <c r="D106" s="92">
        <v>-2.66040689E-2</v>
      </c>
      <c r="E106" s="93">
        <v>20717225.870016001</v>
      </c>
      <c r="F106" s="35"/>
      <c r="G106" s="35"/>
      <c r="H106" s="35"/>
      <c r="I106" s="35"/>
    </row>
    <row r="107" spans="1:9">
      <c r="A107" s="40" t="s">
        <v>183</v>
      </c>
      <c r="B107" s="11" t="s">
        <v>346</v>
      </c>
      <c r="C107" s="95">
        <v>9.49</v>
      </c>
      <c r="D107" s="92">
        <v>-2.6666666700000001E-2</v>
      </c>
      <c r="E107" s="93">
        <v>813833155.96123362</v>
      </c>
      <c r="F107" s="35"/>
      <c r="G107" s="35"/>
      <c r="H107" s="35"/>
      <c r="I107" s="35"/>
    </row>
    <row r="108" spans="1:9">
      <c r="A108" s="40" t="s">
        <v>246</v>
      </c>
      <c r="B108" s="11" t="s">
        <v>247</v>
      </c>
      <c r="C108" s="95">
        <v>709</v>
      </c>
      <c r="D108" s="92">
        <v>-2.74348422E-2</v>
      </c>
      <c r="E108" s="93">
        <v>2510123.6987132598</v>
      </c>
      <c r="F108" s="35"/>
      <c r="G108" s="35"/>
      <c r="H108" s="35"/>
      <c r="I108" s="35"/>
    </row>
    <row r="109" spans="1:9">
      <c r="A109" s="40" t="s">
        <v>186</v>
      </c>
      <c r="B109" s="11" t="s">
        <v>187</v>
      </c>
      <c r="C109" s="95">
        <v>244</v>
      </c>
      <c r="D109" s="92">
        <v>-2.78884462E-2</v>
      </c>
      <c r="E109" s="41">
        <v>10229022.260355379</v>
      </c>
    </row>
    <row r="110" spans="1:9">
      <c r="A110" s="40" t="s">
        <v>177</v>
      </c>
      <c r="B110" s="11" t="s">
        <v>178</v>
      </c>
      <c r="C110" s="95">
        <v>46720</v>
      </c>
      <c r="D110" s="92">
        <v>-2.8286189699999999E-2</v>
      </c>
      <c r="E110" s="41">
        <v>78727.804611240004</v>
      </c>
    </row>
    <row r="111" spans="1:9">
      <c r="A111" s="40" t="s">
        <v>222</v>
      </c>
      <c r="B111" s="11" t="s">
        <v>223</v>
      </c>
      <c r="C111" s="95">
        <v>964</v>
      </c>
      <c r="D111" s="92">
        <v>-3.11557789E-2</v>
      </c>
      <c r="E111" s="41">
        <v>11121752.94944752</v>
      </c>
    </row>
    <row r="112" spans="1:9">
      <c r="A112" s="40" t="s">
        <v>72</v>
      </c>
      <c r="B112" s="11" t="s">
        <v>73</v>
      </c>
      <c r="C112" s="95">
        <v>36750</v>
      </c>
      <c r="D112" s="92">
        <v>-3.5686171599999997E-2</v>
      </c>
      <c r="E112" s="41">
        <v>341182.92758250999</v>
      </c>
    </row>
    <row r="113" spans="1:5">
      <c r="A113" s="40" t="s">
        <v>84</v>
      </c>
      <c r="B113" s="11" t="s">
        <v>85</v>
      </c>
      <c r="C113" s="95">
        <v>275</v>
      </c>
      <c r="D113" s="92">
        <v>-4.1811846700000002E-2</v>
      </c>
      <c r="E113" s="41">
        <v>121512341.48450369</v>
      </c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A243" workbookViewId="0">
      <selection activeCell="B250" sqref="B250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73" t="str">
        <f>TEXT(투자전략!$G$1, "[$-ko-KR]yyyy년 mm월") &amp; " 총결산"</f>
        <v>2022년 03월 총결산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5"/>
    </row>
    <row r="2" spans="1:15" ht="16.5" customHeight="1" thickBot="1">
      <c r="A2" s="179" t="s">
        <v>284</v>
      </c>
      <c r="B2" s="180"/>
      <c r="C2" s="180"/>
      <c r="D2" s="171" t="s">
        <v>280</v>
      </c>
      <c r="E2" s="171"/>
      <c r="F2" s="172"/>
      <c r="G2" s="173" t="s">
        <v>281</v>
      </c>
      <c r="H2" s="174"/>
      <c r="I2" s="175"/>
      <c r="J2" s="170" t="s">
        <v>282</v>
      </c>
      <c r="K2" s="171"/>
      <c r="L2" s="171"/>
      <c r="M2" s="171" t="s">
        <v>283</v>
      </c>
      <c r="N2" s="171"/>
      <c r="O2" s="172"/>
    </row>
    <row r="3" spans="1:15" ht="16.5" customHeight="1">
      <c r="A3" s="250">
        <v>1</v>
      </c>
      <c r="B3" s="180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동전코인 Bottom20</v>
      </c>
      <c r="C3" s="181"/>
      <c r="D3" s="179" t="s">
        <v>285</v>
      </c>
      <c r="E3" s="180"/>
      <c r="F3" s="181"/>
      <c r="G3" s="179" t="s">
        <v>292</v>
      </c>
      <c r="H3" s="180"/>
      <c r="I3" s="181"/>
      <c r="J3" s="179" t="s">
        <v>299</v>
      </c>
      <c r="K3" s="180"/>
      <c r="L3" s="181"/>
      <c r="M3" s="179" t="s">
        <v>306</v>
      </c>
      <c r="N3" s="180"/>
      <c r="O3" s="181"/>
    </row>
    <row r="4" spans="1:15" ht="16.5" customHeight="1" thickBot="1">
      <c r="A4" s="251"/>
      <c r="B4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100,667 KRW (3.36%)</v>
      </c>
      <c r="C4" s="187"/>
      <c r="D4" s="185" t="str">
        <f ca="1" xml:space="preserve"> TEXT($F$92, "#,##0") &amp; " KRW (" &amp; TEXT($E$92, "0.00%)")</f>
        <v>-133,656 KRW (-4.46%)</v>
      </c>
      <c r="E4" s="186"/>
      <c r="F4" s="187"/>
      <c r="G4" s="185" t="str">
        <f ca="1" xml:space="preserve"> TEXT($I$92, "#,##0") &amp; " KRW (" &amp; TEXT($H$92, "0.00%)")</f>
        <v>-77,872 KRW (-2.60%)</v>
      </c>
      <c r="H4" s="186"/>
      <c r="I4" s="187"/>
      <c r="J4" s="185" t="str">
        <f ca="1" xml:space="preserve"> TEXT($L$92, "#,##0") &amp; " KRW (" &amp; TEXT($K$92, "0.00%)")</f>
        <v>20,966 KRW (0.70%)</v>
      </c>
      <c r="K4" s="186"/>
      <c r="L4" s="187"/>
      <c r="M4" s="185" t="str">
        <f ca="1" xml:space="preserve"> TEXT($O$92, "#,##0") &amp; " KRW (" &amp; TEXT($N$92, "0.00%)")</f>
        <v>-111,038 KRW (-3.70%)</v>
      </c>
      <c r="N4" s="186"/>
      <c r="O4" s="187"/>
    </row>
    <row r="5" spans="1:15" ht="16.5" customHeight="1">
      <c r="A5" s="250">
        <v>2</v>
      </c>
      <c r="B5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Bottom20</v>
      </c>
      <c r="C5" s="181"/>
      <c r="D5" s="179" t="s">
        <v>286</v>
      </c>
      <c r="E5" s="180"/>
      <c r="F5" s="181"/>
      <c r="G5" s="179" t="s">
        <v>293</v>
      </c>
      <c r="H5" s="180"/>
      <c r="I5" s="181"/>
      <c r="J5" s="179" t="s">
        <v>300</v>
      </c>
      <c r="K5" s="180"/>
      <c r="L5" s="181"/>
      <c r="M5" s="179" t="s">
        <v>307</v>
      </c>
      <c r="N5" s="180"/>
      <c r="O5" s="181"/>
    </row>
    <row r="6" spans="1:15" ht="16.5" customHeight="1" thickBot="1">
      <c r="A6" s="251"/>
      <c r="B6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55,201 KRW (1.84%)</v>
      </c>
      <c r="C6" s="187"/>
      <c r="D6" s="185" t="str">
        <f ca="1" xml:space="preserve"> TEXT($F$130, "#,##0") &amp; " KRW (" &amp; TEXT($E$130, "0.00%)")</f>
        <v>-175,259 KRW (-5.84%)</v>
      </c>
      <c r="E6" s="186"/>
      <c r="F6" s="187"/>
      <c r="G6" s="185" t="str">
        <f ca="1" xml:space="preserve"> TEXT($I$130, "#,##0") &amp; " KRW (" &amp; TEXT($H$130, "0.00%)")</f>
        <v>-70,619 KRW (-2.35%)</v>
      </c>
      <c r="H6" s="186"/>
      <c r="I6" s="187"/>
      <c r="J6" s="185" t="str">
        <f ca="1" xml:space="preserve"> TEXT($L$130, "#,##0") &amp; " KRW (" &amp; TEXT($K$130, "0.00%)")</f>
        <v>15,218 KRW (0.51%)</v>
      </c>
      <c r="K6" s="186"/>
      <c r="L6" s="187"/>
      <c r="M6" s="185" t="str">
        <f ca="1" xml:space="preserve"> TEXT($O$130, "#,##0") &amp; " KRW (" &amp; TEXT($N$130, "0.00%)")</f>
        <v>-107,952 KRW (-3.60%)</v>
      </c>
      <c r="N6" s="186"/>
      <c r="O6" s="187"/>
    </row>
    <row r="7" spans="1:15" ht="16.5" customHeight="1">
      <c r="A7" s="250">
        <v>3</v>
      </c>
      <c r="B7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전일대비 상승률 Bottom20</v>
      </c>
      <c r="C7" s="181"/>
      <c r="D7" s="179" t="s">
        <v>287</v>
      </c>
      <c r="E7" s="180"/>
      <c r="F7" s="181"/>
      <c r="G7" s="179" t="s">
        <v>294</v>
      </c>
      <c r="H7" s="180"/>
      <c r="I7" s="181"/>
      <c r="J7" s="179" t="s">
        <v>301</v>
      </c>
      <c r="K7" s="180"/>
      <c r="L7" s="181"/>
      <c r="M7" s="179" t="s">
        <v>308</v>
      </c>
      <c r="N7" s="180"/>
      <c r="O7" s="181"/>
    </row>
    <row r="8" spans="1:15" ht="16.5" customHeight="1" thickBot="1">
      <c r="A8" s="251"/>
      <c r="B8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42,001 KRW (1.40%)</v>
      </c>
      <c r="C8" s="187"/>
      <c r="D8" s="185" t="str">
        <f ca="1" xml:space="preserve"> TEXT($F$206, "#,##0") &amp; " KRW (" &amp; TEXT($E$206, "0.00%)")</f>
        <v>-105,852 KRW (-3.53%)</v>
      </c>
      <c r="E8" s="186"/>
      <c r="F8" s="187"/>
      <c r="G8" s="185" t="str">
        <f ca="1" xml:space="preserve"> TEXT($I$206, "#,##0") &amp; " KRW (" &amp; TEXT($H$206, "0.00%)")</f>
        <v>-44,502 KRW (-1.48%)</v>
      </c>
      <c r="H8" s="186"/>
      <c r="I8" s="187"/>
      <c r="J8" s="185" t="str">
        <f ca="1" xml:space="preserve"> TEXT($L$206, "#,##0") &amp; " KRW (" &amp; TEXT($K$206, "0.00%)")</f>
        <v>55,201 KRW (1.84%)</v>
      </c>
      <c r="K8" s="186"/>
      <c r="L8" s="187"/>
      <c r="M8" s="185" t="str">
        <f ca="1" xml:space="preserve"> TEXT($O$206, "#,##0") &amp; " KRW (" &amp; TEXT($N$206, "0.00%)")</f>
        <v>-79,270 KRW (-2.64%)</v>
      </c>
      <c r="N8" s="186"/>
      <c r="O8" s="187"/>
    </row>
    <row r="9" spans="1:15" ht="16.5" customHeight="1">
      <c r="A9" s="250">
        <v>4</v>
      </c>
      <c r="B9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엽전코인 Top20</v>
      </c>
      <c r="C9" s="181"/>
      <c r="D9" s="179" t="s">
        <v>288</v>
      </c>
      <c r="E9" s="180"/>
      <c r="F9" s="181"/>
      <c r="G9" s="179" t="s">
        <v>295</v>
      </c>
      <c r="H9" s="180"/>
      <c r="I9" s="181"/>
      <c r="J9" s="179" t="s">
        <v>302</v>
      </c>
      <c r="K9" s="180"/>
      <c r="L9" s="181"/>
      <c r="M9" s="179" t="s">
        <v>309</v>
      </c>
      <c r="N9" s="180"/>
      <c r="O9" s="181"/>
    </row>
    <row r="10" spans="1:15" ht="16.5" customHeight="1" thickBot="1">
      <c r="A10" s="251"/>
      <c r="B10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20,966 KRW (0.70%)</v>
      </c>
      <c r="C10" s="187"/>
      <c r="D10" s="185" t="str">
        <f ca="1" xml:space="preserve"> TEXT($F$244, "#,##0") &amp; " KRW (" &amp; TEXT($E$244, "0.00%)")</f>
        <v>-120,987 KRW (-4.03%)</v>
      </c>
      <c r="E10" s="186"/>
      <c r="F10" s="187"/>
      <c r="G10" s="185" t="str">
        <f ca="1" xml:space="preserve"> TEXT($I$244, "#,##0") &amp; " KRW (" &amp; TEXT($H$244, "0.00%)")</f>
        <v>6,114 KRW (0.20%)</v>
      </c>
      <c r="H10" s="186"/>
      <c r="I10" s="187"/>
      <c r="J10" s="185" t="str">
        <f ca="1" xml:space="preserve"> TEXT($L$244, "#,##0") &amp; " KRW (" &amp; TEXT($K$244, "0.00%)")</f>
        <v>100,667 KRW (3.36%)</v>
      </c>
      <c r="K10" s="186"/>
      <c r="L10" s="187"/>
      <c r="M10" s="185" t="str">
        <f ca="1" xml:space="preserve"> TEXT($O$244, "#,##0") &amp; " KRW (" &amp; TEXT($N$244, "0.00%)")</f>
        <v>-59,472 KRW (-1.98%)</v>
      </c>
      <c r="N10" s="186"/>
      <c r="O10" s="187"/>
    </row>
    <row r="11" spans="1:15" ht="16.5" customHeight="1">
      <c r="A11" s="250">
        <v>5</v>
      </c>
      <c r="B11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21:00] 동전코인 Top20</v>
      </c>
      <c r="C11" s="181"/>
      <c r="D11" s="179" t="s">
        <v>289</v>
      </c>
      <c r="E11" s="180"/>
      <c r="F11" s="181"/>
      <c r="G11" s="179" t="s">
        <v>296</v>
      </c>
      <c r="H11" s="180"/>
      <c r="I11" s="181"/>
      <c r="J11" s="179" t="s">
        <v>303</v>
      </c>
      <c r="K11" s="180"/>
      <c r="L11" s="181"/>
      <c r="M11" s="179" t="s">
        <v>310</v>
      </c>
      <c r="N11" s="180"/>
      <c r="O11" s="181"/>
    </row>
    <row r="12" spans="1:15" ht="16.5" customHeight="1" thickBot="1">
      <c r="A12" s="251"/>
      <c r="B12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15,218 KRW (0.51%)</v>
      </c>
      <c r="C12" s="187"/>
      <c r="D12" s="185" t="str">
        <f ca="1" xml:space="preserve"> TEXT($F$168, "#,##0") &amp; " KRW (" &amp; TEXT($E$168, "0.00%)")</f>
        <v>-178,269 KRW (-5.94%)</v>
      </c>
      <c r="E12" s="186"/>
      <c r="F12" s="187"/>
      <c r="G12" s="185" t="str">
        <f ca="1" xml:space="preserve"> TEXT($I$168, "#,##0") &amp; " KRW (" &amp; TEXT($H$168, "0.00%)")</f>
        <v>-139,389 KRW (-4.65%)</v>
      </c>
      <c r="H12" s="186"/>
      <c r="I12" s="187"/>
      <c r="J12" s="185" t="str">
        <f ca="1" xml:space="preserve"> TEXT($L$168, "#,##0") &amp; " KRW (" &amp; TEXT($K$168, "0.00%)")</f>
        <v>-40,853 KRW (-1.36%)</v>
      </c>
      <c r="K12" s="186"/>
      <c r="L12" s="187"/>
      <c r="M12" s="185" t="str">
        <f ca="1" xml:space="preserve"> TEXT($O$168, "#,##0") &amp; " KRW (" &amp; TEXT($N$168, "0.00%)")</f>
        <v>-165,351 KRW (-5.51%)</v>
      </c>
      <c r="N12" s="186"/>
      <c r="O12" s="187"/>
    </row>
    <row r="13" spans="1:15" ht="16.5" customHeight="1">
      <c r="A13" s="250">
        <v>6</v>
      </c>
      <c r="B13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동전코인 Bottom20</v>
      </c>
      <c r="C13" s="181"/>
      <c r="D13" s="179" t="s">
        <v>290</v>
      </c>
      <c r="E13" s="180"/>
      <c r="F13" s="181"/>
      <c r="G13" s="179" t="s">
        <v>297</v>
      </c>
      <c r="H13" s="180"/>
      <c r="I13" s="181"/>
      <c r="J13" s="179" t="s">
        <v>304</v>
      </c>
      <c r="K13" s="180"/>
      <c r="L13" s="181"/>
      <c r="M13" s="179" t="s">
        <v>311</v>
      </c>
      <c r="N13" s="180"/>
      <c r="O13" s="181"/>
    </row>
    <row r="14" spans="1:15" ht="16.5" customHeight="1" thickBot="1">
      <c r="A14" s="251"/>
      <c r="B14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6,114 KRW (0.20%)</v>
      </c>
      <c r="C14" s="187"/>
      <c r="D14" s="185" t="str">
        <f ca="1" xml:space="preserve"> TEXT($F$282, "#,##0") &amp; " KRW (" &amp; TEXT($E$282, "0.00%)")</f>
        <v>-143,147 KRW (-4.77%)</v>
      </c>
      <c r="E14" s="186"/>
      <c r="F14" s="187"/>
      <c r="G14" s="185" t="str">
        <f ca="1" xml:space="preserve"> TEXT($I$282, "#,##0") &amp; " KRW (" &amp; TEXT($H$282, "0.00%)")</f>
        <v>-80,495 KRW (-2.68%)</v>
      </c>
      <c r="H14" s="186"/>
      <c r="I14" s="187"/>
      <c r="J14" s="185" t="str">
        <f ca="1" xml:space="preserve"> TEXT($L$282, "#,##0") &amp; " KRW (" &amp; TEXT($K$282, "0.00%)")</f>
        <v>42,001 KRW (1.40%)</v>
      </c>
      <c r="K14" s="186"/>
      <c r="L14" s="187"/>
      <c r="M14" s="185" t="str">
        <f ca="1" xml:space="preserve"> TEXT($O$282, "#,##0") &amp; " KRW (" &amp; TEXT($N$282, "0.00%)")</f>
        <v>-100,500 KRW (-3.35%)</v>
      </c>
      <c r="N14" s="186"/>
      <c r="O14" s="187"/>
    </row>
    <row r="15" spans="1:15" ht="16.5" customHeight="1">
      <c r="A15" s="250">
        <v>7</v>
      </c>
      <c r="B15" s="17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실거래종목</v>
      </c>
      <c r="C15" s="181"/>
      <c r="D15" s="179" t="s">
        <v>291</v>
      </c>
      <c r="E15" s="180"/>
      <c r="F15" s="181"/>
      <c r="G15" s="179" t="s">
        <v>298</v>
      </c>
      <c r="H15" s="180"/>
      <c r="I15" s="181"/>
      <c r="J15" s="179" t="s">
        <v>305</v>
      </c>
      <c r="K15" s="180"/>
      <c r="L15" s="181"/>
      <c r="M15" s="179" t="s">
        <v>312</v>
      </c>
      <c r="N15" s="180"/>
      <c r="O15" s="181"/>
    </row>
    <row r="16" spans="1:15" ht="16.5" customHeight="1" thickBot="1">
      <c r="A16" s="251"/>
      <c r="B16" s="18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6" s="187"/>
      <c r="D16" s="185" t="str">
        <f ca="1" xml:space="preserve"> TEXT($F$54, "#,##0") &amp; " KRW (" &amp; TEXT($E$54, "0.00%)")</f>
        <v>0 KRW (0.00%)</v>
      </c>
      <c r="E16" s="186"/>
      <c r="F16" s="187"/>
      <c r="G16" s="185" t="str">
        <f ca="1" xml:space="preserve"> TEXT($I$54, "#,##0") &amp; " KRW (" &amp; TEXT($H$54, "0.00%)")</f>
        <v>0 KRW (0.00%)</v>
      </c>
      <c r="H16" s="186"/>
      <c r="I16" s="187"/>
      <c r="J16" s="185" t="str">
        <f ca="1" xml:space="preserve"> TEXT($L$54, "#,##0") &amp; " KRW (" &amp; TEXT($K$54, "0.00%)")</f>
        <v>0 KRW (0.00%)</v>
      </c>
      <c r="K16" s="186"/>
      <c r="L16" s="187"/>
      <c r="M16" s="185" t="str">
        <f ca="1" xml:space="preserve"> TEXT($O$54, "#,##0") &amp; " KRW (" &amp; TEXT($N$54, "0.00%)")</f>
        <v>0 KRW (0.00%)</v>
      </c>
      <c r="N16" s="186"/>
      <c r="O16" s="187"/>
    </row>
    <row r="18" spans="1:15" ht="16.5" customHeight="1" thickBot="1"/>
    <row r="19" spans="1:15" ht="16.5" customHeight="1" thickBot="1">
      <c r="A19" s="170" t="str">
        <f>TEXT(투자전략!$G$1, "[$-ko-KR]yyyy년 mm월 ") &amp; "실거래 월말결산"</f>
        <v>2022년 03월 실거래 월말결산</v>
      </c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2"/>
    </row>
    <row r="20" spans="1:15" ht="16.5" customHeight="1" thickBot="1">
      <c r="A20" s="231" t="s">
        <v>279</v>
      </c>
      <c r="B20" s="185" t="s">
        <v>277</v>
      </c>
      <c r="C20" s="187"/>
      <c r="D20" s="185" t="s">
        <v>269</v>
      </c>
      <c r="E20" s="186"/>
      <c r="F20" s="187"/>
      <c r="G20" s="185" t="s">
        <v>270</v>
      </c>
      <c r="H20" s="186"/>
      <c r="I20" s="187"/>
      <c r="J20" s="185" t="s">
        <v>271</v>
      </c>
      <c r="K20" s="186"/>
      <c r="L20" s="187"/>
      <c r="M20" s="185" t="s">
        <v>272</v>
      </c>
      <c r="N20" s="186"/>
      <c r="O20" s="187"/>
    </row>
    <row r="21" spans="1:15" ht="16.5" customHeight="1" thickBot="1">
      <c r="A21" s="235"/>
      <c r="B21" s="146" t="s">
        <v>267</v>
      </c>
      <c r="C21" s="146" t="s">
        <v>42</v>
      </c>
      <c r="D21" s="121" t="s">
        <v>268</v>
      </c>
      <c r="E21" s="133" t="s">
        <v>40</v>
      </c>
      <c r="F21" s="149" t="s">
        <v>41</v>
      </c>
      <c r="G21" s="121" t="s">
        <v>268</v>
      </c>
      <c r="H21" s="133" t="s">
        <v>40</v>
      </c>
      <c r="I21" s="149" t="s">
        <v>41</v>
      </c>
      <c r="J21" s="121" t="s">
        <v>268</v>
      </c>
      <c r="K21" s="133" t="s">
        <v>40</v>
      </c>
      <c r="L21" s="149" t="s">
        <v>41</v>
      </c>
      <c r="M21" s="121" t="s">
        <v>268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61" t="str">
        <f>HYPERLINK("#'" &amp; TEXT(투자전략!$G$1+0, "[$-ko-KR]yyyy.mm.dd") &amp; "'!A13:O37", TEXT(투자전략!$G$1+0, "[$-ko-KR]yyyy.mm.dd"))</f>
        <v>2022.03.01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62" t="str">
        <f>HYPERLINK("#'" &amp; TEXT(투자전략!$G$1+1, "[$-ko-KR]yyyy.mm.dd") &amp; "'!A13:O37", TEXT(투자전략!$G$1+1, "[$-ko-KR]yyyy.mm.dd"))</f>
        <v>2022.03.02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62" t="str">
        <f>HYPERLINK("#'" &amp; TEXT(투자전략!$G$1+2, "[$-ko-KR]yyyy.mm.dd") &amp; "'!A13:O37", TEXT(투자전략!$G$1+2, "[$-ko-KR]yyyy.mm.dd"))</f>
        <v>2022.03.03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62" t="str">
        <f>HYPERLINK("#'" &amp; TEXT(투자전략!$G$1+3, "[$-ko-KR]yyyy.mm.dd") &amp; "'!A13:O37", TEXT(투자전략!$G$1+3, "[$-ko-KR]yyyy.mm.dd"))</f>
        <v>2022.03.04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62" t="str">
        <f>HYPERLINK("#'" &amp; TEXT(투자전략!$G$1+4, "[$-ko-KR]yyyy.mm.dd") &amp; "'!A13:O37", TEXT(투자전략!$G$1+4, "[$-ko-KR]yyyy.mm.dd"))</f>
        <v>2022.03.05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62" t="str">
        <f>HYPERLINK("#'" &amp; TEXT(투자전략!$G$1+5, "[$-ko-KR]yyyy.mm.dd") &amp; "'!A13:O37", TEXT(투자전략!$G$1+5, "[$-ko-KR]yyyy.mm.dd"))</f>
        <v>2022.03.06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63" t="str">
        <f>HYPERLINK("#'" &amp; TEXT(투자전략!$G$1+6, "[$-ko-KR]yyyy.mm.dd") &amp; "'!A13:O37", TEXT(투자전략!$G$1+6, "[$-ko-KR]yyyy.mm.dd"))</f>
        <v>2022.03.07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61" t="str">
        <f>HYPERLINK("#'" &amp; TEXT(투자전략!$G$1+7, "[$-ko-KR]yyyy.mm.dd") &amp; "'!A13:O37", TEXT(투자전략!$G$1+7, "[$-ko-KR]yyyy.mm.dd"))</f>
        <v>2022.03.08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62" t="str">
        <f>HYPERLINK("#'" &amp; TEXT(투자전략!$G$1+8, "[$-ko-KR]yyyy.mm.dd") &amp; "'!A13:O37", TEXT(투자전략!$G$1+8, "[$-ko-KR]yyyy.mm.dd"))</f>
        <v>2022.03.09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62" t="str">
        <f>HYPERLINK("#'" &amp; TEXT(투자전략!$G$1+9, "[$-ko-KR]yyyy.mm.dd") &amp; "'!A13:O37", TEXT(투자전략!$G$1+9, "[$-ko-KR]yyyy.mm.dd"))</f>
        <v>2022.03.10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62" t="str">
        <f>HYPERLINK("#'" &amp; TEXT(투자전략!$G$1+10, "[$-ko-KR]yyyy.mm.dd") &amp; "'!A13:O37", TEXT(투자전략!$G$1+10, "[$-ko-KR]yyyy.mm.dd"))</f>
        <v>2022.03.11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62" t="str">
        <f>HYPERLINK("#'" &amp; TEXT(투자전략!$G$1+11, "[$-ko-KR]yyyy.mm.dd") &amp; "'!A13:O37", TEXT(투자전략!$G$1+11, "[$-ko-KR]yyyy.mm.dd"))</f>
        <v>2022.03.12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62" t="str">
        <f>HYPERLINK("#'" &amp; TEXT(투자전략!$G$1+12, "[$-ko-KR]yyyy.mm.dd") &amp; "'!A13:O37", TEXT(투자전략!$G$1+12, "[$-ko-KR]yyyy.mm.dd"))</f>
        <v>2022.03.13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63" t="str">
        <f>HYPERLINK("#'" &amp; TEXT(투자전략!$G$1+13, "[$-ko-KR]yyyy.mm.dd") &amp; "'!A13:O37", TEXT(투자전략!$G$1+13, "[$-ko-KR]yyyy.mm.dd"))</f>
        <v>2022.03.14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61" t="str">
        <f>HYPERLINK("#'" &amp; TEXT(투자전략!$G$1+14, "[$-ko-KR]yyyy.mm.dd") &amp; "'!A13:O37", TEXT(투자전략!$G$1+14, "[$-ko-KR]yyyy.mm.dd"))</f>
        <v>2022.03.15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62" t="str">
        <f>HYPERLINK("#'" &amp; TEXT(투자전략!$G$1+15, "[$-ko-KR]yyyy.mm.dd") &amp; "'!A13:O37", TEXT(투자전략!$G$1+15, "[$-ko-KR]yyyy.mm.dd"))</f>
        <v>2022.03.16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62" t="str">
        <f>HYPERLINK("#'" &amp; TEXT(투자전략!$G$1+16, "[$-ko-KR]yyyy.mm.dd") &amp; "'!A13:O37", TEXT(투자전략!$G$1+16, "[$-ko-KR]yyyy.mm.dd"))</f>
        <v>2022.03.17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62" t="str">
        <f>HYPERLINK("#'" &amp; TEXT(투자전략!$G$1+17, "[$-ko-KR]yyyy.mm.dd") &amp; "'!A13:O37", TEXT(투자전략!$G$1+17, "[$-ko-KR]yyyy.mm.dd"))</f>
        <v>2022.03.18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62" t="str">
        <f>HYPERLINK("#'" &amp; TEXT(투자전략!$G$1+18, "[$-ko-KR]yyyy.mm.dd") &amp; "'!A13:O37", TEXT(투자전략!$G$1+18, "[$-ko-KR]yyyy.mm.dd"))</f>
        <v>2022.03.19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62" t="str">
        <f>HYPERLINK("#'" &amp; TEXT(투자전략!$G$1+19, "[$-ko-KR]yyyy.mm.dd") &amp; "'!A13:O37", TEXT(투자전략!$G$1+19, "[$-ko-KR]yyyy.mm.dd"))</f>
        <v>2022.03.20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63" t="str">
        <f>HYPERLINK("#'" &amp; TEXT(투자전략!$G$1+20, "[$-ko-KR]yyyy.mm.dd") &amp; "'!A13:O37", TEXT(투자전략!$G$1+20, "[$-ko-KR]yyyy.mm.dd"))</f>
        <v>2022.03.21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61" t="str">
        <f>HYPERLINK("#'" &amp; TEXT(투자전략!$G$1+21, "[$-ko-KR]yyyy.mm.dd") &amp; "'!A13:O37", TEXT(투자전략!$G$1+21, "[$-ko-KR]yyyy.mm.dd"))</f>
        <v>2022.03.22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62" t="str">
        <f>HYPERLINK("#'" &amp; TEXT(투자전략!$G$1+22, "[$-ko-KR]yyyy.mm.dd") &amp; "'!A13:O37", TEXT(투자전략!$G$1+22, "[$-ko-KR]yyyy.mm.dd"))</f>
        <v>2022.03.23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62" t="str">
        <f>HYPERLINK("#'" &amp; TEXT(투자전략!$G$1+23, "[$-ko-KR]yyyy.mm.dd") &amp; "'!A13:O37", TEXT(투자전략!$G$1+23, "[$-ko-KR]yyyy.mm.dd"))</f>
        <v>2022.03.24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62" t="str">
        <f>HYPERLINK("#'" &amp; TEXT(투자전략!$G$1+24, "[$-ko-KR]yyyy.mm.dd") &amp; "'!A13:O37", TEXT(투자전략!$G$1+24, "[$-ko-KR]yyyy.mm.dd"))</f>
        <v>2022.03.25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62" t="str">
        <f>HYPERLINK("#'" &amp; TEXT(투자전략!$G$1+25, "[$-ko-KR]yyyy.mm.dd") &amp; "'!A13:O37", TEXT(투자전략!$G$1+25, "[$-ko-KR]yyyy.mm.dd"))</f>
        <v>2022.03.26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62" t="str">
        <f>HYPERLINK("#'" &amp; TEXT(투자전략!$G$1+26, "[$-ko-KR]yyyy.mm.dd") &amp; "'!A13:O37", TEXT(투자전략!$G$1+26, "[$-ko-KR]yyyy.mm.dd"))</f>
        <v>2022.03.27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63" t="str">
        <f>HYPERLINK("#'" &amp; TEXT(투자전략!$G$1+27, "[$-ko-KR]yyyy.mm.dd") &amp; "'!A13:O37", TEXT(투자전략!$G$1+27, "[$-ko-KR]yyyy.mm.dd"))</f>
        <v>2022.03.28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61" t="str">
        <f>HYPERLINK("#'" &amp; TEXT(투자전략!$G$1+28, "[$-ko-KR]yyyy.mm.dd") &amp; "'!A13:O37", TEXT(투자전략!$G$1+28, "[$-ko-KR]yyyy.mm.dd"))</f>
        <v>2022.03.29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62" t="str">
        <f>HYPERLINK("#'" &amp; TEXT(투자전략!$G$1+29, "[$-ko-KR]yyyy.mm.dd") &amp; "'!A13:O37", TEXT(투자전략!$G$1+29, "[$-ko-KR]yyyy.mm.dd"))</f>
        <v>2022.03.30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62" t="str">
        <f>HYPERLINK("#'" &amp; TEXT(투자전략!$G$1+30, "[$-ko-KR]yyyy.mm.dd") &amp; "'!A13:O37", TEXT(투자전략!$G$1+30, "[$-ko-KR]yyyy.mm.dd"))</f>
        <v>2022.03.31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79" t="s">
        <v>278</v>
      </c>
      <c r="B53" s="181"/>
      <c r="C53" s="132" t="s">
        <v>273</v>
      </c>
      <c r="D53" s="143" t="s">
        <v>274</v>
      </c>
      <c r="E53" s="144" t="s">
        <v>275</v>
      </c>
      <c r="F53" s="145" t="s">
        <v>276</v>
      </c>
      <c r="G53" s="143" t="s">
        <v>274</v>
      </c>
      <c r="H53" s="144" t="s">
        <v>275</v>
      </c>
      <c r="I53" s="145" t="s">
        <v>276</v>
      </c>
      <c r="J53" s="143" t="s">
        <v>274</v>
      </c>
      <c r="K53" s="144" t="s">
        <v>275</v>
      </c>
      <c r="L53" s="145" t="s">
        <v>276</v>
      </c>
      <c r="M53" s="143" t="s">
        <v>274</v>
      </c>
      <c r="N53" s="144" t="s">
        <v>275</v>
      </c>
      <c r="O53" s="145" t="s">
        <v>276</v>
      </c>
    </row>
    <row r="54" spans="1:15" ht="16.5" customHeight="1" thickBot="1">
      <c r="A54" s="185"/>
      <c r="B54" s="187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70" t="str">
        <f>TEXT(투자전략!$G$1, "[$-ko-KR]yyyy년 mm월 ") &amp; "[엽전코인] 전일대비 상승률 Top20 월말결산"</f>
        <v>2022년 03월 [엽전코인] 전일대비 상승률 Top20 월말결산</v>
      </c>
      <c r="B57" s="171"/>
      <c r="C57" s="171"/>
      <c r="D57" s="171"/>
      <c r="E57" s="171"/>
      <c r="F57" s="171"/>
      <c r="G57" s="171"/>
      <c r="H57" s="171"/>
      <c r="I57" s="171"/>
      <c r="J57" s="171"/>
      <c r="K57" s="171"/>
      <c r="L57" s="171"/>
      <c r="M57" s="171"/>
      <c r="N57" s="171"/>
      <c r="O57" s="172"/>
    </row>
    <row r="58" spans="1:15" ht="16.5" customHeight="1" thickBot="1">
      <c r="A58" s="231" t="s">
        <v>279</v>
      </c>
      <c r="B58" s="185" t="s">
        <v>277</v>
      </c>
      <c r="C58" s="187"/>
      <c r="D58" s="185" t="s">
        <v>269</v>
      </c>
      <c r="E58" s="186"/>
      <c r="F58" s="187"/>
      <c r="G58" s="185" t="s">
        <v>270</v>
      </c>
      <c r="H58" s="186"/>
      <c r="I58" s="187"/>
      <c r="J58" s="185" t="s">
        <v>271</v>
      </c>
      <c r="K58" s="186"/>
      <c r="L58" s="187"/>
      <c r="M58" s="185" t="s">
        <v>272</v>
      </c>
      <c r="N58" s="186"/>
      <c r="O58" s="187"/>
    </row>
    <row r="59" spans="1:15" ht="16.5" customHeight="1" thickBot="1">
      <c r="A59" s="235"/>
      <c r="B59" s="154" t="s">
        <v>267</v>
      </c>
      <c r="C59" s="154" t="s">
        <v>42</v>
      </c>
      <c r="D59" s="121" t="s">
        <v>268</v>
      </c>
      <c r="E59" s="133" t="s">
        <v>40</v>
      </c>
      <c r="F59" s="156" t="s">
        <v>41</v>
      </c>
      <c r="G59" s="121" t="s">
        <v>268</v>
      </c>
      <c r="H59" s="133" t="s">
        <v>40</v>
      </c>
      <c r="I59" s="156" t="s">
        <v>41</v>
      </c>
      <c r="J59" s="121" t="s">
        <v>268</v>
      </c>
      <c r="K59" s="133" t="s">
        <v>40</v>
      </c>
      <c r="L59" s="156" t="s">
        <v>41</v>
      </c>
      <c r="M59" s="121" t="s">
        <v>268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64" t="str">
        <f>HYPERLINK("#'" &amp; TEXT(투자전략!$G$1+0, "[$-ko-KR]yyyy.mm.dd") &amp; "'!A40:O64", TEXT(투자전략!$G$1+0, "[$-ko-KR]yyyy.mm.dd"))</f>
        <v>2022.03.01</v>
      </c>
      <c r="C60" s="134">
        <f ca="1">IFERROR(COUNTA(INDIRECT($B60&amp;"!A44:A63")) * INDIRECT($B60&amp;"!B64"), "")</f>
        <v>3000000</v>
      </c>
      <c r="D60" s="142">
        <f ca="1">IFERROR($C60 * (1 + E60), "")</f>
        <v>3171029.3929365594</v>
      </c>
      <c r="E60" s="76">
        <f ca="1">IFERROR(INDIRECT($B60&amp;"!E64"), "")</f>
        <v>5.7009797645519757E-2</v>
      </c>
      <c r="F60" s="141">
        <f ca="1">IFERROR(INDIRECT($B60&amp;"!F64"), "")</f>
        <v>171029.39293655922</v>
      </c>
      <c r="G60" s="142">
        <f ca="1">IFERROR($C60 * (1 + H60), "")</f>
        <v>3143920.5483377902</v>
      </c>
      <c r="H60" s="76">
        <f ca="1">IFERROR(INDIRECT($B60&amp;"!H64"), "")</f>
        <v>4.7973516112596669E-2</v>
      </c>
      <c r="I60" s="141">
        <f ca="1">IFERROR(INDIRECT($B60&amp;"!I64"), "")</f>
        <v>143920.54833778998</v>
      </c>
      <c r="J60" s="142">
        <f ca="1">IFERROR($C60 * (1 + K60), "")</f>
        <v>3190035.1086972831</v>
      </c>
      <c r="K60" s="76">
        <f ca="1">IFERROR(INDIRECT($B60&amp;"!K64"), "")</f>
        <v>6.3345036232427765E-2</v>
      </c>
      <c r="L60" s="141">
        <f ca="1">IFERROR(INDIRECT($B60&amp;"!L64"), "")</f>
        <v>190035.10869728329</v>
      </c>
      <c r="M60" s="142">
        <f ca="1">IFERROR($C60 * (1 + N60), "")</f>
        <v>3110659.4519106681</v>
      </c>
      <c r="N60" s="76">
        <f ca="1">IFERROR(INDIRECT($B60&amp;"!N64"), "")</f>
        <v>3.6886483970222858E-2</v>
      </c>
      <c r="O60" s="141">
        <f ca="1">IFERROR(INDIRECT($B60&amp;"!O64"), "")</f>
        <v>110659.45191066856</v>
      </c>
    </row>
    <row r="61" spans="1:15" ht="16.5" customHeight="1">
      <c r="A61" s="153">
        <v>2</v>
      </c>
      <c r="B61" s="165" t="str">
        <f>HYPERLINK("#'" &amp; TEXT(투자전략!$G$1+1, "[$-ko-KR]yyyy.mm.dd") &amp; "'!A40:O64", TEXT(투자전략!$G$1+1, "[$-ko-KR]yyyy.mm.dd"))</f>
        <v>2022.03.02</v>
      </c>
      <c r="C61" s="135">
        <f t="shared" ref="C61:C90" ca="1" si="13">IFERROR(COUNTA(INDIRECT($B61&amp;"!A44:A63")) * INDIRECT($B61&amp;"!B64"), "")</f>
        <v>3000000</v>
      </c>
      <c r="D61" s="139">
        <f t="shared" ref="D61:D90" ca="1" si="14">IFERROR($C61 * (1 + E61), "")</f>
        <v>2906957.9088409524</v>
      </c>
      <c r="E61" s="77">
        <f t="shared" ref="E61:E90" ca="1" si="15">IFERROR(INDIRECT($B61&amp;"!E64"), "")</f>
        <v>-3.1014030386349221E-2</v>
      </c>
      <c r="F61" s="137">
        <f t="shared" ref="F61:F90" ca="1" si="16">IFERROR(INDIRECT($B61&amp;"!F64"), "")</f>
        <v>-93042.091159047704</v>
      </c>
      <c r="G61" s="139">
        <f t="shared" ref="G61:G90" ca="1" si="17">IFERROR($C61 * (1 + H61), "")</f>
        <v>2918255.9934704648</v>
      </c>
      <c r="H61" s="77">
        <f t="shared" ref="H61:H90" ca="1" si="18">IFERROR(INDIRECT($B61&amp;"!H64"), "")</f>
        <v>-2.7248002176511771E-2</v>
      </c>
      <c r="I61" s="137">
        <f t="shared" ref="I61:I90" ca="1" si="19">IFERROR(INDIRECT($B61&amp;"!I64"), "")</f>
        <v>-81744.006529535312</v>
      </c>
      <c r="J61" s="139">
        <f t="shared" ref="J61:J90" ca="1" si="20">IFERROR($C61 * (1 + K61), "")</f>
        <v>2928587.9800180178</v>
      </c>
      <c r="K61" s="77">
        <f t="shared" ref="K61:K90" ca="1" si="21">IFERROR(INDIRECT($B61&amp;"!K64"), "")</f>
        <v>-2.3804006660660772E-2</v>
      </c>
      <c r="L61" s="137">
        <f t="shared" ref="L61:L90" ca="1" si="22">IFERROR(INDIRECT($B61&amp;"!L64"), "")</f>
        <v>-71412.019981982317</v>
      </c>
      <c r="M61" s="139">
        <f t="shared" ref="M61:M90" ca="1" si="23">IFERROR($C61 * (1 + N61), "")</f>
        <v>2912934.270954879</v>
      </c>
      <c r="N61" s="77">
        <f t="shared" ref="N61:N90" ca="1" si="24">IFERROR(INDIRECT($B61&amp;"!N64"), "")</f>
        <v>-2.9021909681707009E-2</v>
      </c>
      <c r="O61" s="137">
        <f t="shared" ref="O61:O90" ca="1" si="25">IFERROR(INDIRECT($B61&amp;"!O64"), "")</f>
        <v>-87065.729045121028</v>
      </c>
    </row>
    <row r="62" spans="1:15" ht="16.5" customHeight="1">
      <c r="A62" s="153">
        <v>3</v>
      </c>
      <c r="B62" s="165" t="str">
        <f>HYPERLINK("#'" &amp; TEXT(투자전략!$G$1+2, "[$-ko-KR]yyyy.mm.dd") &amp; "'!A40:O64", TEXT(투자전략!$G$1+2, "[$-ko-KR]yyyy.mm.dd"))</f>
        <v>2022.03.03</v>
      </c>
      <c r="C62" s="135">
        <f t="shared" ca="1" si="13"/>
        <v>3000000</v>
      </c>
      <c r="D62" s="139">
        <f t="shared" ca="1" si="14"/>
        <v>2930574.9059184506</v>
      </c>
      <c r="E62" s="77">
        <f t="shared" ca="1" si="15"/>
        <v>-2.3141698027183112E-2</v>
      </c>
      <c r="F62" s="137">
        <f t="shared" ca="1" si="16"/>
        <v>-69425.094081549352</v>
      </c>
      <c r="G62" s="139">
        <f t="shared" ca="1" si="17"/>
        <v>2959511.556868095</v>
      </c>
      <c r="H62" s="77">
        <f t="shared" ca="1" si="18"/>
        <v>-1.3496147710635009E-2</v>
      </c>
      <c r="I62" s="137">
        <f t="shared" ca="1" si="19"/>
        <v>-40488.443131905035</v>
      </c>
      <c r="J62" s="139">
        <f t="shared" ca="1" si="20"/>
        <v>2957829.2629566211</v>
      </c>
      <c r="K62" s="77">
        <f t="shared" ca="1" si="21"/>
        <v>-1.405691234779299E-2</v>
      </c>
      <c r="L62" s="137">
        <f t="shared" ca="1" si="22"/>
        <v>-42170.737043378969</v>
      </c>
      <c r="M62" s="139">
        <f t="shared" ca="1" si="23"/>
        <v>2957313.7095012427</v>
      </c>
      <c r="N62" s="77">
        <f t="shared" ca="1" si="24"/>
        <v>-1.4228763499585795E-2</v>
      </c>
      <c r="O62" s="137">
        <f t="shared" ca="1" si="25"/>
        <v>-42686.290498757386</v>
      </c>
    </row>
    <row r="63" spans="1:15" ht="16.5" customHeight="1">
      <c r="A63" s="153">
        <v>4</v>
      </c>
      <c r="B63" s="165" t="str">
        <f>HYPERLINK("#'" &amp; TEXT(투자전략!$G$1+3, "[$-ko-KR]yyyy.mm.dd") &amp; "'!A40:O64", TEXT(투자전략!$G$1+3, "[$-ko-KR]yyyy.mm.dd"))</f>
        <v>2022.03.04</v>
      </c>
      <c r="C63" s="135">
        <f t="shared" ca="1" si="13"/>
        <v>3000000</v>
      </c>
      <c r="D63" s="139">
        <f t="shared" ca="1" si="14"/>
        <v>2905170.9782617642</v>
      </c>
      <c r="E63" s="77">
        <f t="shared" ca="1" si="15"/>
        <v>-3.1609673912745273E-2</v>
      </c>
      <c r="F63" s="137">
        <f t="shared" ca="1" si="16"/>
        <v>-94829.021738235795</v>
      </c>
      <c r="G63" s="139">
        <f t="shared" ca="1" si="17"/>
        <v>2941608.8736490807</v>
      </c>
      <c r="H63" s="77">
        <f t="shared" ca="1" si="18"/>
        <v>-1.9463708783639629E-2</v>
      </c>
      <c r="I63" s="137">
        <f t="shared" ca="1" si="19"/>
        <v>-58391.126350918879</v>
      </c>
      <c r="J63" s="139">
        <f t="shared" ca="1" si="20"/>
        <v>2964122.015513937</v>
      </c>
      <c r="K63" s="77">
        <f t="shared" ca="1" si="21"/>
        <v>-1.1959328162021008E-2</v>
      </c>
      <c r="L63" s="137">
        <f t="shared" ca="1" si="22"/>
        <v>-35877.984486063026</v>
      </c>
      <c r="M63" s="139">
        <f t="shared" ca="1" si="23"/>
        <v>2921824.7966602198</v>
      </c>
      <c r="N63" s="77">
        <f t="shared" ca="1" si="24"/>
        <v>-2.6058401113260111E-2</v>
      </c>
      <c r="O63" s="137">
        <f t="shared" ca="1" si="25"/>
        <v>-78175.203339780346</v>
      </c>
    </row>
    <row r="64" spans="1:15" ht="16.5" customHeight="1">
      <c r="A64" s="153">
        <v>5</v>
      </c>
      <c r="B64" s="165" t="str">
        <f>HYPERLINK("#'" &amp; TEXT(투자전략!$G$1+4, "[$-ko-KR]yyyy.mm.dd") &amp; "'!A40:O64", TEXT(투자전략!$G$1+4, "[$-ko-KR]yyyy.mm.dd"))</f>
        <v>2022.03.05</v>
      </c>
      <c r="C64" s="135">
        <f t="shared" ca="1" si="13"/>
        <v>3000000</v>
      </c>
      <c r="D64" s="139">
        <f t="shared" ca="1" si="14"/>
        <v>2945772.1000789194</v>
      </c>
      <c r="E64" s="77">
        <f t="shared" ca="1" si="15"/>
        <v>-1.8075966640360128E-2</v>
      </c>
      <c r="F64" s="137">
        <f t="shared" ca="1" si="16"/>
        <v>-54227.899921080403</v>
      </c>
      <c r="G64" s="139">
        <f t="shared" ca="1" si="17"/>
        <v>2958831.3164108051</v>
      </c>
      <c r="H64" s="77">
        <f t="shared" ca="1" si="18"/>
        <v>-1.372289452973168E-2</v>
      </c>
      <c r="I64" s="137">
        <f t="shared" ca="1" si="19"/>
        <v>-41168.683589195047</v>
      </c>
      <c r="J64" s="139">
        <f t="shared" ca="1" si="20"/>
        <v>2980391.7176853293</v>
      </c>
      <c r="K64" s="77">
        <f t="shared" ca="1" si="21"/>
        <v>-6.5360941048902763E-3</v>
      </c>
      <c r="L64" s="137">
        <f t="shared" ca="1" si="22"/>
        <v>-19608.282314670832</v>
      </c>
      <c r="M64" s="139">
        <f t="shared" ca="1" si="23"/>
        <v>2986229.6883089682</v>
      </c>
      <c r="N64" s="77">
        <f t="shared" ca="1" si="24"/>
        <v>-4.5901038970105595E-3</v>
      </c>
      <c r="O64" s="137">
        <f t="shared" ca="1" si="25"/>
        <v>-13770.311691031682</v>
      </c>
    </row>
    <row r="65" spans="1:15" ht="16.5" customHeight="1">
      <c r="A65" s="153">
        <v>6</v>
      </c>
      <c r="B65" s="165" t="str">
        <f>HYPERLINK("#'" &amp; TEXT(투자전략!$G$1+5, "[$-ko-KR]yyyy.mm.dd") &amp; "'!A40:O64", TEXT(투자전략!$G$1+5, "[$-ko-KR]yyyy.mm.dd"))</f>
        <v>2022.03.06</v>
      </c>
      <c r="C65" s="135">
        <f t="shared" ca="1" si="13"/>
        <v>3000000</v>
      </c>
      <c r="D65" s="139">
        <f t="shared" ca="1" si="14"/>
        <v>3006839.1085655293</v>
      </c>
      <c r="E65" s="77">
        <f t="shared" ca="1" si="15"/>
        <v>2.2797028551763627E-3</v>
      </c>
      <c r="F65" s="137">
        <f t="shared" ca="1" si="16"/>
        <v>6839.1085655290899</v>
      </c>
      <c r="G65" s="139">
        <f t="shared" ca="1" si="17"/>
        <v>3000000</v>
      </c>
      <c r="H65" s="77">
        <f t="shared" ca="1" si="18"/>
        <v>0</v>
      </c>
      <c r="I65" s="137">
        <f t="shared" ca="1" si="19"/>
        <v>0</v>
      </c>
      <c r="J65" s="139">
        <f t="shared" ca="1" si="20"/>
        <v>3000000</v>
      </c>
      <c r="K65" s="77">
        <f t="shared" ca="1" si="21"/>
        <v>0</v>
      </c>
      <c r="L65" s="137">
        <f t="shared" ca="1" si="22"/>
        <v>0</v>
      </c>
      <c r="M65" s="139">
        <f t="shared" ca="1" si="23"/>
        <v>3000000</v>
      </c>
      <c r="N65" s="77">
        <f t="shared" ca="1" si="24"/>
        <v>0</v>
      </c>
      <c r="O65" s="137">
        <f t="shared" ca="1" si="25"/>
        <v>0</v>
      </c>
    </row>
    <row r="66" spans="1:15" ht="16.5" customHeight="1" thickBot="1">
      <c r="A66" s="155">
        <v>7</v>
      </c>
      <c r="B66" s="166" t="str">
        <f>HYPERLINK("#'" &amp; TEXT(투자전략!$G$1+6, "[$-ko-KR]yyyy.mm.dd") &amp; "'!A40:O64", TEXT(투자전략!$G$1+6, "[$-ko-KR]yyyy.mm.dd"))</f>
        <v>2022.03.07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64" t="str">
        <f>HYPERLINK("#'" &amp; TEXT(투자전략!$G$1+7, "[$-ko-KR]yyyy.mm.dd") &amp; "'!A40:O64", TEXT(투자전략!$G$1+7, "[$-ko-KR]yyyy.mm.dd"))</f>
        <v>2022.03.08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65" t="str">
        <f>HYPERLINK("#'" &amp; TEXT(투자전략!$G$1+8, "[$-ko-KR]yyyy.mm.dd") &amp; "'!A40:O64", TEXT(투자전략!$G$1+8, "[$-ko-KR]yyyy.mm.dd"))</f>
        <v>2022.03.09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65" t="str">
        <f>HYPERLINK("#'" &amp; TEXT(투자전략!$G$1+9, "[$-ko-KR]yyyy.mm.dd") &amp; "'!A40:O64", TEXT(투자전략!$G$1+9, "[$-ko-KR]yyyy.mm.dd"))</f>
        <v>2022.03.10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65" t="str">
        <f>HYPERLINK("#'" &amp; TEXT(투자전략!$G$1+10, "[$-ko-KR]yyyy.mm.dd") &amp; "'!A40:O64", TEXT(투자전략!$G$1+10, "[$-ko-KR]yyyy.mm.dd"))</f>
        <v>2022.03.11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65" t="str">
        <f>HYPERLINK("#'" &amp; TEXT(투자전략!$G$1+11, "[$-ko-KR]yyyy.mm.dd") &amp; "'!A40:O64", TEXT(투자전략!$G$1+11, "[$-ko-KR]yyyy.mm.dd"))</f>
        <v>2022.03.12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65" t="str">
        <f>HYPERLINK("#'" &amp; TEXT(투자전략!$G$1+12, "[$-ko-KR]yyyy.mm.dd") &amp; "'!A40:O64", TEXT(투자전략!$G$1+12, "[$-ko-KR]yyyy.mm.dd"))</f>
        <v>2022.03.13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66" t="str">
        <f>HYPERLINK("#'" &amp; TEXT(투자전략!$G$1+13, "[$-ko-KR]yyyy.mm.dd") &amp; "'!A40:O64", TEXT(투자전략!$G$1+13, "[$-ko-KR]yyyy.mm.dd"))</f>
        <v>2022.03.14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64" t="str">
        <f>HYPERLINK("#'" &amp; TEXT(투자전략!$G$1+14, "[$-ko-KR]yyyy.mm.dd") &amp; "'!A40:O64", TEXT(투자전략!$G$1+14, "[$-ko-KR]yyyy.mm.dd"))</f>
        <v>2022.03.15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65" t="str">
        <f>HYPERLINK("#'" &amp; TEXT(투자전략!$G$1+15, "[$-ko-KR]yyyy.mm.dd") &amp; "'!A40:O64", TEXT(투자전략!$G$1+15, "[$-ko-KR]yyyy.mm.dd"))</f>
        <v>2022.03.16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65" t="str">
        <f>HYPERLINK("#'" &amp; TEXT(투자전략!$G$1+16, "[$-ko-KR]yyyy.mm.dd") &amp; "'!A40:O64", TEXT(투자전략!$G$1+16, "[$-ko-KR]yyyy.mm.dd"))</f>
        <v>2022.03.17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65" t="str">
        <f>HYPERLINK("#'" &amp; TEXT(투자전략!$G$1+17, "[$-ko-KR]yyyy.mm.dd") &amp; "'!A40:O64", TEXT(투자전략!$G$1+17, "[$-ko-KR]yyyy.mm.dd"))</f>
        <v>2022.03.18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65" t="str">
        <f>HYPERLINK("#'" &amp; TEXT(투자전략!$G$1+18, "[$-ko-KR]yyyy.mm.dd") &amp; "'!A40:O64", TEXT(투자전략!$G$1+18, "[$-ko-KR]yyyy.mm.dd"))</f>
        <v>2022.03.19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65" t="str">
        <f>HYPERLINK("#'" &amp; TEXT(투자전략!$G$1+19, "[$-ko-KR]yyyy.mm.dd") &amp; "'!A40:O64", TEXT(투자전략!$G$1+19, "[$-ko-KR]yyyy.mm.dd"))</f>
        <v>2022.03.20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66" t="str">
        <f>HYPERLINK("#'" &amp; TEXT(투자전략!$G$1+20, "[$-ko-KR]yyyy.mm.dd") &amp; "'!A40:O64", TEXT(투자전략!$G$1+20, "[$-ko-KR]yyyy.mm.dd"))</f>
        <v>2022.03.21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64" t="str">
        <f>HYPERLINK("#'" &amp; TEXT(투자전략!$G$1+21, "[$-ko-KR]yyyy.mm.dd") &amp; "'!A40:O64", TEXT(투자전략!$G$1+21, "[$-ko-KR]yyyy.mm.dd"))</f>
        <v>2022.03.22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65" t="str">
        <f>HYPERLINK("#'" &amp; TEXT(투자전략!$G$1+22, "[$-ko-KR]yyyy.mm.dd") &amp; "'!A40:O64", TEXT(투자전략!$G$1+22, "[$-ko-KR]yyyy.mm.dd"))</f>
        <v>2022.03.23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65" t="str">
        <f>HYPERLINK("#'" &amp; TEXT(투자전략!$G$1+23, "[$-ko-KR]yyyy.mm.dd") &amp; "'!A40:O64", TEXT(투자전략!$G$1+23, "[$-ko-KR]yyyy.mm.dd"))</f>
        <v>2022.03.24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65" t="str">
        <f>HYPERLINK("#'" &amp; TEXT(투자전략!$G$1+24, "[$-ko-KR]yyyy.mm.dd") &amp; "'!A40:O64", TEXT(투자전략!$G$1+24, "[$-ko-KR]yyyy.mm.dd"))</f>
        <v>2022.03.25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65" t="str">
        <f>HYPERLINK("#'" &amp; TEXT(투자전략!$G$1+25, "[$-ko-KR]yyyy.mm.dd") &amp; "'!A40:O64", TEXT(투자전략!$G$1+25, "[$-ko-KR]yyyy.mm.dd"))</f>
        <v>2022.03.26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65" t="str">
        <f>HYPERLINK("#'" &amp; TEXT(투자전략!$G$1+26, "[$-ko-KR]yyyy.mm.dd") &amp; "'!A40:O64", TEXT(투자전략!$G$1+26, "[$-ko-KR]yyyy.mm.dd"))</f>
        <v>2022.03.27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66" t="str">
        <f>HYPERLINK("#'" &amp; TEXT(투자전략!$G$1+27, "[$-ko-KR]yyyy.mm.dd") &amp; "'!A40:O64", TEXT(투자전략!$G$1+27, "[$-ko-KR]yyyy.mm.dd"))</f>
        <v>2022.03.28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64" t="str">
        <f>HYPERLINK("#'" &amp; TEXT(투자전략!$G$1+28, "[$-ko-KR]yyyy.mm.dd") &amp; "'!A40:O64", TEXT(투자전략!$G$1+28, "[$-ko-KR]yyyy.mm.dd"))</f>
        <v>2022.03.29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65" t="str">
        <f>HYPERLINK("#'" &amp; TEXT(투자전략!$G$1+29, "[$-ko-KR]yyyy.mm.dd") &amp; "'!A40:O64", TEXT(투자전략!$G$1+29, "[$-ko-KR]yyyy.mm.dd"))</f>
        <v>2022.03.30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65" t="str">
        <f>HYPERLINK("#'" &amp; TEXT(투자전략!$G$1+30, "[$-ko-KR]yyyy.mm.dd") &amp; "'!A40:O64", TEXT(투자전략!$G$1+30, "[$-ko-KR]yyyy.mm.dd"))</f>
        <v>2022.03.31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79" t="s">
        <v>278</v>
      </c>
      <c r="B91" s="181"/>
      <c r="C91" s="132" t="s">
        <v>273</v>
      </c>
      <c r="D91" s="150" t="s">
        <v>274</v>
      </c>
      <c r="E91" s="151" t="s">
        <v>275</v>
      </c>
      <c r="F91" s="152" t="s">
        <v>276</v>
      </c>
      <c r="G91" s="150" t="s">
        <v>274</v>
      </c>
      <c r="H91" s="151" t="s">
        <v>275</v>
      </c>
      <c r="I91" s="152" t="s">
        <v>276</v>
      </c>
      <c r="J91" s="150" t="s">
        <v>274</v>
      </c>
      <c r="K91" s="151" t="s">
        <v>275</v>
      </c>
      <c r="L91" s="152" t="s">
        <v>276</v>
      </c>
      <c r="M91" s="150" t="s">
        <v>274</v>
      </c>
      <c r="N91" s="151" t="s">
        <v>275</v>
      </c>
      <c r="O91" s="152" t="s">
        <v>276</v>
      </c>
    </row>
    <row r="92" spans="1:15" ht="16.5" customHeight="1" thickBot="1">
      <c r="A92" s="185"/>
      <c r="B92" s="187"/>
      <c r="C92" s="136">
        <f ca="1">SUM(C60:C90)</f>
        <v>18000000</v>
      </c>
      <c r="D92" s="140">
        <f ca="1">SUM(D60:D90)</f>
        <v>17866344.394602176</v>
      </c>
      <c r="E92" s="79">
        <f ca="1">IFERROR(F92 / (SUM($C60:$C90) / COUNT($C60:$C90)), 0)</f>
        <v>-4.4551868465941655E-2</v>
      </c>
      <c r="F92" s="138">
        <f ca="1">SUM(F60:F90)</f>
        <v>-133655.60539782495</v>
      </c>
      <c r="G92" s="140">
        <f ca="1">SUM(G60:G90)</f>
        <v>17922128.288736235</v>
      </c>
      <c r="H92" s="79">
        <f ca="1">IFERROR(I92 / (SUM($C60:$C90) / COUNT($C60:$C90)), 0)</f>
        <v>-2.5957237087921435E-2</v>
      </c>
      <c r="I92" s="138">
        <f ca="1">SUM(I60:I90)</f>
        <v>-77871.7112637643</v>
      </c>
      <c r="J92" s="140">
        <f ca="1">SUM(J60:J90)</f>
        <v>18020966.084871188</v>
      </c>
      <c r="K92" s="79">
        <f ca="1">IFERROR(L92 / (SUM($C60:$C90) / COUNT($C60:$C90)), 0)</f>
        <v>6.9886949570627114E-3</v>
      </c>
      <c r="L92" s="138">
        <f ca="1">SUM(L60:L90)</f>
        <v>20966.084871188134</v>
      </c>
      <c r="M92" s="140">
        <f ca="1">SUM(M60:M90)</f>
        <v>17888961.91733598</v>
      </c>
      <c r="N92" s="79">
        <f ca="1">IFERROR(O92 / (SUM($C60:$C90) / COUNT($C60:$C90)), 0)</f>
        <v>-3.7012694221340625E-2</v>
      </c>
      <c r="O92" s="138">
        <f ca="1">SUM(O60:O90)</f>
        <v>-111038.08266402187</v>
      </c>
    </row>
    <row r="94" spans="1:15" ht="16.5" customHeight="1" thickBot="1"/>
    <row r="95" spans="1:15" ht="16.5" customHeight="1" thickBot="1">
      <c r="A95" s="170" t="str">
        <f>TEXT(투자전략!$G$1, "[$-ko-KR]yyyy년 mm월 ") &amp; "[동전코인] 전일대비 상승률 Top20 월말결산"</f>
        <v>2022년 03월 [동전코인] 전일대비 상승률 Top20 월말결산</v>
      </c>
      <c r="B95" s="171"/>
      <c r="C95" s="171"/>
      <c r="D95" s="171"/>
      <c r="E95" s="171"/>
      <c r="F95" s="171"/>
      <c r="G95" s="171"/>
      <c r="H95" s="171"/>
      <c r="I95" s="171"/>
      <c r="J95" s="171"/>
      <c r="K95" s="171"/>
      <c r="L95" s="171"/>
      <c r="M95" s="171"/>
      <c r="N95" s="171"/>
      <c r="O95" s="172"/>
    </row>
    <row r="96" spans="1:15" ht="16.5" customHeight="1" thickBot="1">
      <c r="A96" s="231" t="s">
        <v>279</v>
      </c>
      <c r="B96" s="185" t="s">
        <v>277</v>
      </c>
      <c r="C96" s="187"/>
      <c r="D96" s="185" t="s">
        <v>269</v>
      </c>
      <c r="E96" s="186"/>
      <c r="F96" s="187"/>
      <c r="G96" s="185" t="s">
        <v>270</v>
      </c>
      <c r="H96" s="186"/>
      <c r="I96" s="187"/>
      <c r="J96" s="185" t="s">
        <v>271</v>
      </c>
      <c r="K96" s="186"/>
      <c r="L96" s="187"/>
      <c r="M96" s="185" t="s">
        <v>272</v>
      </c>
      <c r="N96" s="186"/>
      <c r="O96" s="187"/>
    </row>
    <row r="97" spans="1:15" ht="16.5" customHeight="1" thickBot="1">
      <c r="A97" s="235"/>
      <c r="B97" s="154" t="s">
        <v>267</v>
      </c>
      <c r="C97" s="154" t="s">
        <v>42</v>
      </c>
      <c r="D97" s="121" t="s">
        <v>268</v>
      </c>
      <c r="E97" s="133" t="s">
        <v>40</v>
      </c>
      <c r="F97" s="156" t="s">
        <v>41</v>
      </c>
      <c r="G97" s="121" t="s">
        <v>268</v>
      </c>
      <c r="H97" s="133" t="s">
        <v>40</v>
      </c>
      <c r="I97" s="156" t="s">
        <v>41</v>
      </c>
      <c r="J97" s="121" t="s">
        <v>268</v>
      </c>
      <c r="K97" s="133" t="s">
        <v>40</v>
      </c>
      <c r="L97" s="156" t="s">
        <v>41</v>
      </c>
      <c r="M97" s="121" t="s">
        <v>268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64" t="str">
        <f>HYPERLINK("#'" &amp; TEXT(투자전략!$G$1+0, "[$-ko-KR]yyyy.mm.dd") &amp; "'!A67:O91", TEXT(투자전략!$G$1+0, "[$-ko-KR]yyyy.mm.dd"))</f>
        <v>2022.03.01</v>
      </c>
      <c r="C98" s="134">
        <f ca="1">IFERROR(COUNTA(INDIRECT($B98&amp;"!A71:A90")) * INDIRECT($B98&amp;"!B91"), "")</f>
        <v>3000000</v>
      </c>
      <c r="D98" s="142">
        <f ca="1">IFERROR($C98 * (1 + E98), "")</f>
        <v>3128244.6785366754</v>
      </c>
      <c r="E98" s="76">
        <f ca="1">IFERROR(INDIRECT($B98&amp;"!E91"), "")</f>
        <v>4.2748226178891742E-2</v>
      </c>
      <c r="F98" s="141">
        <f ca="1">IFERROR(INDIRECT($B98&amp;"!F91"), "")</f>
        <v>128244.67853667523</v>
      </c>
      <c r="G98" s="142">
        <f ca="1">IFERROR($C98 * (1 + H98), "")</f>
        <v>3104232.6146053704</v>
      </c>
      <c r="H98" s="76">
        <f ca="1">IFERROR(INDIRECT($B98&amp;"!H91"), "")</f>
        <v>3.4744204868456655E-2</v>
      </c>
      <c r="I98" s="141">
        <f ca="1">IFERROR(INDIRECT($B98&amp;"!I91"), "")</f>
        <v>104232.61460536998</v>
      </c>
      <c r="J98" s="142">
        <f ca="1">IFERROR($C98 * (1 + K98), "")</f>
        <v>3155282.9561898662</v>
      </c>
      <c r="K98" s="76">
        <f ca="1">IFERROR(INDIRECT($B98&amp;"!K91"), "")</f>
        <v>5.1760985396622175E-2</v>
      </c>
      <c r="L98" s="141">
        <f ca="1">IFERROR(INDIRECT($B98&amp;"!L91"), "")</f>
        <v>155282.95618986653</v>
      </c>
      <c r="M98" s="142">
        <f ca="1">IFERROR($C98 * (1 + N98), "")</f>
        <v>3119532.4263597536</v>
      </c>
      <c r="N98" s="76">
        <f ca="1">IFERROR(INDIRECT($B98&amp;"!N91"), "")</f>
        <v>3.9844142119917797E-2</v>
      </c>
      <c r="O98" s="141">
        <f ca="1">IFERROR(INDIRECT($B98&amp;"!O91"), "")</f>
        <v>119532.4263597534</v>
      </c>
    </row>
    <row r="99" spans="1:15" ht="16.5" customHeight="1">
      <c r="A99" s="153">
        <v>2</v>
      </c>
      <c r="B99" s="165" t="str">
        <f>HYPERLINK("#'" &amp; TEXT(투자전략!$G$1+1, "[$-ko-KR]yyyy.mm.dd") &amp; "'!A67:O91", TEXT(투자전략!$G$1+1, "[$-ko-KR]yyyy.mm.dd"))</f>
        <v>2022.03.02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2954468.0630692593</v>
      </c>
      <c r="E99" s="77">
        <f t="shared" ref="E99:E128" ca="1" si="28">IFERROR(INDIRECT($B99&amp;"!E91"), "")</f>
        <v>-1.5177312310246891E-2</v>
      </c>
      <c r="F99" s="137">
        <f t="shared" ref="F99:F128" ca="1" si="29">IFERROR(INDIRECT($B99&amp;"!F91"), "")</f>
        <v>-45531.936930740674</v>
      </c>
      <c r="G99" s="139">
        <f t="shared" ref="G99:G128" ca="1" si="30">IFERROR($C99 * (1 + H99), "")</f>
        <v>2973804.3215046148</v>
      </c>
      <c r="H99" s="77">
        <f t="shared" ref="H99:H128" ca="1" si="31">IFERROR(INDIRECT($B99&amp;"!H91"), "")</f>
        <v>-8.7318928317951048E-3</v>
      </c>
      <c r="I99" s="137">
        <f t="shared" ref="I99:I128" ca="1" si="32">IFERROR(INDIRECT($B99&amp;"!I91"), "")</f>
        <v>-26195.678495385313</v>
      </c>
      <c r="J99" s="139">
        <f t="shared" ref="J99:J128" ca="1" si="33">IFERROR($C99 * (1 + K99), "")</f>
        <v>2985177.4564507655</v>
      </c>
      <c r="K99" s="77">
        <f t="shared" ref="K99:K128" ca="1" si="34">IFERROR(INDIRECT($B99&amp;"!K91"), "")</f>
        <v>-4.9408478497448621E-3</v>
      </c>
      <c r="L99" s="137">
        <f t="shared" ref="L99:L128" ca="1" si="35">IFERROR(INDIRECT($B99&amp;"!L91"), "")</f>
        <v>-14822.54354923458</v>
      </c>
      <c r="M99" s="139">
        <f t="shared" ref="M99:M128" ca="1" si="36">IFERROR($C99 * (1 + N99), "")</f>
        <v>2960391.498509218</v>
      </c>
      <c r="N99" s="77">
        <f t="shared" ref="N99:N128" ca="1" si="37">IFERROR(INDIRECT($B99&amp;"!N91"), "")</f>
        <v>-1.3202833830260668E-2</v>
      </c>
      <c r="O99" s="137">
        <f t="shared" ref="O99:O128" ca="1" si="38">IFERROR(INDIRECT($B99&amp;"!O91"), "")</f>
        <v>-39608.501490781993</v>
      </c>
    </row>
    <row r="100" spans="1:15" ht="16.5" customHeight="1">
      <c r="A100" s="153">
        <v>3</v>
      </c>
      <c r="B100" s="165" t="str">
        <f>HYPERLINK("#'" &amp; TEXT(투자전략!$G$1+2, "[$-ko-KR]yyyy.mm.dd") &amp; "'!A67:O91", TEXT(투자전략!$G$1+2, "[$-ko-KR]yyyy.mm.dd"))</f>
        <v>2022.03.03</v>
      </c>
      <c r="C100" s="135">
        <f t="shared" ca="1" si="26"/>
        <v>3000000</v>
      </c>
      <c r="D100" s="139">
        <f t="shared" ca="1" si="27"/>
        <v>2912562.262685325</v>
      </c>
      <c r="E100" s="77">
        <f t="shared" ca="1" si="28"/>
        <v>-2.914591243822498E-2</v>
      </c>
      <c r="F100" s="137">
        <f t="shared" ca="1" si="29"/>
        <v>-87437.737314674931</v>
      </c>
      <c r="G100" s="139">
        <f t="shared" ca="1" si="30"/>
        <v>2939877.5475445846</v>
      </c>
      <c r="H100" s="77">
        <f t="shared" ca="1" si="31"/>
        <v>-2.0040817485138425E-2</v>
      </c>
      <c r="I100" s="137">
        <f t="shared" ca="1" si="32"/>
        <v>-60122.452455415267</v>
      </c>
      <c r="J100" s="139">
        <f t="shared" ca="1" si="33"/>
        <v>2932461.2169668358</v>
      </c>
      <c r="K100" s="77">
        <f t="shared" ca="1" si="34"/>
        <v>-2.2512927677721371E-2</v>
      </c>
      <c r="L100" s="137">
        <f t="shared" ca="1" si="35"/>
        <v>-67538.783033164102</v>
      </c>
      <c r="M100" s="139">
        <f t="shared" ca="1" si="36"/>
        <v>2921126.9903618759</v>
      </c>
      <c r="N100" s="77">
        <f t="shared" ca="1" si="37"/>
        <v>-2.6291003212708101E-2</v>
      </c>
      <c r="O100" s="137">
        <f t="shared" ca="1" si="38"/>
        <v>-78873.009638124349</v>
      </c>
    </row>
    <row r="101" spans="1:15" ht="16.5" customHeight="1">
      <c r="A101" s="153">
        <v>4</v>
      </c>
      <c r="B101" s="165" t="str">
        <f>HYPERLINK("#'" &amp; TEXT(투자전략!$G$1+3, "[$-ko-KR]yyyy.mm.dd") &amp; "'!A67:O91", TEXT(투자전략!$G$1+3, "[$-ko-KR]yyyy.mm.dd"))</f>
        <v>2022.03.04</v>
      </c>
      <c r="C101" s="135">
        <f t="shared" ca="1" si="26"/>
        <v>3000000</v>
      </c>
      <c r="D101" s="139">
        <f t="shared" ca="1" si="27"/>
        <v>2912000.1339616952</v>
      </c>
      <c r="E101" s="77">
        <f t="shared" ca="1" si="28"/>
        <v>-2.9333288679435004E-2</v>
      </c>
      <c r="F101" s="137">
        <f t="shared" ca="1" si="29"/>
        <v>-87999.866038304986</v>
      </c>
      <c r="G101" s="139">
        <f t="shared" ca="1" si="30"/>
        <v>2966248.3506772602</v>
      </c>
      <c r="H101" s="77">
        <f t="shared" ca="1" si="31"/>
        <v>-1.1250549774246577E-2</v>
      </c>
      <c r="I101" s="137">
        <f t="shared" ca="1" si="32"/>
        <v>-33751.64932273973</v>
      </c>
      <c r="J101" s="139">
        <f t="shared" ca="1" si="33"/>
        <v>2981933.5253868001</v>
      </c>
      <c r="K101" s="77">
        <f t="shared" ca="1" si="34"/>
        <v>-6.02215820440002E-3</v>
      </c>
      <c r="L101" s="137">
        <f t="shared" ca="1" si="35"/>
        <v>-18066.474613200066</v>
      </c>
      <c r="M101" s="139">
        <f t="shared" ca="1" si="36"/>
        <v>2938407.9286135901</v>
      </c>
      <c r="N101" s="77">
        <f t="shared" ca="1" si="37"/>
        <v>-2.0530690462136673E-2</v>
      </c>
      <c r="O101" s="137">
        <f t="shared" ca="1" si="38"/>
        <v>-61592.071386410018</v>
      </c>
    </row>
    <row r="102" spans="1:15" ht="16.5" customHeight="1">
      <c r="A102" s="153">
        <v>5</v>
      </c>
      <c r="B102" s="165" t="str">
        <f>HYPERLINK("#'" &amp; TEXT(투자전략!$G$1+4, "[$-ko-KR]yyyy.mm.dd") &amp; "'!A67:O91", TEXT(투자전략!$G$1+4, "[$-ko-KR]yyyy.mm.dd"))</f>
        <v>2022.03.05</v>
      </c>
      <c r="C102" s="135">
        <f t="shared" ca="1" si="26"/>
        <v>3000000</v>
      </c>
      <c r="D102" s="139">
        <f t="shared" ca="1" si="27"/>
        <v>2917282.5119858799</v>
      </c>
      <c r="E102" s="77">
        <f t="shared" ca="1" si="28"/>
        <v>-2.7572496004706716E-2</v>
      </c>
      <c r="F102" s="137">
        <f t="shared" ca="1" si="29"/>
        <v>-82717.488014120143</v>
      </c>
      <c r="G102" s="139">
        <f t="shared" ca="1" si="30"/>
        <v>2945218.3848328711</v>
      </c>
      <c r="H102" s="77">
        <f t="shared" ca="1" si="31"/>
        <v>-1.8260538389042999E-2</v>
      </c>
      <c r="I102" s="137">
        <f t="shared" ca="1" si="32"/>
        <v>-54781.615167128984</v>
      </c>
      <c r="J102" s="139">
        <f t="shared" ca="1" si="33"/>
        <v>2960362.6820803662</v>
      </c>
      <c r="K102" s="77">
        <f t="shared" ca="1" si="34"/>
        <v>-1.3212439306544605E-2</v>
      </c>
      <c r="L102" s="137">
        <f t="shared" ca="1" si="35"/>
        <v>-39637.317919633802</v>
      </c>
      <c r="M102" s="139">
        <f t="shared" ca="1" si="36"/>
        <v>2952588.9146239958</v>
      </c>
      <c r="N102" s="77">
        <f t="shared" ca="1" si="37"/>
        <v>-1.5803695125334711E-2</v>
      </c>
      <c r="O102" s="137">
        <f t="shared" ca="1" si="38"/>
        <v>-47411.085376004135</v>
      </c>
    </row>
    <row r="103" spans="1:15" ht="16.5" customHeight="1">
      <c r="A103" s="153">
        <v>6</v>
      </c>
      <c r="B103" s="165" t="str">
        <f>HYPERLINK("#'" &amp; TEXT(투자전략!$G$1+5, "[$-ko-KR]yyyy.mm.dd") &amp; "'!A67:O91", TEXT(투자전략!$G$1+5, "[$-ko-KR]yyyy.mm.dd"))</f>
        <v>2022.03.06</v>
      </c>
      <c r="C103" s="135">
        <f t="shared" ca="1" si="26"/>
        <v>3000000</v>
      </c>
      <c r="D103" s="139">
        <f t="shared" ca="1" si="27"/>
        <v>3000183.727687757</v>
      </c>
      <c r="E103" s="77">
        <f t="shared" ca="1" si="28"/>
        <v>6.1242562585702221E-5</v>
      </c>
      <c r="F103" s="137">
        <f t="shared" ca="1" si="29"/>
        <v>183.72768775710483</v>
      </c>
      <c r="G103" s="139">
        <f t="shared" ca="1" si="30"/>
        <v>3000000</v>
      </c>
      <c r="H103" s="77">
        <f t="shared" ca="1" si="31"/>
        <v>0</v>
      </c>
      <c r="I103" s="137">
        <f t="shared" ca="1" si="32"/>
        <v>0</v>
      </c>
      <c r="J103" s="139">
        <f t="shared" ca="1" si="33"/>
        <v>3000000</v>
      </c>
      <c r="K103" s="77">
        <f t="shared" ca="1" si="34"/>
        <v>0</v>
      </c>
      <c r="L103" s="137">
        <f t="shared" ca="1" si="35"/>
        <v>0</v>
      </c>
      <c r="M103" s="139">
        <f t="shared" ca="1" si="36"/>
        <v>3000000</v>
      </c>
      <c r="N103" s="77">
        <f t="shared" ca="1" si="37"/>
        <v>0</v>
      </c>
      <c r="O103" s="137">
        <f t="shared" ca="1" si="38"/>
        <v>0</v>
      </c>
    </row>
    <row r="104" spans="1:15" ht="16.5" customHeight="1" thickBot="1">
      <c r="A104" s="155">
        <v>7</v>
      </c>
      <c r="B104" s="166" t="str">
        <f>HYPERLINK("#'" &amp; TEXT(투자전략!$G$1+6, "[$-ko-KR]yyyy.mm.dd") &amp; "'!A67:O91", TEXT(투자전략!$G$1+6, "[$-ko-KR]yyyy.mm.dd"))</f>
        <v>2022.03.07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64" t="str">
        <f>HYPERLINK("#'" &amp; TEXT(투자전략!$G$1+7, "[$-ko-KR]yyyy.mm.dd") &amp; "'!A67:O91", TEXT(투자전략!$G$1+7, "[$-ko-KR]yyyy.mm.dd"))</f>
        <v>2022.03.08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65" t="str">
        <f>HYPERLINK("#'" &amp; TEXT(투자전략!$G$1+8, "[$-ko-KR]yyyy.mm.dd") &amp; "'!A67:O91", TEXT(투자전략!$G$1+8, "[$-ko-KR]yyyy.mm.dd"))</f>
        <v>2022.03.09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65" t="str">
        <f>HYPERLINK("#'" &amp; TEXT(투자전략!$G$1+9, "[$-ko-KR]yyyy.mm.dd") &amp; "'!A67:O91", TEXT(투자전략!$G$1+9, "[$-ko-KR]yyyy.mm.dd"))</f>
        <v>2022.03.10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65" t="str">
        <f>HYPERLINK("#'" &amp; TEXT(투자전략!$G$1+10, "[$-ko-KR]yyyy.mm.dd") &amp; "'!A67:O91", TEXT(투자전략!$G$1+10, "[$-ko-KR]yyyy.mm.dd"))</f>
        <v>2022.03.11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65" t="str">
        <f>HYPERLINK("#'" &amp; TEXT(투자전략!$G$1+11, "[$-ko-KR]yyyy.mm.dd") &amp; "'!A67:O91", TEXT(투자전략!$G$1+11, "[$-ko-KR]yyyy.mm.dd"))</f>
        <v>2022.03.12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65" t="str">
        <f>HYPERLINK("#'" &amp; TEXT(투자전략!$G$1+12, "[$-ko-KR]yyyy.mm.dd") &amp; "'!A67:O91", TEXT(투자전략!$G$1+12, "[$-ko-KR]yyyy.mm.dd"))</f>
        <v>2022.03.13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66" t="str">
        <f>HYPERLINK("#'" &amp; TEXT(투자전략!$G$1+13, "[$-ko-KR]yyyy.mm.dd") &amp; "'!A67:O91", TEXT(투자전략!$G$1+13, "[$-ko-KR]yyyy.mm.dd"))</f>
        <v>2022.03.14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64" t="str">
        <f>HYPERLINK("#'" &amp; TEXT(투자전략!$G$1+14, "[$-ko-KR]yyyy.mm.dd") &amp; "'!A67:O91", TEXT(투자전략!$G$1+14, "[$-ko-KR]yyyy.mm.dd"))</f>
        <v>2022.03.15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65" t="str">
        <f>HYPERLINK("#'" &amp; TEXT(투자전략!$G$1+15, "[$-ko-KR]yyyy.mm.dd") &amp; "'!A67:O91", TEXT(투자전략!$G$1+15, "[$-ko-KR]yyyy.mm.dd"))</f>
        <v>2022.03.16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65" t="str">
        <f>HYPERLINK("#'" &amp; TEXT(투자전략!$G$1+16, "[$-ko-KR]yyyy.mm.dd") &amp; "'!A67:O91", TEXT(투자전략!$G$1+16, "[$-ko-KR]yyyy.mm.dd"))</f>
        <v>2022.03.17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65" t="str">
        <f>HYPERLINK("#'" &amp; TEXT(투자전략!$G$1+17, "[$-ko-KR]yyyy.mm.dd") &amp; "'!A67:O91", TEXT(투자전략!$G$1+17, "[$-ko-KR]yyyy.mm.dd"))</f>
        <v>2022.03.18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65" t="str">
        <f>HYPERLINK("#'" &amp; TEXT(투자전략!$G$1+18, "[$-ko-KR]yyyy.mm.dd") &amp; "'!A67:O91", TEXT(투자전략!$G$1+18, "[$-ko-KR]yyyy.mm.dd"))</f>
        <v>2022.03.19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65" t="str">
        <f>HYPERLINK("#'" &amp; TEXT(투자전략!$G$1+19, "[$-ko-KR]yyyy.mm.dd") &amp; "'!A67:O91", TEXT(투자전략!$G$1+19, "[$-ko-KR]yyyy.mm.dd"))</f>
        <v>2022.03.20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66" t="str">
        <f>HYPERLINK("#'" &amp; TEXT(투자전략!$G$1+20, "[$-ko-KR]yyyy.mm.dd") &amp; "'!A67:O91", TEXT(투자전략!$G$1+20, "[$-ko-KR]yyyy.mm.dd"))</f>
        <v>2022.03.21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64" t="str">
        <f>HYPERLINK("#'" &amp; TEXT(투자전략!$G$1+21, "[$-ko-KR]yyyy.mm.dd") &amp; "'!A67:O91", TEXT(투자전략!$G$1+21, "[$-ko-KR]yyyy.mm.dd"))</f>
        <v>2022.03.22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65" t="str">
        <f>HYPERLINK("#'" &amp; TEXT(투자전략!$G$1+22, "[$-ko-KR]yyyy.mm.dd") &amp; "'!A67:O91", TEXT(투자전략!$G$1+22, "[$-ko-KR]yyyy.mm.dd"))</f>
        <v>2022.03.23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65" t="str">
        <f>HYPERLINK("#'" &amp; TEXT(투자전략!$G$1+23, "[$-ko-KR]yyyy.mm.dd") &amp; "'!A67:O91", TEXT(투자전략!$G$1+23, "[$-ko-KR]yyyy.mm.dd"))</f>
        <v>2022.03.24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65" t="str">
        <f>HYPERLINK("#'" &amp; TEXT(투자전략!$G$1+24, "[$-ko-KR]yyyy.mm.dd") &amp; "'!A67:O91", TEXT(투자전략!$G$1+24, "[$-ko-KR]yyyy.mm.dd"))</f>
        <v>2022.03.25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65" t="str">
        <f>HYPERLINK("#'" &amp; TEXT(투자전략!$G$1+25, "[$-ko-KR]yyyy.mm.dd") &amp; "'!A67:O91", TEXT(투자전략!$G$1+25, "[$-ko-KR]yyyy.mm.dd"))</f>
        <v>2022.03.26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65" t="str">
        <f>HYPERLINK("#'" &amp; TEXT(투자전략!$G$1+26, "[$-ko-KR]yyyy.mm.dd") &amp; "'!A67:O91", TEXT(투자전략!$G$1+26, "[$-ko-KR]yyyy.mm.dd"))</f>
        <v>2022.03.27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66" t="str">
        <f>HYPERLINK("#'" &amp; TEXT(투자전략!$G$1+27, "[$-ko-KR]yyyy.mm.dd") &amp; "'!A67:O91", TEXT(투자전략!$G$1+27, "[$-ko-KR]yyyy.mm.dd"))</f>
        <v>2022.03.28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64" t="str">
        <f>HYPERLINK("#'" &amp; TEXT(투자전략!$G$1+28, "[$-ko-KR]yyyy.mm.dd") &amp; "'!A67:O91", TEXT(투자전략!$G$1+28, "[$-ko-KR]yyyy.mm.dd"))</f>
        <v>2022.03.29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65" t="str">
        <f>HYPERLINK("#'" &amp; TEXT(투자전략!$G$1+29, "[$-ko-KR]yyyy.mm.dd") &amp; "'!A67:O91", TEXT(투자전략!$G$1+29, "[$-ko-KR]yyyy.mm.dd"))</f>
        <v>2022.03.30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65" t="str">
        <f>HYPERLINK("#'" &amp; TEXT(투자전략!$G$1+30, "[$-ko-KR]yyyy.mm.dd") &amp; "'!A67:O91", TEXT(투자전략!$G$1+30, "[$-ko-KR]yyyy.mm.dd"))</f>
        <v>2022.03.31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79" t="s">
        <v>278</v>
      </c>
      <c r="B129" s="181"/>
      <c r="C129" s="132" t="s">
        <v>273</v>
      </c>
      <c r="D129" s="150" t="s">
        <v>274</v>
      </c>
      <c r="E129" s="151" t="s">
        <v>275</v>
      </c>
      <c r="F129" s="152" t="s">
        <v>276</v>
      </c>
      <c r="G129" s="150" t="s">
        <v>274</v>
      </c>
      <c r="H129" s="151" t="s">
        <v>275</v>
      </c>
      <c r="I129" s="152" t="s">
        <v>276</v>
      </c>
      <c r="J129" s="150" t="s">
        <v>274</v>
      </c>
      <c r="K129" s="151" t="s">
        <v>275</v>
      </c>
      <c r="L129" s="152" t="s">
        <v>276</v>
      </c>
      <c r="M129" s="150" t="s">
        <v>274</v>
      </c>
      <c r="N129" s="151" t="s">
        <v>275</v>
      </c>
      <c r="O129" s="152" t="s">
        <v>276</v>
      </c>
    </row>
    <row r="130" spans="1:15" ht="16.5" customHeight="1" thickBot="1">
      <c r="A130" s="185"/>
      <c r="B130" s="187"/>
      <c r="C130" s="136">
        <f ca="1">SUM(C98:C128)</f>
        <v>18000000</v>
      </c>
      <c r="D130" s="140">
        <f ca="1">SUM(D98:D128)</f>
        <v>17824741.377926592</v>
      </c>
      <c r="E130" s="79">
        <f ca="1">IFERROR(F130 / (SUM($C98:$C128) / COUNT($C98:$C128)), 0)</f>
        <v>-5.8419540691136133E-2</v>
      </c>
      <c r="F130" s="138">
        <f ca="1">SUM(F98:F128)</f>
        <v>-175258.62207340839</v>
      </c>
      <c r="G130" s="140">
        <f ca="1">SUM(G98:G128)</f>
        <v>17929381.219164699</v>
      </c>
      <c r="H130" s="79">
        <f ca="1">IFERROR(I130 / (SUM($C98:$C128) / COUNT($C98:$C128)), 0)</f>
        <v>-2.3539593611766437E-2</v>
      </c>
      <c r="I130" s="138">
        <f ca="1">SUM(I98:I128)</f>
        <v>-70618.780835299316</v>
      </c>
      <c r="J130" s="140">
        <f ca="1">SUM(J98:J128)</f>
        <v>18015217.837074634</v>
      </c>
      <c r="K130" s="79">
        <f ca="1">IFERROR(L130 / (SUM($C98:$C128) / COUNT($C98:$C128)), 0)</f>
        <v>5.0726123582113284E-3</v>
      </c>
      <c r="L130" s="138">
        <f ca="1">SUM(L98:L128)</f>
        <v>15217.837074633986</v>
      </c>
      <c r="M130" s="140">
        <f ca="1">SUM(M98:M128)</f>
        <v>17892047.758468434</v>
      </c>
      <c r="N130" s="79">
        <f ca="1">IFERROR(O130 / (SUM($C98:$C128) / COUNT($C98:$C128)), 0)</f>
        <v>-3.5984080510522362E-2</v>
      </c>
      <c r="O130" s="138">
        <f ca="1">SUM(O98:O128)</f>
        <v>-107952.2415315671</v>
      </c>
    </row>
    <row r="132" spans="1:15" ht="16.5" customHeight="1" thickBot="1"/>
    <row r="133" spans="1:15" ht="16.5" customHeight="1" thickBot="1">
      <c r="A133" s="170" t="str">
        <f>TEXT(투자전략!$G$1, "[$-ko-KR]yyyy년 mm월 ") &amp; "전일대비 상승률 Top20 월말결산"</f>
        <v>2022년 03월 전일대비 상승률 Top20 월말결산</v>
      </c>
      <c r="B133" s="171"/>
      <c r="C133" s="171"/>
      <c r="D133" s="171"/>
      <c r="E133" s="171"/>
      <c r="F133" s="171"/>
      <c r="G133" s="171"/>
      <c r="H133" s="171"/>
      <c r="I133" s="171"/>
      <c r="J133" s="171"/>
      <c r="K133" s="171"/>
      <c r="L133" s="171"/>
      <c r="M133" s="171"/>
      <c r="N133" s="171"/>
      <c r="O133" s="172"/>
    </row>
    <row r="134" spans="1:15" ht="16.5" customHeight="1" thickBot="1">
      <c r="A134" s="231" t="s">
        <v>279</v>
      </c>
      <c r="B134" s="185" t="s">
        <v>277</v>
      </c>
      <c r="C134" s="187"/>
      <c r="D134" s="185" t="s">
        <v>269</v>
      </c>
      <c r="E134" s="186"/>
      <c r="F134" s="187"/>
      <c r="G134" s="185" t="s">
        <v>270</v>
      </c>
      <c r="H134" s="186"/>
      <c r="I134" s="187"/>
      <c r="J134" s="185" t="s">
        <v>271</v>
      </c>
      <c r="K134" s="186"/>
      <c r="L134" s="187"/>
      <c r="M134" s="185" t="s">
        <v>272</v>
      </c>
      <c r="N134" s="186"/>
      <c r="O134" s="187"/>
    </row>
    <row r="135" spans="1:15" ht="16.5" customHeight="1" thickBot="1">
      <c r="A135" s="235"/>
      <c r="B135" s="154" t="s">
        <v>267</v>
      </c>
      <c r="C135" s="154" t="s">
        <v>42</v>
      </c>
      <c r="D135" s="121" t="s">
        <v>268</v>
      </c>
      <c r="E135" s="133" t="s">
        <v>40</v>
      </c>
      <c r="F135" s="156" t="s">
        <v>41</v>
      </c>
      <c r="G135" s="121" t="s">
        <v>268</v>
      </c>
      <c r="H135" s="133" t="s">
        <v>40</v>
      </c>
      <c r="I135" s="156" t="s">
        <v>41</v>
      </c>
      <c r="J135" s="121" t="s">
        <v>268</v>
      </c>
      <c r="K135" s="133" t="s">
        <v>40</v>
      </c>
      <c r="L135" s="156" t="s">
        <v>41</v>
      </c>
      <c r="M135" s="121" t="s">
        <v>268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64" t="str">
        <f>HYPERLINK("#'" &amp; TEXT(투자전략!$G$1+0, "[$-ko-KR]yyyy.mm.dd") &amp; "'!A94:O118", TEXT(투자전략!$G$1+0, "[$-ko-KR]yyyy.mm.dd"))</f>
        <v>2022.03.01</v>
      </c>
      <c r="C136" s="134">
        <f ca="1">IFERROR(COUNTA(INDIRECT($B136&amp;"!A98:A117")) * INDIRECT($B136&amp;"!B118"), "")</f>
        <v>3000000</v>
      </c>
      <c r="D136" s="142">
        <f ca="1">IFERROR($C136 * (1 + E136), "")</f>
        <v>3172891.2075200989</v>
      </c>
      <c r="E136" s="76">
        <f ca="1">IFERROR(INDIRECT($B136&amp;"!E118"), "")</f>
        <v>5.7630402506699485E-2</v>
      </c>
      <c r="F136" s="141">
        <f ca="1">IFERROR(INDIRECT($B136&amp;"!F118"), "")</f>
        <v>172891.20752009848</v>
      </c>
      <c r="G136" s="142">
        <f ca="1">IFERROR($C136 * (1 + H136), "")</f>
        <v>3133276.5715972348</v>
      </c>
      <c r="H136" s="76">
        <f ca="1">IFERROR(INDIRECT($B136&amp;"!H118"), "")</f>
        <v>4.4425523865744929E-2</v>
      </c>
      <c r="I136" s="141">
        <f ca="1">IFERROR(INDIRECT($B136&amp;"!I118"), "")</f>
        <v>133276.57159723475</v>
      </c>
      <c r="J136" s="142">
        <f ca="1">IFERROR($C136 * (1 + K136), "")</f>
        <v>3196954.5095982607</v>
      </c>
      <c r="K136" s="76">
        <f ca="1">IFERROR(INDIRECT($B136&amp;"!K118"), "")</f>
        <v>6.5651503199420258E-2</v>
      </c>
      <c r="L136" s="141">
        <f ca="1">IFERROR(INDIRECT($B136&amp;"!L118"), "")</f>
        <v>196954.50959826075</v>
      </c>
      <c r="M136" s="142">
        <f ca="1">IFERROR($C136 * (1 + N136), "")</f>
        <v>3174822.9157807911</v>
      </c>
      <c r="N136" s="76">
        <f ca="1">IFERROR(INDIRECT($B136&amp;"!N118"), "")</f>
        <v>5.8274305260263601E-2</v>
      </c>
      <c r="O136" s="141">
        <f ca="1">IFERROR(INDIRECT($B136&amp;"!O118"), "")</f>
        <v>174822.91578079088</v>
      </c>
    </row>
    <row r="137" spans="1:15" ht="16.5" customHeight="1">
      <c r="A137" s="153">
        <v>2</v>
      </c>
      <c r="B137" s="165" t="str">
        <f>HYPERLINK("#'" &amp; TEXT(투자전략!$G$1+1, "[$-ko-KR]yyyy.mm.dd") &amp; "'!A94:O118", TEXT(투자전략!$G$1+1, "[$-ko-KR]yyyy.mm.dd"))</f>
        <v>2022.03.02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2913685.2055132883</v>
      </c>
      <c r="E137" s="77">
        <f t="shared" ref="E137:E166" ca="1" si="41">IFERROR(INDIRECT($B137&amp;"!E118"), "")</f>
        <v>-2.8771598162237337E-2</v>
      </c>
      <c r="F137" s="137">
        <f t="shared" ref="F137:F166" ca="1" si="42">IFERROR(INDIRECT($B137&amp;"!F118"), "")</f>
        <v>-86314.794486712024</v>
      </c>
      <c r="G137" s="139">
        <f t="shared" ref="G137:G166" ca="1" si="43">IFERROR($C137 * (1 + H137), "")</f>
        <v>2930767.7521780762</v>
      </c>
      <c r="H137" s="77">
        <f t="shared" ref="H137:H166" ca="1" si="44">IFERROR(INDIRECT($B137&amp;"!H118"), "")</f>
        <v>-2.3077415940641263E-2</v>
      </c>
      <c r="I137" s="137">
        <f t="shared" ref="I137:I166" ca="1" si="45">IFERROR(INDIRECT($B137&amp;"!I118"), "")</f>
        <v>-69232.247821923782</v>
      </c>
      <c r="J137" s="139">
        <f t="shared" ref="J137:J166" ca="1" si="46">IFERROR($C137 * (1 + K137), "")</f>
        <v>2941454.30030393</v>
      </c>
      <c r="K137" s="77">
        <f t="shared" ref="K137:K166" ca="1" si="47">IFERROR(INDIRECT($B137&amp;"!K118"), "")</f>
        <v>-1.9515233232023328E-2</v>
      </c>
      <c r="L137" s="137">
        <f t="shared" ref="L137:L166" ca="1" si="48">IFERROR(INDIRECT($B137&amp;"!L118"), "")</f>
        <v>-58545.699696069983</v>
      </c>
      <c r="M137" s="139">
        <f t="shared" ref="M137:M166" ca="1" si="49">IFERROR($C137 * (1 + N137), "")</f>
        <v>2916357.1561591565</v>
      </c>
      <c r="N137" s="77">
        <f t="shared" ref="N137:N166" ca="1" si="50">IFERROR(INDIRECT($B137&amp;"!N118"), "")</f>
        <v>-2.7880947946947815E-2</v>
      </c>
      <c r="O137" s="137">
        <f t="shared" ref="O137:O166" ca="1" si="51">IFERROR(INDIRECT($B137&amp;"!O118"), "")</f>
        <v>-83642.84384084343</v>
      </c>
    </row>
    <row r="138" spans="1:15" ht="16.5" customHeight="1">
      <c r="A138" s="153">
        <v>3</v>
      </c>
      <c r="B138" s="165" t="str">
        <f>HYPERLINK("#'" &amp; TEXT(투자전략!$G$1+2, "[$-ko-KR]yyyy.mm.dd") &amp; "'!A94:O118", TEXT(투자전략!$G$1+2, "[$-ko-KR]yyyy.mm.dd"))</f>
        <v>2022.03.03</v>
      </c>
      <c r="C138" s="135">
        <f t="shared" ca="1" si="39"/>
        <v>3000000</v>
      </c>
      <c r="D138" s="139">
        <f t="shared" ca="1" si="40"/>
        <v>2903007.9661081028</v>
      </c>
      <c r="E138" s="77">
        <f t="shared" ca="1" si="41"/>
        <v>-3.2330677963965708E-2</v>
      </c>
      <c r="F138" s="137">
        <f t="shared" ca="1" si="42"/>
        <v>-96992.03389189711</v>
      </c>
      <c r="G138" s="139">
        <f t="shared" ca="1" si="43"/>
        <v>2934612.9088023594</v>
      </c>
      <c r="H138" s="77">
        <f t="shared" ca="1" si="44"/>
        <v>-2.1795697065880165E-2</v>
      </c>
      <c r="I138" s="137">
        <f t="shared" ca="1" si="45"/>
        <v>-65387.091197640475</v>
      </c>
      <c r="J138" s="139">
        <f t="shared" ca="1" si="46"/>
        <v>2931040.1166576832</v>
      </c>
      <c r="K138" s="77">
        <f t="shared" ca="1" si="47"/>
        <v>-2.2986627780772349E-2</v>
      </c>
      <c r="L138" s="137">
        <f t="shared" ca="1" si="48"/>
        <v>-68959.883342317058</v>
      </c>
      <c r="M138" s="139">
        <f t="shared" ca="1" si="49"/>
        <v>2909542.7283253749</v>
      </c>
      <c r="N138" s="77">
        <f t="shared" ca="1" si="50"/>
        <v>-3.0152423891541713E-2</v>
      </c>
      <c r="O138" s="137">
        <f t="shared" ca="1" si="51"/>
        <v>-90457.271674625154</v>
      </c>
    </row>
    <row r="139" spans="1:15" ht="16.5" customHeight="1">
      <c r="A139" s="153">
        <v>4</v>
      </c>
      <c r="B139" s="165" t="str">
        <f>HYPERLINK("#'" &amp; TEXT(투자전략!$G$1+3, "[$-ko-KR]yyyy.mm.dd") &amp; "'!A94:O118", TEXT(투자전략!$G$1+3, "[$-ko-KR]yyyy.mm.dd"))</f>
        <v>2022.03.04</v>
      </c>
      <c r="C139" s="135">
        <f t="shared" ca="1" si="39"/>
        <v>3000000</v>
      </c>
      <c r="D139" s="139">
        <f t="shared" ca="1" si="40"/>
        <v>2950763.6891104248</v>
      </c>
      <c r="E139" s="77">
        <f t="shared" ca="1" si="41"/>
        <v>-1.6412103629858461E-2</v>
      </c>
      <c r="F139" s="137">
        <f t="shared" ca="1" si="42"/>
        <v>-49236.310889575376</v>
      </c>
      <c r="G139" s="139">
        <f t="shared" ca="1" si="43"/>
        <v>2959724.5213939617</v>
      </c>
      <c r="H139" s="77">
        <f t="shared" ca="1" si="44"/>
        <v>-1.3425159535346121E-2</v>
      </c>
      <c r="I139" s="137">
        <f t="shared" ca="1" si="45"/>
        <v>-40275.478606038363</v>
      </c>
      <c r="J139" s="139">
        <f t="shared" ca="1" si="46"/>
        <v>2973927.6698587378</v>
      </c>
      <c r="K139" s="77">
        <f t="shared" ca="1" si="47"/>
        <v>-8.6907767137540427E-3</v>
      </c>
      <c r="L139" s="137">
        <f t="shared" ca="1" si="48"/>
        <v>-26072.330141262122</v>
      </c>
      <c r="M139" s="139">
        <f t="shared" ca="1" si="49"/>
        <v>2933403.2495100107</v>
      </c>
      <c r="N139" s="77">
        <f t="shared" ca="1" si="50"/>
        <v>-2.2198916829996383E-2</v>
      </c>
      <c r="O139" s="137">
        <f t="shared" ca="1" si="51"/>
        <v>-66596.75048998915</v>
      </c>
    </row>
    <row r="140" spans="1:15" ht="16.5" customHeight="1">
      <c r="A140" s="153">
        <v>5</v>
      </c>
      <c r="B140" s="165" t="str">
        <f>HYPERLINK("#'" &amp; TEXT(투자전략!$G$1+4, "[$-ko-KR]yyyy.mm.dd") &amp; "'!A94:O118", TEXT(투자전략!$G$1+4, "[$-ko-KR]yyyy.mm.dd"))</f>
        <v>2022.03.05</v>
      </c>
      <c r="C140" s="135">
        <f t="shared" ca="1" si="39"/>
        <v>3000000</v>
      </c>
      <c r="D140" s="139">
        <f t="shared" ca="1" si="40"/>
        <v>2878189.2118797968</v>
      </c>
      <c r="E140" s="77">
        <f t="shared" ca="1" si="41"/>
        <v>-4.0603596040067684E-2</v>
      </c>
      <c r="F140" s="137">
        <f t="shared" ca="1" si="42"/>
        <v>-121810.78812020305</v>
      </c>
      <c r="G140" s="139">
        <f t="shared" ca="1" si="43"/>
        <v>2902229.0703348103</v>
      </c>
      <c r="H140" s="77">
        <f t="shared" ca="1" si="44"/>
        <v>-3.2590309888396486E-2</v>
      </c>
      <c r="I140" s="137">
        <f t="shared" ca="1" si="45"/>
        <v>-97770.929665189484</v>
      </c>
      <c r="J140" s="139">
        <f t="shared" ca="1" si="46"/>
        <v>2915770.3923102636</v>
      </c>
      <c r="K140" s="77">
        <f t="shared" ca="1" si="47"/>
        <v>-2.8076535896578731E-2</v>
      </c>
      <c r="L140" s="137">
        <f t="shared" ca="1" si="48"/>
        <v>-84229.607689736193</v>
      </c>
      <c r="M140" s="139">
        <f t="shared" ca="1" si="49"/>
        <v>2900523.0189099945</v>
      </c>
      <c r="N140" s="77">
        <f t="shared" ca="1" si="50"/>
        <v>-3.3158993696668512E-2</v>
      </c>
      <c r="O140" s="137">
        <f t="shared" ca="1" si="51"/>
        <v>-99476.981090005575</v>
      </c>
    </row>
    <row r="141" spans="1:15" ht="16.5" customHeight="1">
      <c r="A141" s="153">
        <v>6</v>
      </c>
      <c r="B141" s="165" t="str">
        <f>HYPERLINK("#'" &amp; TEXT(투자전략!$G$1+5, "[$-ko-KR]yyyy.mm.dd") &amp; "'!A94:O118", TEXT(투자전략!$G$1+5, "[$-ko-KR]yyyy.mm.dd"))</f>
        <v>2022.03.06</v>
      </c>
      <c r="C141" s="135">
        <f t="shared" ca="1" si="39"/>
        <v>3000000</v>
      </c>
      <c r="D141" s="139">
        <f t="shared" ca="1" si="40"/>
        <v>3003193.3056543036</v>
      </c>
      <c r="E141" s="77">
        <f t="shared" ca="1" si="41"/>
        <v>1.0644352181012999E-3</v>
      </c>
      <c r="F141" s="137">
        <f t="shared" ca="1" si="42"/>
        <v>3193.3056543038988</v>
      </c>
      <c r="G141" s="139">
        <f t="shared" ca="1" si="43"/>
        <v>3000000</v>
      </c>
      <c r="H141" s="77">
        <f t="shared" ca="1" si="44"/>
        <v>0</v>
      </c>
      <c r="I141" s="137">
        <f t="shared" ca="1" si="45"/>
        <v>0</v>
      </c>
      <c r="J141" s="139">
        <f t="shared" ca="1" si="46"/>
        <v>3000000</v>
      </c>
      <c r="K141" s="77">
        <f t="shared" ca="1" si="47"/>
        <v>0</v>
      </c>
      <c r="L141" s="137">
        <f t="shared" ca="1" si="48"/>
        <v>0</v>
      </c>
      <c r="M141" s="139">
        <f t="shared" ca="1" si="49"/>
        <v>3000000</v>
      </c>
      <c r="N141" s="77">
        <f t="shared" ca="1" si="50"/>
        <v>0</v>
      </c>
      <c r="O141" s="137">
        <f t="shared" ca="1" si="51"/>
        <v>0</v>
      </c>
    </row>
    <row r="142" spans="1:15" ht="16.5" customHeight="1" thickBot="1">
      <c r="A142" s="155">
        <v>7</v>
      </c>
      <c r="B142" s="166" t="str">
        <f>HYPERLINK("#'" &amp; TEXT(투자전략!$G$1+6, "[$-ko-KR]yyyy.mm.dd") &amp; "'!A94:O118", TEXT(투자전략!$G$1+6, "[$-ko-KR]yyyy.mm.dd"))</f>
        <v>2022.03.07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64" t="str">
        <f>HYPERLINK("#'" &amp; TEXT(투자전략!$G$1+7, "[$-ko-KR]yyyy.mm.dd") &amp; "'!A94:O118", TEXT(투자전략!$G$1+7, "[$-ko-KR]yyyy.mm.dd"))</f>
        <v>2022.03.08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65" t="str">
        <f>HYPERLINK("#'" &amp; TEXT(투자전략!$G$1+8, "[$-ko-KR]yyyy.mm.dd") &amp; "'!A94:O118", TEXT(투자전략!$G$1+8, "[$-ko-KR]yyyy.mm.dd"))</f>
        <v>2022.03.09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65" t="str">
        <f>HYPERLINK("#'" &amp; TEXT(투자전략!$G$1+9, "[$-ko-KR]yyyy.mm.dd") &amp; "'!A94:O118", TEXT(투자전략!$G$1+9, "[$-ko-KR]yyyy.mm.dd"))</f>
        <v>2022.03.10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65" t="str">
        <f>HYPERLINK("#'" &amp; TEXT(투자전략!$G$1+10, "[$-ko-KR]yyyy.mm.dd") &amp; "'!A94:O118", TEXT(투자전략!$G$1+10, "[$-ko-KR]yyyy.mm.dd"))</f>
        <v>2022.03.11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65" t="str">
        <f>HYPERLINK("#'" &amp; TEXT(투자전략!$G$1+11, "[$-ko-KR]yyyy.mm.dd") &amp; "'!A94:O118", TEXT(투자전략!$G$1+11, "[$-ko-KR]yyyy.mm.dd"))</f>
        <v>2022.03.12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65" t="str">
        <f>HYPERLINK("#'" &amp; TEXT(투자전략!$G$1+12, "[$-ko-KR]yyyy.mm.dd") &amp; "'!A94:O118", TEXT(투자전략!$G$1+12, "[$-ko-KR]yyyy.mm.dd"))</f>
        <v>2022.03.13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66" t="str">
        <f>HYPERLINK("#'" &amp; TEXT(투자전략!$G$1+13, "[$-ko-KR]yyyy.mm.dd") &amp; "'!A94:O118", TEXT(투자전략!$G$1+13, "[$-ko-KR]yyyy.mm.dd"))</f>
        <v>2022.03.14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64" t="str">
        <f>HYPERLINK("#'" &amp; TEXT(투자전략!$G$1+14, "[$-ko-KR]yyyy.mm.dd") &amp; "'!A94:O118", TEXT(투자전략!$G$1+14, "[$-ko-KR]yyyy.mm.dd"))</f>
        <v>2022.03.15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65" t="str">
        <f>HYPERLINK("#'" &amp; TEXT(투자전략!$G$1+15, "[$-ko-KR]yyyy.mm.dd") &amp; "'!A94:O118", TEXT(투자전략!$G$1+15, "[$-ko-KR]yyyy.mm.dd"))</f>
        <v>2022.03.16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65" t="str">
        <f>HYPERLINK("#'" &amp; TEXT(투자전략!$G$1+16, "[$-ko-KR]yyyy.mm.dd") &amp; "'!A94:O118", TEXT(투자전략!$G$1+16, "[$-ko-KR]yyyy.mm.dd"))</f>
        <v>2022.03.17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65" t="str">
        <f>HYPERLINK("#'" &amp; TEXT(투자전략!$G$1+17, "[$-ko-KR]yyyy.mm.dd") &amp; "'!A94:O118", TEXT(투자전략!$G$1+17, "[$-ko-KR]yyyy.mm.dd"))</f>
        <v>2022.03.18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65" t="str">
        <f>HYPERLINK("#'" &amp; TEXT(투자전략!$G$1+18, "[$-ko-KR]yyyy.mm.dd") &amp; "'!A94:O118", TEXT(투자전략!$G$1+18, "[$-ko-KR]yyyy.mm.dd"))</f>
        <v>2022.03.19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65" t="str">
        <f>HYPERLINK("#'" &amp; TEXT(투자전략!$G$1+19, "[$-ko-KR]yyyy.mm.dd") &amp; "'!A94:O118", TEXT(투자전략!$G$1+19, "[$-ko-KR]yyyy.mm.dd"))</f>
        <v>2022.03.20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66" t="str">
        <f>HYPERLINK("#'" &amp; TEXT(투자전략!$G$1+20, "[$-ko-KR]yyyy.mm.dd") &amp; "'!A94:O118", TEXT(투자전략!$G$1+20, "[$-ko-KR]yyyy.mm.dd"))</f>
        <v>2022.03.21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64" t="str">
        <f>HYPERLINK("#'" &amp; TEXT(투자전략!$G$1+21, "[$-ko-KR]yyyy.mm.dd") &amp; "'!A94:O118", TEXT(투자전략!$G$1+21, "[$-ko-KR]yyyy.mm.dd"))</f>
        <v>2022.03.22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65" t="str">
        <f>HYPERLINK("#'" &amp; TEXT(투자전략!$G$1+22, "[$-ko-KR]yyyy.mm.dd") &amp; "'!A94:O118", TEXT(투자전략!$G$1+22, "[$-ko-KR]yyyy.mm.dd"))</f>
        <v>2022.03.23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65" t="str">
        <f>HYPERLINK("#'" &amp; TEXT(투자전략!$G$1+23, "[$-ko-KR]yyyy.mm.dd") &amp; "'!A94:O118", TEXT(투자전략!$G$1+23, "[$-ko-KR]yyyy.mm.dd"))</f>
        <v>2022.03.24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65" t="str">
        <f>HYPERLINK("#'" &amp; TEXT(투자전략!$G$1+24, "[$-ko-KR]yyyy.mm.dd") &amp; "'!A94:O118", TEXT(투자전략!$G$1+24, "[$-ko-KR]yyyy.mm.dd"))</f>
        <v>2022.03.25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65" t="str">
        <f>HYPERLINK("#'" &amp; TEXT(투자전략!$G$1+25, "[$-ko-KR]yyyy.mm.dd") &amp; "'!A94:O118", TEXT(투자전략!$G$1+25, "[$-ko-KR]yyyy.mm.dd"))</f>
        <v>2022.03.26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65" t="str">
        <f>HYPERLINK("#'" &amp; TEXT(투자전략!$G$1+26, "[$-ko-KR]yyyy.mm.dd") &amp; "'!A94:O118", TEXT(투자전략!$G$1+26, "[$-ko-KR]yyyy.mm.dd"))</f>
        <v>2022.03.27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66" t="str">
        <f>HYPERLINK("#'" &amp; TEXT(투자전략!$G$1+27, "[$-ko-KR]yyyy.mm.dd") &amp; "'!A94:O118", TEXT(투자전략!$G$1+27, "[$-ko-KR]yyyy.mm.dd"))</f>
        <v>2022.03.28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64" t="str">
        <f>HYPERLINK("#'" &amp; TEXT(투자전략!$G$1+28, "[$-ko-KR]yyyy.mm.dd") &amp; "'!A94:O118", TEXT(투자전략!$G$1+28, "[$-ko-KR]yyyy.mm.dd"))</f>
        <v>2022.03.29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65" t="str">
        <f>HYPERLINK("#'" &amp; TEXT(투자전략!$G$1+29, "[$-ko-KR]yyyy.mm.dd") &amp; "'!A94:O118", TEXT(투자전략!$G$1+29, "[$-ko-KR]yyyy.mm.dd"))</f>
        <v>2022.03.30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65" t="str">
        <f>HYPERLINK("#'" &amp; TEXT(투자전략!$G$1+30, "[$-ko-KR]yyyy.mm.dd") &amp; "'!A94:O118", TEXT(투자전략!$G$1+30, "[$-ko-KR]yyyy.mm.dd"))</f>
        <v>2022.03.31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79" t="s">
        <v>278</v>
      </c>
      <c r="B167" s="181"/>
      <c r="C167" s="132" t="s">
        <v>273</v>
      </c>
      <c r="D167" s="150" t="s">
        <v>274</v>
      </c>
      <c r="E167" s="151" t="s">
        <v>275</v>
      </c>
      <c r="F167" s="152" t="s">
        <v>276</v>
      </c>
      <c r="G167" s="150" t="s">
        <v>274</v>
      </c>
      <c r="H167" s="151" t="s">
        <v>275</v>
      </c>
      <c r="I167" s="152" t="s">
        <v>276</v>
      </c>
      <c r="J167" s="150" t="s">
        <v>274</v>
      </c>
      <c r="K167" s="151" t="s">
        <v>275</v>
      </c>
      <c r="L167" s="152" t="s">
        <v>276</v>
      </c>
      <c r="M167" s="150" t="s">
        <v>274</v>
      </c>
      <c r="N167" s="151" t="s">
        <v>275</v>
      </c>
      <c r="O167" s="152" t="s">
        <v>276</v>
      </c>
    </row>
    <row r="168" spans="1:15" ht="16.5" customHeight="1" thickBot="1">
      <c r="A168" s="185"/>
      <c r="B168" s="187"/>
      <c r="C168" s="136">
        <f ca="1">SUM(C136:C166)</f>
        <v>18000000</v>
      </c>
      <c r="D168" s="140">
        <f ca="1">SUM(D136:D166)</f>
        <v>17821730.585786015</v>
      </c>
      <c r="E168" s="79">
        <f ca="1">IFERROR(F168 / (SUM($C136:$C166) / COUNT($C136:$C166)), 0)</f>
        <v>-5.9423138071328395E-2</v>
      </c>
      <c r="F168" s="138">
        <f ca="1">SUM(F136:F166)</f>
        <v>-178269.41421398518</v>
      </c>
      <c r="G168" s="140">
        <f ca="1">SUM(G136:G166)</f>
        <v>17860610.824306443</v>
      </c>
      <c r="H168" s="79">
        <f ca="1">IFERROR(I168 / (SUM($C136:$C166) / COUNT($C136:$C166)), 0)</f>
        <v>-4.646305856451912E-2</v>
      </c>
      <c r="I168" s="138">
        <f ca="1">SUM(I136:I166)</f>
        <v>-139389.17569355736</v>
      </c>
      <c r="J168" s="140">
        <f ca="1">SUM(J136:J166)</f>
        <v>17959146.988728873</v>
      </c>
      <c r="K168" s="79">
        <f ca="1">IFERROR(L168 / (SUM($C136:$C166) / COUNT($C136:$C166)), 0)</f>
        <v>-1.3617670423708206E-2</v>
      </c>
      <c r="L168" s="138">
        <f ca="1">SUM(L136:L166)</f>
        <v>-40853.011271124618</v>
      </c>
      <c r="M168" s="140">
        <f ca="1">SUM(M136:M166)</f>
        <v>17834649.068685327</v>
      </c>
      <c r="N168" s="79">
        <f ca="1">IFERROR(O168 / (SUM($C136:$C166) / COUNT($C136:$C166)), 0)</f>
        <v>-5.5116977104890809E-2</v>
      </c>
      <c r="O168" s="138">
        <f ca="1">SUM(O136:O166)</f>
        <v>-165350.93131467243</v>
      </c>
    </row>
    <row r="170" spans="1:15" ht="16.5" customHeight="1" thickBot="1"/>
    <row r="171" spans="1:15" ht="16.5" customHeight="1" thickBot="1">
      <c r="A171" s="170" t="str">
        <f>TEXT(투자전략!$G$1, "[$-ko-KR]yyyy년 mm월 ") &amp; "[엽전코인] 전일대비 상승률 Bottom20 월말결산"</f>
        <v>2022년 03월 [엽전코인] 전일대비 상승률 Bottom20 월말결산</v>
      </c>
      <c r="B171" s="171"/>
      <c r="C171" s="171"/>
      <c r="D171" s="171"/>
      <c r="E171" s="171"/>
      <c r="F171" s="171"/>
      <c r="G171" s="171"/>
      <c r="H171" s="171"/>
      <c r="I171" s="171"/>
      <c r="J171" s="171"/>
      <c r="K171" s="171"/>
      <c r="L171" s="171"/>
      <c r="M171" s="171"/>
      <c r="N171" s="171"/>
      <c r="O171" s="172"/>
    </row>
    <row r="172" spans="1:15" ht="16.5" customHeight="1" thickBot="1">
      <c r="A172" s="231" t="s">
        <v>279</v>
      </c>
      <c r="B172" s="185" t="s">
        <v>277</v>
      </c>
      <c r="C172" s="187"/>
      <c r="D172" s="185" t="s">
        <v>269</v>
      </c>
      <c r="E172" s="186"/>
      <c r="F172" s="187"/>
      <c r="G172" s="185" t="s">
        <v>270</v>
      </c>
      <c r="H172" s="186"/>
      <c r="I172" s="187"/>
      <c r="J172" s="185" t="s">
        <v>271</v>
      </c>
      <c r="K172" s="186"/>
      <c r="L172" s="187"/>
      <c r="M172" s="185" t="s">
        <v>272</v>
      </c>
      <c r="N172" s="186"/>
      <c r="O172" s="187"/>
    </row>
    <row r="173" spans="1:15" ht="16.5" customHeight="1" thickBot="1">
      <c r="A173" s="235"/>
      <c r="B173" s="154" t="s">
        <v>267</v>
      </c>
      <c r="C173" s="154" t="s">
        <v>42</v>
      </c>
      <c r="D173" s="121" t="s">
        <v>268</v>
      </c>
      <c r="E173" s="133" t="s">
        <v>40</v>
      </c>
      <c r="F173" s="156" t="s">
        <v>41</v>
      </c>
      <c r="G173" s="121" t="s">
        <v>268</v>
      </c>
      <c r="H173" s="133" t="s">
        <v>40</v>
      </c>
      <c r="I173" s="156" t="s">
        <v>41</v>
      </c>
      <c r="J173" s="121" t="s">
        <v>268</v>
      </c>
      <c r="K173" s="133" t="s">
        <v>40</v>
      </c>
      <c r="L173" s="156" t="s">
        <v>41</v>
      </c>
      <c r="M173" s="121" t="s">
        <v>268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67" t="str">
        <f>HYPERLINK("#'" &amp; TEXT(투자전략!$G$1+0, "[$-ko-KR]yyyy.mm.dd") &amp; "'!A121:O145", TEXT(투자전략!$G$1+0, "[$-ko-KR]yyyy.mm.dd"))</f>
        <v>2022.03.01</v>
      </c>
      <c r="C174" s="134">
        <f ca="1">IFERROR(COUNTA(INDIRECT($B174&amp;"!A125:A144")) * INDIRECT($B174&amp;"!B145"), "")</f>
        <v>3000000</v>
      </c>
      <c r="D174" s="142">
        <f ca="1">IFERROR($C174 * (1 + E174), "")</f>
        <v>3178334.2548045684</v>
      </c>
      <c r="E174" s="76">
        <f ca="1">IFERROR(INDIRECT($B174&amp;"!E145"), "")</f>
        <v>5.9444751601522738E-2</v>
      </c>
      <c r="F174" s="141">
        <f ca="1">IFERROR(INDIRECT($B174&amp;"!F145"), "")</f>
        <v>178334.25480456819</v>
      </c>
      <c r="G174" s="142">
        <f ca="1">IFERROR($C174 * (1 + H174), "")</f>
        <v>3155446.9315327415</v>
      </c>
      <c r="H174" s="76">
        <f ca="1">IFERROR(INDIRECT($B174&amp;"!H145"), "")</f>
        <v>5.1815643844247097E-2</v>
      </c>
      <c r="I174" s="141">
        <f ca="1">IFERROR(INDIRECT($B174&amp;"!I145"), "")</f>
        <v>155446.93153274126</v>
      </c>
      <c r="J174" s="142">
        <f ca="1">IFERROR($C174 * (1 + K174), "")</f>
        <v>3191419.563378199</v>
      </c>
      <c r="K174" s="76">
        <f ca="1">IFERROR(INDIRECT($B174&amp;"!K145"), "")</f>
        <v>6.3806521126066371E-2</v>
      </c>
      <c r="L174" s="141">
        <f ca="1">IFERROR(INDIRECT($B174&amp;"!L145"), "")</f>
        <v>191419.56337819909</v>
      </c>
      <c r="M174" s="142">
        <f ca="1">IFERROR($C174 * (1 + N174), "")</f>
        <v>3128888.4963358506</v>
      </c>
      <c r="N174" s="76">
        <f ca="1">IFERROR(INDIRECT($B174&amp;"!N145"), "")</f>
        <v>4.2962832111950108E-2</v>
      </c>
      <c r="O174" s="141">
        <f ca="1">IFERROR(INDIRECT($B174&amp;"!O145"), "")</f>
        <v>128888.49633585029</v>
      </c>
    </row>
    <row r="175" spans="1:15" ht="16.5" customHeight="1">
      <c r="A175" s="153">
        <v>2</v>
      </c>
      <c r="B175" s="168" t="str">
        <f>HYPERLINK("#'" &amp; TEXT(투자전략!$G$1+1, "[$-ko-KR]yyyy.mm.dd") &amp; "'!A121:O145", TEXT(투자전략!$G$1+1, "[$-ko-KR]yyyy.mm.dd"))</f>
        <v>2022.03.02</v>
      </c>
      <c r="C175" s="135">
        <f t="shared" ref="C175:C204" ca="1" si="52">IFERROR(COUNTA(INDIRECT($B175&amp;"!A125:A144")) * INDIRECT($B175&amp;"!B145"), "")</f>
        <v>3000000</v>
      </c>
      <c r="D175" s="139">
        <f t="shared" ref="D175:D204" ca="1" si="53">IFERROR($C175 * (1 + E175), "")</f>
        <v>2930622.0192345479</v>
      </c>
      <c r="E175" s="77">
        <f t="shared" ref="E175:E204" ca="1" si="54">IFERROR(INDIRECT($B175&amp;"!E145"), "")</f>
        <v>-2.3125993588483981E-2</v>
      </c>
      <c r="F175" s="137">
        <f t="shared" ref="F175:F204" ca="1" si="55">IFERROR(INDIRECT($B175&amp;"!F145"), "")</f>
        <v>-69377.980765451968</v>
      </c>
      <c r="G175" s="139">
        <f t="shared" ref="G175:G204" ca="1" si="56">IFERROR($C175 * (1 + H175), "")</f>
        <v>2946899.8702068436</v>
      </c>
      <c r="H175" s="77">
        <f t="shared" ref="H175:H204" ca="1" si="57">IFERROR(INDIRECT($B175&amp;"!H145"), "")</f>
        <v>-1.7700043264385412E-2</v>
      </c>
      <c r="I175" s="137">
        <f t="shared" ref="I175:I204" ca="1" si="58">IFERROR(INDIRECT($B175&amp;"!I145"), "")</f>
        <v>-53100.129793156251</v>
      </c>
      <c r="J175" s="139">
        <f t="shared" ref="J175:J204" ca="1" si="59">IFERROR($C175 * (1 + K175), "")</f>
        <v>2958639.8546383004</v>
      </c>
      <c r="K175" s="77">
        <f t="shared" ref="K175:K204" ca="1" si="60">IFERROR(INDIRECT($B175&amp;"!K145"), "")</f>
        <v>-1.3786715120566667E-2</v>
      </c>
      <c r="L175" s="137">
        <f t="shared" ref="L175:L204" ca="1" si="61">IFERROR(INDIRECT($B175&amp;"!L145"), "")</f>
        <v>-41360.145361699993</v>
      </c>
      <c r="M175" s="139">
        <f t="shared" ref="M175:M204" ca="1" si="62">IFERROR($C175 * (1 + N175), "")</f>
        <v>2945130.4817194454</v>
      </c>
      <c r="N175" s="77">
        <f t="shared" ref="N175:N204" ca="1" si="63">IFERROR(INDIRECT($B175&amp;"!N145"), "")</f>
        <v>-1.8289839426851421E-2</v>
      </c>
      <c r="O175" s="137">
        <f t="shared" ref="O175:O204" ca="1" si="64">IFERROR(INDIRECT($B175&amp;"!O145"), "")</f>
        <v>-54869.518280554264</v>
      </c>
    </row>
    <row r="176" spans="1:15" ht="16.5" customHeight="1">
      <c r="A176" s="153">
        <v>3</v>
      </c>
      <c r="B176" s="168" t="str">
        <f>HYPERLINK("#'" &amp; TEXT(투자전략!$G$1+2, "[$-ko-KR]yyyy.mm.dd") &amp; "'!A121:O145", TEXT(투자전략!$G$1+2, "[$-ko-KR]yyyy.mm.dd"))</f>
        <v>2022.03.03</v>
      </c>
      <c r="C176" s="135">
        <f t="shared" ca="1" si="52"/>
        <v>3000000</v>
      </c>
      <c r="D176" s="139">
        <f t="shared" ca="1" si="53"/>
        <v>2926452.4346949179</v>
      </c>
      <c r="E176" s="77">
        <f t="shared" ca="1" si="54"/>
        <v>-2.451585510169409E-2</v>
      </c>
      <c r="F176" s="137">
        <f t="shared" ca="1" si="55"/>
        <v>-73547.565305082273</v>
      </c>
      <c r="G176" s="139">
        <f t="shared" ca="1" si="56"/>
        <v>2949572.0957025876</v>
      </c>
      <c r="H176" s="77">
        <f t="shared" ca="1" si="57"/>
        <v>-1.6809301432470832E-2</v>
      </c>
      <c r="I176" s="137">
        <f t="shared" ca="1" si="58"/>
        <v>-50427.90429741249</v>
      </c>
      <c r="J176" s="139">
        <f t="shared" ca="1" si="59"/>
        <v>2952373.1222693617</v>
      </c>
      <c r="K176" s="77">
        <f t="shared" ca="1" si="60"/>
        <v>-1.5875625910212788E-2</v>
      </c>
      <c r="L176" s="137">
        <f t="shared" ca="1" si="61"/>
        <v>-47626.877730638349</v>
      </c>
      <c r="M176" s="139">
        <f t="shared" ca="1" si="62"/>
        <v>2945582.1315214336</v>
      </c>
      <c r="N176" s="77">
        <f t="shared" ca="1" si="63"/>
        <v>-1.8139289492855482E-2</v>
      </c>
      <c r="O176" s="137">
        <f t="shared" ca="1" si="64"/>
        <v>-54417.868478566452</v>
      </c>
    </row>
    <row r="177" spans="1:15" ht="16.5" customHeight="1">
      <c r="A177" s="153">
        <v>4</v>
      </c>
      <c r="B177" s="168" t="str">
        <f>HYPERLINK("#'" &amp; TEXT(투자전략!$G$1+3, "[$-ko-KR]yyyy.mm.dd") &amp; "'!A121:O145", TEXT(투자전략!$G$1+3, "[$-ko-KR]yyyy.mm.dd"))</f>
        <v>2022.03.04</v>
      </c>
      <c r="C177" s="135">
        <f t="shared" ca="1" si="52"/>
        <v>3000000</v>
      </c>
      <c r="D177" s="139">
        <f t="shared" ca="1" si="53"/>
        <v>2912409.1094976868</v>
      </c>
      <c r="E177" s="77">
        <f t="shared" ca="1" si="54"/>
        <v>-2.9196963500771021E-2</v>
      </c>
      <c r="F177" s="137">
        <f t="shared" ca="1" si="55"/>
        <v>-87590.890502313123</v>
      </c>
      <c r="G177" s="139">
        <f t="shared" ca="1" si="56"/>
        <v>2943057.3730559791</v>
      </c>
      <c r="H177" s="77">
        <f t="shared" ca="1" si="57"/>
        <v>-1.8980875648007E-2</v>
      </c>
      <c r="I177" s="137">
        <f t="shared" ca="1" si="58"/>
        <v>-56942.626944021002</v>
      </c>
      <c r="J177" s="139">
        <f t="shared" ca="1" si="59"/>
        <v>2967219.1001330847</v>
      </c>
      <c r="K177" s="77">
        <f t="shared" ca="1" si="60"/>
        <v>-1.0926966622305096E-2</v>
      </c>
      <c r="L177" s="137">
        <f t="shared" ca="1" si="61"/>
        <v>-32780.899866915286</v>
      </c>
      <c r="M177" s="139">
        <f t="shared" ca="1" si="62"/>
        <v>2925053.7818477806</v>
      </c>
      <c r="N177" s="77">
        <f t="shared" ca="1" si="63"/>
        <v>-2.49820727174065E-2</v>
      </c>
      <c r="O177" s="137">
        <f t="shared" ca="1" si="64"/>
        <v>-74946.218152219502</v>
      </c>
    </row>
    <row r="178" spans="1:15" ht="16.5" customHeight="1">
      <c r="A178" s="153">
        <v>5</v>
      </c>
      <c r="B178" s="168" t="str">
        <f>HYPERLINK("#'" &amp; TEXT(투자전략!$G$1+4, "[$-ko-KR]yyyy.mm.dd") &amp; "'!A121:O145", TEXT(투자전략!$G$1+4, "[$-ko-KR]yyyy.mm.dd"))</f>
        <v>2022.03.05</v>
      </c>
      <c r="C178" s="135">
        <f t="shared" ca="1" si="52"/>
        <v>3000000</v>
      </c>
      <c r="D178" s="139">
        <f t="shared" ca="1" si="53"/>
        <v>2934901.7450422384</v>
      </c>
      <c r="E178" s="77">
        <f t="shared" ca="1" si="54"/>
        <v>-2.1699418319253854E-2</v>
      </c>
      <c r="F178" s="137">
        <f t="shared" ca="1" si="55"/>
        <v>-65098.254957761565</v>
      </c>
      <c r="G178" s="139">
        <f t="shared" ca="1" si="56"/>
        <v>2960521.763983869</v>
      </c>
      <c r="H178" s="77">
        <f t="shared" ca="1" si="57"/>
        <v>-1.3159412005376936E-2</v>
      </c>
      <c r="I178" s="137">
        <f t="shared" ca="1" si="58"/>
        <v>-39478.236016130802</v>
      </c>
      <c r="J178" s="139">
        <f t="shared" ca="1" si="59"/>
        <v>2985548.9404808907</v>
      </c>
      <c r="K178" s="77">
        <f t="shared" ca="1" si="60"/>
        <v>-4.8170198397032172E-3</v>
      </c>
      <c r="L178" s="137">
        <f t="shared" ca="1" si="61"/>
        <v>-14451.059519109651</v>
      </c>
      <c r="M178" s="139">
        <f t="shared" ca="1" si="62"/>
        <v>2976075.3479475072</v>
      </c>
      <c r="N178" s="77">
        <f t="shared" ca="1" si="63"/>
        <v>-7.9748840174976472E-3</v>
      </c>
      <c r="O178" s="137">
        <f t="shared" ca="1" si="64"/>
        <v>-23924.652052492936</v>
      </c>
    </row>
    <row r="179" spans="1:15" ht="16.5" customHeight="1">
      <c r="A179" s="153">
        <v>6</v>
      </c>
      <c r="B179" s="168" t="str">
        <f>HYPERLINK("#'" &amp; TEXT(투자전략!$G$1+5, "[$-ko-KR]yyyy.mm.dd") &amp; "'!A121:O145", TEXT(투자전략!$G$1+5, "[$-ko-KR]yyyy.mm.dd"))</f>
        <v>2022.03.06</v>
      </c>
      <c r="C179" s="135">
        <f t="shared" ca="1" si="52"/>
        <v>3000000</v>
      </c>
      <c r="D179" s="139">
        <f t="shared" ca="1" si="53"/>
        <v>3011428.6415674877</v>
      </c>
      <c r="E179" s="77">
        <f t="shared" ca="1" si="54"/>
        <v>3.809547189162518E-3</v>
      </c>
      <c r="F179" s="137">
        <f t="shared" ca="1" si="55"/>
        <v>11428.641567487557</v>
      </c>
      <c r="G179" s="139">
        <f t="shared" ca="1" si="56"/>
        <v>3000000</v>
      </c>
      <c r="H179" s="77">
        <f t="shared" ca="1" si="57"/>
        <v>0</v>
      </c>
      <c r="I179" s="137">
        <f t="shared" ca="1" si="58"/>
        <v>0</v>
      </c>
      <c r="J179" s="139">
        <f t="shared" ca="1" si="59"/>
        <v>3000000</v>
      </c>
      <c r="K179" s="77">
        <f t="shared" ca="1" si="60"/>
        <v>0</v>
      </c>
      <c r="L179" s="137">
        <f t="shared" ca="1" si="61"/>
        <v>0</v>
      </c>
      <c r="M179" s="139">
        <f t="shared" ca="1" si="62"/>
        <v>3000000</v>
      </c>
      <c r="N179" s="77">
        <f t="shared" ca="1" si="63"/>
        <v>0</v>
      </c>
      <c r="O179" s="137">
        <f t="shared" ca="1" si="64"/>
        <v>0</v>
      </c>
    </row>
    <row r="180" spans="1:15" ht="16.5" customHeight="1" thickBot="1">
      <c r="A180" s="155">
        <v>7</v>
      </c>
      <c r="B180" s="169" t="str">
        <f>HYPERLINK("#'" &amp; TEXT(투자전략!$G$1+6, "[$-ko-KR]yyyy.mm.dd") &amp; "'!A121:O145", TEXT(투자전략!$G$1+6, "[$-ko-KR]yyyy.mm.dd"))</f>
        <v>2022.03.07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67" t="str">
        <f>HYPERLINK("#'" &amp; TEXT(투자전략!$G$1+7, "[$-ko-KR]yyyy.mm.dd") &amp; "'!A121:O145", TEXT(투자전략!$G$1+7, "[$-ko-KR]yyyy.mm.dd"))</f>
        <v>2022.03.08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68" t="str">
        <f>HYPERLINK("#'" &amp; TEXT(투자전략!$G$1+8, "[$-ko-KR]yyyy.mm.dd") &amp; "'!A121:O145", TEXT(투자전략!$G$1+8, "[$-ko-KR]yyyy.mm.dd"))</f>
        <v>2022.03.09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68" t="str">
        <f>HYPERLINK("#'" &amp; TEXT(투자전략!$G$1+9, "[$-ko-KR]yyyy.mm.dd") &amp; "'!A121:O145", TEXT(투자전략!$G$1+9, "[$-ko-KR]yyyy.mm.dd"))</f>
        <v>2022.03.10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68" t="str">
        <f>HYPERLINK("#'" &amp; TEXT(투자전략!$G$1+10, "[$-ko-KR]yyyy.mm.dd") &amp; "'!A121:O145", TEXT(투자전략!$G$1+10, "[$-ko-KR]yyyy.mm.dd"))</f>
        <v>2022.03.11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68" t="str">
        <f>HYPERLINK("#'" &amp; TEXT(투자전략!$G$1+11, "[$-ko-KR]yyyy.mm.dd") &amp; "'!A121:O145", TEXT(투자전략!$G$1+11, "[$-ko-KR]yyyy.mm.dd"))</f>
        <v>2022.03.12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68" t="str">
        <f>HYPERLINK("#'" &amp; TEXT(투자전략!$G$1+12, "[$-ko-KR]yyyy.mm.dd") &amp; "'!A121:O145", TEXT(투자전략!$G$1+12, "[$-ko-KR]yyyy.mm.dd"))</f>
        <v>2022.03.13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69" t="str">
        <f>HYPERLINK("#'" &amp; TEXT(투자전략!$G$1+13, "[$-ko-KR]yyyy.mm.dd") &amp; "'!A121:O145", TEXT(투자전략!$G$1+13, "[$-ko-KR]yyyy.mm.dd"))</f>
        <v>2022.03.14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67" t="str">
        <f>HYPERLINK("#'" &amp; TEXT(투자전략!$G$1+14, "[$-ko-KR]yyyy.mm.dd") &amp; "'!A121:O145", TEXT(투자전략!$G$1+14, "[$-ko-KR]yyyy.mm.dd"))</f>
        <v>2022.03.15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68" t="str">
        <f>HYPERLINK("#'" &amp; TEXT(투자전략!$G$1+15, "[$-ko-KR]yyyy.mm.dd") &amp; "'!A121:O145", TEXT(투자전략!$G$1+15, "[$-ko-KR]yyyy.mm.dd"))</f>
        <v>2022.03.16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68" t="str">
        <f>HYPERLINK("#'" &amp; TEXT(투자전략!$G$1+16, "[$-ko-KR]yyyy.mm.dd") &amp; "'!A121:O145", TEXT(투자전략!$G$1+16, "[$-ko-KR]yyyy.mm.dd"))</f>
        <v>2022.03.17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68" t="str">
        <f>HYPERLINK("#'" &amp; TEXT(투자전략!$G$1+17, "[$-ko-KR]yyyy.mm.dd") &amp; "'!A121:O145", TEXT(투자전략!$G$1+17, "[$-ko-KR]yyyy.mm.dd"))</f>
        <v>2022.03.18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68" t="str">
        <f>HYPERLINK("#'" &amp; TEXT(투자전략!$G$1+18, "[$-ko-KR]yyyy.mm.dd") &amp; "'!A121:O145", TEXT(투자전략!$G$1+18, "[$-ko-KR]yyyy.mm.dd"))</f>
        <v>2022.03.19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68" t="str">
        <f>HYPERLINK("#'" &amp; TEXT(투자전략!$G$1+19, "[$-ko-KR]yyyy.mm.dd") &amp; "'!A121:O145", TEXT(투자전략!$G$1+19, "[$-ko-KR]yyyy.mm.dd"))</f>
        <v>2022.03.20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69" t="str">
        <f>HYPERLINK("#'" &amp; TEXT(투자전략!$G$1+20, "[$-ko-KR]yyyy.mm.dd") &amp; "'!A121:O145", TEXT(투자전략!$G$1+20, "[$-ko-KR]yyyy.mm.dd"))</f>
        <v>2022.03.21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67" t="str">
        <f>HYPERLINK("#'" &amp; TEXT(투자전략!$G$1+21, "[$-ko-KR]yyyy.mm.dd") &amp; "'!A121:O145", TEXT(투자전략!$G$1+21, "[$-ko-KR]yyyy.mm.dd"))</f>
        <v>2022.03.22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68" t="str">
        <f>HYPERLINK("#'" &amp; TEXT(투자전략!$G$1+22, "[$-ko-KR]yyyy.mm.dd") &amp; "'!A121:O145", TEXT(투자전략!$G$1+22, "[$-ko-KR]yyyy.mm.dd"))</f>
        <v>2022.03.23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68" t="str">
        <f>HYPERLINK("#'" &amp; TEXT(투자전략!$G$1+23, "[$-ko-KR]yyyy.mm.dd") &amp; "'!A121:O145", TEXT(투자전략!$G$1+23, "[$-ko-KR]yyyy.mm.dd"))</f>
        <v>2022.03.24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68" t="str">
        <f>HYPERLINK("#'" &amp; TEXT(투자전략!$G$1+24, "[$-ko-KR]yyyy.mm.dd") &amp; "'!A121:O145", TEXT(투자전략!$G$1+24, "[$-ko-KR]yyyy.mm.dd"))</f>
        <v>2022.03.25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68" t="str">
        <f>HYPERLINK("#'" &amp; TEXT(투자전략!$G$1+25, "[$-ko-KR]yyyy.mm.dd") &amp; "'!A121:O145", TEXT(투자전략!$G$1+25, "[$-ko-KR]yyyy.mm.dd"))</f>
        <v>2022.03.26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68" t="str">
        <f>HYPERLINK("#'" &amp; TEXT(투자전략!$G$1+26, "[$-ko-KR]yyyy.mm.dd") &amp; "'!A121:O145", TEXT(투자전략!$G$1+26, "[$-ko-KR]yyyy.mm.dd"))</f>
        <v>2022.03.27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69" t="str">
        <f>HYPERLINK("#'" &amp; TEXT(투자전략!$G$1+27, "[$-ko-KR]yyyy.mm.dd") &amp; "'!A121:O145", TEXT(투자전략!$G$1+27, "[$-ko-KR]yyyy.mm.dd"))</f>
        <v>2022.03.28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67" t="str">
        <f>HYPERLINK("#'" &amp; TEXT(투자전략!$G$1+28, "[$-ko-KR]yyyy.mm.dd") &amp; "'!A121:O145", TEXT(투자전략!$G$1+28, "[$-ko-KR]yyyy.mm.dd"))</f>
        <v>2022.03.29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68" t="str">
        <f>HYPERLINK("#'" &amp; TEXT(투자전략!$G$1+29, "[$-ko-KR]yyyy.mm.dd") &amp; "'!A121:O145", TEXT(투자전략!$G$1+29, "[$-ko-KR]yyyy.mm.dd"))</f>
        <v>2022.03.30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68" t="str">
        <f>HYPERLINK("#'" &amp; TEXT(투자전략!$G$1+30, "[$-ko-KR]yyyy.mm.dd") &amp; "'!A121:O145", TEXT(투자전략!$G$1+30, "[$-ko-KR]yyyy.mm.dd"))</f>
        <v>2022.03.31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79" t="s">
        <v>278</v>
      </c>
      <c r="B205" s="181"/>
      <c r="C205" s="132" t="s">
        <v>273</v>
      </c>
      <c r="D205" s="150" t="s">
        <v>274</v>
      </c>
      <c r="E205" s="151" t="s">
        <v>275</v>
      </c>
      <c r="F205" s="152" t="s">
        <v>276</v>
      </c>
      <c r="G205" s="150" t="s">
        <v>274</v>
      </c>
      <c r="H205" s="151" t="s">
        <v>275</v>
      </c>
      <c r="I205" s="152" t="s">
        <v>276</v>
      </c>
      <c r="J205" s="150" t="s">
        <v>274</v>
      </c>
      <c r="K205" s="151" t="s">
        <v>275</v>
      </c>
      <c r="L205" s="152" t="s">
        <v>276</v>
      </c>
      <c r="M205" s="150" t="s">
        <v>274</v>
      </c>
      <c r="N205" s="151" t="s">
        <v>275</v>
      </c>
      <c r="O205" s="152" t="s">
        <v>276</v>
      </c>
    </row>
    <row r="206" spans="1:15" ht="16.5" customHeight="1" thickBot="1">
      <c r="A206" s="185"/>
      <c r="B206" s="187"/>
      <c r="C206" s="136">
        <f ca="1">SUM(C174:C204)</f>
        <v>18000000</v>
      </c>
      <c r="D206" s="140">
        <f ca="1">SUM(D174:D204)</f>
        <v>17894148.204841446</v>
      </c>
      <c r="E206" s="79">
        <f ca="1">IFERROR(F206 / (SUM($C174:$C204) / COUNT($C174:$C204)), 0)</f>
        <v>-3.5283931719517721E-2</v>
      </c>
      <c r="F206" s="138">
        <f ca="1">SUM(F174:F204)</f>
        <v>-105851.79515855317</v>
      </c>
      <c r="G206" s="140">
        <f ca="1">SUM(G174:G204)</f>
        <v>17955498.034482021</v>
      </c>
      <c r="H206" s="79">
        <f ca="1">IFERROR(I206 / (SUM($C174:$C204) / COUNT($C174:$C204)), 0)</f>
        <v>-1.4833988505993097E-2</v>
      </c>
      <c r="I206" s="138">
        <f ca="1">SUM(I174:I204)</f>
        <v>-44501.96551797929</v>
      </c>
      <c r="J206" s="140">
        <f ca="1">SUM(J174:J204)</f>
        <v>18055200.580899838</v>
      </c>
      <c r="K206" s="79">
        <f ca="1">IFERROR(L206 / (SUM($C174:$C204) / COUNT($C174:$C204)), 0)</f>
        <v>1.8400193633278605E-2</v>
      </c>
      <c r="L206" s="138">
        <f ca="1">SUM(L174:L204)</f>
        <v>55200.580899835812</v>
      </c>
      <c r="M206" s="140">
        <f ca="1">SUM(M174:M204)</f>
        <v>17920730.239372019</v>
      </c>
      <c r="N206" s="79">
        <f ca="1">IFERROR(O206 / (SUM($C174:$C204) / COUNT($C174:$C204)), 0)</f>
        <v>-2.6423253542660955E-2</v>
      </c>
      <c r="O206" s="138">
        <f ca="1">SUM(O174:O204)</f>
        <v>-79269.760627982861</v>
      </c>
    </row>
    <row r="208" spans="1:15" ht="16.5" customHeight="1" thickBot="1"/>
    <row r="209" spans="1:15" ht="16.5" customHeight="1" thickBot="1">
      <c r="A209" s="170" t="str">
        <f>TEXT(투자전략!$G$1, "[$-ko-KR]yyyy년 mm월 ") &amp; "[동전코인] 전일대비 상승률 Bottom20 월말결산"</f>
        <v>2022년 03월 [동전코인] 전일대비 상승률 Bottom20 월말결산</v>
      </c>
      <c r="B209" s="171"/>
      <c r="C209" s="171"/>
      <c r="D209" s="171"/>
      <c r="E209" s="171"/>
      <c r="F209" s="171"/>
      <c r="G209" s="171"/>
      <c r="H209" s="171"/>
      <c r="I209" s="171"/>
      <c r="J209" s="171"/>
      <c r="K209" s="171"/>
      <c r="L209" s="171"/>
      <c r="M209" s="171"/>
      <c r="N209" s="171"/>
      <c r="O209" s="172"/>
    </row>
    <row r="210" spans="1:15" ht="16.5" customHeight="1" thickBot="1">
      <c r="A210" s="231" t="s">
        <v>279</v>
      </c>
      <c r="B210" s="185" t="s">
        <v>277</v>
      </c>
      <c r="C210" s="187"/>
      <c r="D210" s="185" t="s">
        <v>269</v>
      </c>
      <c r="E210" s="186"/>
      <c r="F210" s="187"/>
      <c r="G210" s="185" t="s">
        <v>270</v>
      </c>
      <c r="H210" s="186"/>
      <c r="I210" s="187"/>
      <c r="J210" s="185" t="s">
        <v>271</v>
      </c>
      <c r="K210" s="186"/>
      <c r="L210" s="187"/>
      <c r="M210" s="185" t="s">
        <v>272</v>
      </c>
      <c r="N210" s="186"/>
      <c r="O210" s="187"/>
    </row>
    <row r="211" spans="1:15" ht="16.5" customHeight="1" thickBot="1">
      <c r="A211" s="235"/>
      <c r="B211" s="154" t="s">
        <v>267</v>
      </c>
      <c r="C211" s="154" t="s">
        <v>42</v>
      </c>
      <c r="D211" s="121" t="s">
        <v>268</v>
      </c>
      <c r="E211" s="133" t="s">
        <v>40</v>
      </c>
      <c r="F211" s="156" t="s">
        <v>41</v>
      </c>
      <c r="G211" s="121" t="s">
        <v>268</v>
      </c>
      <c r="H211" s="133" t="s">
        <v>40</v>
      </c>
      <c r="I211" s="156" t="s">
        <v>41</v>
      </c>
      <c r="J211" s="121" t="s">
        <v>268</v>
      </c>
      <c r="K211" s="133" t="s">
        <v>40</v>
      </c>
      <c r="L211" s="156" t="s">
        <v>41</v>
      </c>
      <c r="M211" s="121" t="s">
        <v>268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67" t="str">
        <f>HYPERLINK("#'" &amp; TEXT(투자전략!$G$1+0, "[$-ko-KR]yyyy.mm.dd") &amp; "'!A148:O172", TEXT(투자전략!$G$1+0, "[$-ko-KR]yyyy.mm.dd"))</f>
        <v>2022.03.01</v>
      </c>
      <c r="C212" s="134">
        <f ca="1">IFERROR(COUNTA(INDIRECT($B212&amp;"!A152:A171")) * INDIRECT($B212&amp;"!B172"), "")</f>
        <v>3000000</v>
      </c>
      <c r="D212" s="142">
        <f ca="1">IFERROR($C212 * (1 + E212), "")</f>
        <v>3189757.7488936614</v>
      </c>
      <c r="E212" s="76">
        <f ca="1">IFERROR(INDIRECT($B212&amp;"!E172"), "")</f>
        <v>6.3252582964553883E-2</v>
      </c>
      <c r="F212" s="141">
        <f ca="1">IFERROR(INDIRECT($B212&amp;"!F172"), "")</f>
        <v>189757.74889366163</v>
      </c>
      <c r="G212" s="142">
        <f ca="1">IFERROR($C212 * (1 + H212), "")</f>
        <v>3166595.660663187</v>
      </c>
      <c r="H212" s="76">
        <f ca="1">IFERROR(INDIRECT($B212&amp;"!H172"), "")</f>
        <v>5.5531886887729101E-2</v>
      </c>
      <c r="I212" s="141">
        <f ca="1">IFERROR(INDIRECT($B212&amp;"!I172"), "")</f>
        <v>166595.66066318724</v>
      </c>
      <c r="J212" s="142">
        <f ca="1">IFERROR($C212 * (1 + K212), "")</f>
        <v>3210641.7500875266</v>
      </c>
      <c r="K212" s="76">
        <f ca="1">IFERROR(INDIRECT($B212&amp;"!K172"), "")</f>
        <v>7.0213916695842149E-2</v>
      </c>
      <c r="L212" s="141">
        <f ca="1">IFERROR(INDIRECT($B212&amp;"!L172"), "")</f>
        <v>210641.75008752648</v>
      </c>
      <c r="M212" s="142">
        <f ca="1">IFERROR($C212 * (1 + N212), "")</f>
        <v>3114612.044287656</v>
      </c>
      <c r="N212" s="76">
        <f ca="1">IFERROR(INDIRECT($B212&amp;"!N172"), "")</f>
        <v>3.8204014762551988E-2</v>
      </c>
      <c r="O212" s="141">
        <f ca="1">IFERROR(INDIRECT($B212&amp;"!O172"), "")</f>
        <v>114612.04428765597</v>
      </c>
    </row>
    <row r="213" spans="1:15" ht="16.5" customHeight="1">
      <c r="A213" s="153">
        <v>2</v>
      </c>
      <c r="B213" s="168" t="str">
        <f>HYPERLINK("#'" &amp; TEXT(투자전략!$G$1+1, "[$-ko-KR]yyyy.mm.dd") &amp; "'!A148:O172", TEXT(투자전략!$G$1+1, "[$-ko-KR]yyyy.mm.dd"))</f>
        <v>2022.03.02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2928948.1248293906</v>
      </c>
      <c r="E213" s="77">
        <f t="shared" ref="E213:E242" ca="1" si="67">IFERROR(INDIRECT($B213&amp;"!E172"), "")</f>
        <v>-2.3683958390203208E-2</v>
      </c>
      <c r="F213" s="137">
        <f t="shared" ref="F213:F242" ca="1" si="68">IFERROR(INDIRECT($B213&amp;"!F172"), "")</f>
        <v>-71051.875170609637</v>
      </c>
      <c r="G213" s="139">
        <f t="shared" ref="G213:G242" ca="1" si="69">IFERROR($C213 * (1 + H213), "")</f>
        <v>2950536.2059193919</v>
      </c>
      <c r="H213" s="77">
        <f t="shared" ref="H213:H242" ca="1" si="70">IFERROR(INDIRECT($B213&amp;"!H172"), "")</f>
        <v>-1.6487931360202636E-2</v>
      </c>
      <c r="I213" s="137">
        <f t="shared" ref="I213:I242" ca="1" si="71">IFERROR(INDIRECT($B213&amp;"!I172"), "")</f>
        <v>-49463.79408060792</v>
      </c>
      <c r="J213" s="139">
        <f t="shared" ref="J213:J242" ca="1" si="72">IFERROR($C213 * (1 + K213), "")</f>
        <v>2968768.9856299735</v>
      </c>
      <c r="K213" s="77">
        <f t="shared" ref="K213:K242" ca="1" si="73">IFERROR(INDIRECT($B213&amp;"!K172"), "")</f>
        <v>-1.0410338123342289E-2</v>
      </c>
      <c r="L213" s="137">
        <f t="shared" ref="L213:L242" ca="1" si="74">IFERROR(INDIRECT($B213&amp;"!L172"), "")</f>
        <v>-31231.014370026867</v>
      </c>
      <c r="M213" s="139">
        <f t="shared" ref="M213:M242" ca="1" si="75">IFERROR($C213 * (1 + N213), "")</f>
        <v>2963833.2238635984</v>
      </c>
      <c r="N213" s="77">
        <f t="shared" ref="N213:N242" ca="1" si="76">IFERROR(INDIRECT($B213&amp;"!N172"), "")</f>
        <v>-1.2055592045467151E-2</v>
      </c>
      <c r="O213" s="137">
        <f t="shared" ref="O213:O242" ca="1" si="77">IFERROR(INDIRECT($B213&amp;"!O172"), "")</f>
        <v>-36166.776136401459</v>
      </c>
    </row>
    <row r="214" spans="1:15" ht="16.5" customHeight="1">
      <c r="A214" s="153">
        <v>3</v>
      </c>
      <c r="B214" s="168" t="str">
        <f>HYPERLINK("#'" &amp; TEXT(투자전략!$G$1+2, "[$-ko-KR]yyyy.mm.dd") &amp; "'!A148:O172", TEXT(투자전략!$G$1+2, "[$-ko-KR]yyyy.mm.dd"))</f>
        <v>2022.03.03</v>
      </c>
      <c r="C214" s="135">
        <f t="shared" ca="1" si="65"/>
        <v>3000000</v>
      </c>
      <c r="D214" s="139">
        <f t="shared" ca="1" si="66"/>
        <v>2938340.4889470381</v>
      </c>
      <c r="E214" s="77">
        <f t="shared" ca="1" si="67"/>
        <v>-2.0553170350987252E-2</v>
      </c>
      <c r="F214" s="137">
        <f t="shared" ca="1" si="68"/>
        <v>-61659.511052961752</v>
      </c>
      <c r="G214" s="139">
        <f t="shared" ca="1" si="69"/>
        <v>2959233.116837258</v>
      </c>
      <c r="H214" s="77">
        <f t="shared" ca="1" si="70"/>
        <v>-1.3588961054247348E-2</v>
      </c>
      <c r="I214" s="137">
        <f t="shared" ca="1" si="71"/>
        <v>-40766.883162742044</v>
      </c>
      <c r="J214" s="139">
        <f t="shared" ca="1" si="72"/>
        <v>2954167.1566213737</v>
      </c>
      <c r="K214" s="77">
        <f t="shared" ca="1" si="73"/>
        <v>-1.5277614459542071E-2</v>
      </c>
      <c r="L214" s="137">
        <f t="shared" ca="1" si="74"/>
        <v>-45832.843378626225</v>
      </c>
      <c r="M214" s="139">
        <f t="shared" ca="1" si="75"/>
        <v>2956475.9673404628</v>
      </c>
      <c r="N214" s="77">
        <f t="shared" ca="1" si="76"/>
        <v>-1.4508010886512487E-2</v>
      </c>
      <c r="O214" s="137">
        <f t="shared" ca="1" si="77"/>
        <v>-43524.032659537464</v>
      </c>
    </row>
    <row r="215" spans="1:15" ht="16.5" customHeight="1">
      <c r="A215" s="153">
        <v>4</v>
      </c>
      <c r="B215" s="168" t="str">
        <f>HYPERLINK("#'" &amp; TEXT(투자전략!$G$1+3, "[$-ko-KR]yyyy.mm.dd") &amp; "'!A148:O172", TEXT(투자전략!$G$1+3, "[$-ko-KR]yyyy.mm.dd"))</f>
        <v>2022.03.04</v>
      </c>
      <c r="C215" s="135">
        <f t="shared" ca="1" si="65"/>
        <v>3000000</v>
      </c>
      <c r="D215" s="139">
        <f t="shared" ca="1" si="66"/>
        <v>2882782.8570150305</v>
      </c>
      <c r="E215" s="77">
        <f t="shared" ca="1" si="67"/>
        <v>-3.9072380994989796E-2</v>
      </c>
      <c r="F215" s="137">
        <f t="shared" ca="1" si="68"/>
        <v>-117217.14298496937</v>
      </c>
      <c r="G215" s="139">
        <f t="shared" ca="1" si="69"/>
        <v>2977603.9144954407</v>
      </c>
      <c r="H215" s="77">
        <f t="shared" ca="1" si="70"/>
        <v>-7.4653618348531165E-3</v>
      </c>
      <c r="I215" s="137">
        <f t="shared" ca="1" si="71"/>
        <v>-22396.085504559356</v>
      </c>
      <c r="J215" s="139">
        <f t="shared" ca="1" si="72"/>
        <v>3003993.6760495617</v>
      </c>
      <c r="K215" s="77">
        <f t="shared" ca="1" si="73"/>
        <v>1.3312253498539018E-3</v>
      </c>
      <c r="L215" s="137">
        <f t="shared" ca="1" si="74"/>
        <v>3993.6760495617091</v>
      </c>
      <c r="M215" s="139">
        <f t="shared" ca="1" si="75"/>
        <v>2951647.5242362232</v>
      </c>
      <c r="N215" s="77">
        <f t="shared" ca="1" si="76"/>
        <v>-1.6117491921258938E-2</v>
      </c>
      <c r="O215" s="137">
        <f t="shared" ca="1" si="77"/>
        <v>-48352.47576377682</v>
      </c>
    </row>
    <row r="216" spans="1:15" ht="16.5" customHeight="1">
      <c r="A216" s="153">
        <v>5</v>
      </c>
      <c r="B216" s="168" t="str">
        <f>HYPERLINK("#'" &amp; TEXT(투자전략!$G$1+4, "[$-ko-KR]yyyy.mm.dd") &amp; "'!A148:O172", TEXT(투자전략!$G$1+4, "[$-ko-KR]yyyy.mm.dd"))</f>
        <v>2022.03.05</v>
      </c>
      <c r="C216" s="135">
        <f t="shared" ca="1" si="65"/>
        <v>3000000</v>
      </c>
      <c r="D216" s="139">
        <f t="shared" ca="1" si="66"/>
        <v>2943317.2588206544</v>
      </c>
      <c r="E216" s="77">
        <f t="shared" ca="1" si="67"/>
        <v>-1.889424705978188E-2</v>
      </c>
      <c r="F216" s="137">
        <f t="shared" ca="1" si="68"/>
        <v>-56682.741179345641</v>
      </c>
      <c r="G216" s="139">
        <f t="shared" ca="1" si="69"/>
        <v>2952145.4124083179</v>
      </c>
      <c r="H216" s="77">
        <f t="shared" ca="1" si="70"/>
        <v>-1.5951529197227331E-2</v>
      </c>
      <c r="I216" s="137">
        <f t="shared" ca="1" si="71"/>
        <v>-47854.587591682008</v>
      </c>
      <c r="J216" s="139">
        <f t="shared" ca="1" si="72"/>
        <v>2963095.4739502179</v>
      </c>
      <c r="K216" s="77">
        <f t="shared" ca="1" si="73"/>
        <v>-1.2301508683260628E-2</v>
      </c>
      <c r="L216" s="137">
        <f t="shared" ca="1" si="74"/>
        <v>-36904.526049781889</v>
      </c>
      <c r="M216" s="139">
        <f t="shared" ca="1" si="75"/>
        <v>2953959.1418842012</v>
      </c>
      <c r="N216" s="77">
        <f t="shared" ca="1" si="76"/>
        <v>-1.5346952705266353E-2</v>
      </c>
      <c r="O216" s="137">
        <f t="shared" ca="1" si="77"/>
        <v>-46040.858115799063</v>
      </c>
    </row>
    <row r="217" spans="1:15" ht="16.5" customHeight="1">
      <c r="A217" s="153">
        <v>6</v>
      </c>
      <c r="B217" s="168" t="str">
        <f>HYPERLINK("#'" &amp; TEXT(투자전략!$G$1+5, "[$-ko-KR]yyyy.mm.dd") &amp; "'!A148:O172", TEXT(투자전략!$G$1+5, "[$-ko-KR]yyyy.mm.dd"))</f>
        <v>2022.03.06</v>
      </c>
      <c r="C217" s="135">
        <f t="shared" ca="1" si="65"/>
        <v>3000000</v>
      </c>
      <c r="D217" s="139">
        <f t="shared" ca="1" si="66"/>
        <v>2995866.4400047068</v>
      </c>
      <c r="E217" s="77">
        <f t="shared" ca="1" si="67"/>
        <v>-1.3778533317644291E-3</v>
      </c>
      <c r="F217" s="137">
        <f t="shared" ca="1" si="68"/>
        <v>-4133.559995293288</v>
      </c>
      <c r="G217" s="139">
        <f t="shared" ca="1" si="69"/>
        <v>3000000</v>
      </c>
      <c r="H217" s="77">
        <f t="shared" ca="1" si="70"/>
        <v>0</v>
      </c>
      <c r="I217" s="137">
        <f t="shared" ca="1" si="71"/>
        <v>0</v>
      </c>
      <c r="J217" s="139">
        <f t="shared" ca="1" si="72"/>
        <v>3000000</v>
      </c>
      <c r="K217" s="77">
        <f t="shared" ca="1" si="73"/>
        <v>0</v>
      </c>
      <c r="L217" s="137">
        <f t="shared" ca="1" si="74"/>
        <v>0</v>
      </c>
      <c r="M217" s="139">
        <f t="shared" ca="1" si="75"/>
        <v>3000000</v>
      </c>
      <c r="N217" s="77">
        <f t="shared" ca="1" si="76"/>
        <v>0</v>
      </c>
      <c r="O217" s="137">
        <f t="shared" ca="1" si="77"/>
        <v>0</v>
      </c>
    </row>
    <row r="218" spans="1:15" ht="16.5" customHeight="1" thickBot="1">
      <c r="A218" s="155">
        <v>7</v>
      </c>
      <c r="B218" s="169" t="str">
        <f>HYPERLINK("#'" &amp; TEXT(투자전략!$G$1+6, "[$-ko-KR]yyyy.mm.dd") &amp; "'!A148:O172", TEXT(투자전략!$G$1+6, "[$-ko-KR]yyyy.mm.dd"))</f>
        <v>2022.03.07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67" t="str">
        <f>HYPERLINK("#'" &amp; TEXT(투자전략!$G$1+7, "[$-ko-KR]yyyy.mm.dd") &amp; "'!A148:O172", TEXT(투자전략!$G$1+7, "[$-ko-KR]yyyy.mm.dd"))</f>
        <v>2022.03.08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68" t="str">
        <f>HYPERLINK("#'" &amp; TEXT(투자전략!$G$1+8, "[$-ko-KR]yyyy.mm.dd") &amp; "'!A148:O172", TEXT(투자전략!$G$1+8, "[$-ko-KR]yyyy.mm.dd"))</f>
        <v>2022.03.09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68" t="str">
        <f>HYPERLINK("#'" &amp; TEXT(투자전략!$G$1+9, "[$-ko-KR]yyyy.mm.dd") &amp; "'!A148:O172", TEXT(투자전략!$G$1+9, "[$-ko-KR]yyyy.mm.dd"))</f>
        <v>2022.03.10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68" t="str">
        <f>HYPERLINK("#'" &amp; TEXT(투자전략!$G$1+10, "[$-ko-KR]yyyy.mm.dd") &amp; "'!A148:O172", TEXT(투자전략!$G$1+10, "[$-ko-KR]yyyy.mm.dd"))</f>
        <v>2022.03.11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68" t="str">
        <f>HYPERLINK("#'" &amp; TEXT(투자전략!$G$1+11, "[$-ko-KR]yyyy.mm.dd") &amp; "'!A148:O172", TEXT(투자전략!$G$1+11, "[$-ko-KR]yyyy.mm.dd"))</f>
        <v>2022.03.12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68" t="str">
        <f>HYPERLINK("#'" &amp; TEXT(투자전략!$G$1+12, "[$-ko-KR]yyyy.mm.dd") &amp; "'!A148:O172", TEXT(투자전략!$G$1+12, "[$-ko-KR]yyyy.mm.dd"))</f>
        <v>2022.03.13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69" t="str">
        <f>HYPERLINK("#'" &amp; TEXT(투자전략!$G$1+13, "[$-ko-KR]yyyy.mm.dd") &amp; "'!A148:O172", TEXT(투자전략!$G$1+13, "[$-ko-KR]yyyy.mm.dd"))</f>
        <v>2022.03.14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67" t="str">
        <f>HYPERLINK("#'" &amp; TEXT(투자전략!$G$1+14, "[$-ko-KR]yyyy.mm.dd") &amp; "'!A148:O172", TEXT(투자전략!$G$1+14, "[$-ko-KR]yyyy.mm.dd"))</f>
        <v>2022.03.15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68" t="str">
        <f>HYPERLINK("#'" &amp; TEXT(투자전략!$G$1+15, "[$-ko-KR]yyyy.mm.dd") &amp; "'!A148:O172", TEXT(투자전략!$G$1+15, "[$-ko-KR]yyyy.mm.dd"))</f>
        <v>2022.03.16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68" t="str">
        <f>HYPERLINK("#'" &amp; TEXT(투자전략!$G$1+16, "[$-ko-KR]yyyy.mm.dd") &amp; "'!A148:O172", TEXT(투자전략!$G$1+16, "[$-ko-KR]yyyy.mm.dd"))</f>
        <v>2022.03.17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68" t="str">
        <f>HYPERLINK("#'" &amp; TEXT(투자전략!$G$1+17, "[$-ko-KR]yyyy.mm.dd") &amp; "'!A148:O172", TEXT(투자전략!$G$1+17, "[$-ko-KR]yyyy.mm.dd"))</f>
        <v>2022.03.18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68" t="str">
        <f>HYPERLINK("#'" &amp; TEXT(투자전략!$G$1+18, "[$-ko-KR]yyyy.mm.dd") &amp; "'!A148:O172", TEXT(투자전략!$G$1+18, "[$-ko-KR]yyyy.mm.dd"))</f>
        <v>2022.03.19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68" t="str">
        <f>HYPERLINK("#'" &amp; TEXT(투자전략!$G$1+19, "[$-ko-KR]yyyy.mm.dd") &amp; "'!A148:O172", TEXT(투자전략!$G$1+19, "[$-ko-KR]yyyy.mm.dd"))</f>
        <v>2022.03.20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69" t="str">
        <f>HYPERLINK("#'" &amp; TEXT(투자전략!$G$1+20, "[$-ko-KR]yyyy.mm.dd") &amp; "'!A148:O172", TEXT(투자전략!$G$1+20, "[$-ko-KR]yyyy.mm.dd"))</f>
        <v>2022.03.21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67" t="str">
        <f>HYPERLINK("#'" &amp; TEXT(투자전략!$G$1+21, "[$-ko-KR]yyyy.mm.dd") &amp; "'!A148:O172", TEXT(투자전략!$G$1+21, "[$-ko-KR]yyyy.mm.dd"))</f>
        <v>2022.03.22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68" t="str">
        <f>HYPERLINK("#'" &amp; TEXT(투자전략!$G$1+22, "[$-ko-KR]yyyy.mm.dd") &amp; "'!A148:O172", TEXT(투자전략!$G$1+22, "[$-ko-KR]yyyy.mm.dd"))</f>
        <v>2022.03.23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68" t="str">
        <f>HYPERLINK("#'" &amp; TEXT(투자전략!$G$1+23, "[$-ko-KR]yyyy.mm.dd") &amp; "'!A148:O172", TEXT(투자전략!$G$1+23, "[$-ko-KR]yyyy.mm.dd"))</f>
        <v>2022.03.24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68" t="str">
        <f>HYPERLINK("#'" &amp; TEXT(투자전략!$G$1+24, "[$-ko-KR]yyyy.mm.dd") &amp; "'!A148:O172", TEXT(투자전략!$G$1+24, "[$-ko-KR]yyyy.mm.dd"))</f>
        <v>2022.03.25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68" t="str">
        <f>HYPERLINK("#'" &amp; TEXT(투자전략!$G$1+25, "[$-ko-KR]yyyy.mm.dd") &amp; "'!A148:O172", TEXT(투자전략!$G$1+25, "[$-ko-KR]yyyy.mm.dd"))</f>
        <v>2022.03.26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68" t="str">
        <f>HYPERLINK("#'" &amp; TEXT(투자전략!$G$1+26, "[$-ko-KR]yyyy.mm.dd") &amp; "'!A148:O172", TEXT(투자전략!$G$1+26, "[$-ko-KR]yyyy.mm.dd"))</f>
        <v>2022.03.27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69" t="str">
        <f>HYPERLINK("#'" &amp; TEXT(투자전략!$G$1+27, "[$-ko-KR]yyyy.mm.dd") &amp; "'!A148:O172", TEXT(투자전략!$G$1+27, "[$-ko-KR]yyyy.mm.dd"))</f>
        <v>2022.03.28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67" t="str">
        <f>HYPERLINK("#'" &amp; TEXT(투자전략!$G$1+28, "[$-ko-KR]yyyy.mm.dd") &amp; "'!A148:O172", TEXT(투자전략!$G$1+28, "[$-ko-KR]yyyy.mm.dd"))</f>
        <v>2022.03.29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68" t="str">
        <f>HYPERLINK("#'" &amp; TEXT(투자전략!$G$1+29, "[$-ko-KR]yyyy.mm.dd") &amp; "'!A148:O172", TEXT(투자전략!$G$1+29, "[$-ko-KR]yyyy.mm.dd"))</f>
        <v>2022.03.30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68" t="str">
        <f>HYPERLINK("#'" &amp; TEXT(투자전략!$G$1+30, "[$-ko-KR]yyyy.mm.dd") &amp; "'!A148:O172", TEXT(투자전략!$G$1+30, "[$-ko-KR]yyyy.mm.dd"))</f>
        <v>2022.03.31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79" t="s">
        <v>278</v>
      </c>
      <c r="B243" s="181"/>
      <c r="C243" s="132" t="s">
        <v>273</v>
      </c>
      <c r="D243" s="150" t="s">
        <v>274</v>
      </c>
      <c r="E243" s="151" t="s">
        <v>275</v>
      </c>
      <c r="F243" s="152" t="s">
        <v>276</v>
      </c>
      <c r="G243" s="150" t="s">
        <v>274</v>
      </c>
      <c r="H243" s="151" t="s">
        <v>275</v>
      </c>
      <c r="I243" s="152" t="s">
        <v>276</v>
      </c>
      <c r="J243" s="150" t="s">
        <v>274</v>
      </c>
      <c r="K243" s="151" t="s">
        <v>275</v>
      </c>
      <c r="L243" s="152" t="s">
        <v>276</v>
      </c>
      <c r="M243" s="150" t="s">
        <v>274</v>
      </c>
      <c r="N243" s="151" t="s">
        <v>275</v>
      </c>
      <c r="O243" s="152" t="s">
        <v>276</v>
      </c>
    </row>
    <row r="244" spans="1:15" ht="16.5" customHeight="1" thickBot="1">
      <c r="A244" s="185"/>
      <c r="B244" s="187"/>
      <c r="C244" s="136">
        <f ca="1">SUM(C212:C242)</f>
        <v>18000000</v>
      </c>
      <c r="D244" s="140">
        <f ca="1">SUM(D212:D242)</f>
        <v>17879012.918510482</v>
      </c>
      <c r="E244" s="79">
        <f ca="1">IFERROR(F244 / (SUM($C212:$C242) / COUNT($C212:$C242)), 0)</f>
        <v>-4.0329027163172687E-2</v>
      </c>
      <c r="F244" s="138">
        <f ca="1">SUM(F212:F242)</f>
        <v>-120987.08148951805</v>
      </c>
      <c r="G244" s="140">
        <f ca="1">SUM(G212:G242)</f>
        <v>18006114.310323596</v>
      </c>
      <c r="H244" s="79">
        <f ca="1">IFERROR(I244 / (SUM($C212:$C242) / COUNT($C212:$C242)), 0)</f>
        <v>2.03810344119864E-3</v>
      </c>
      <c r="I244" s="138">
        <f ca="1">SUM(I212:I242)</f>
        <v>6114.3103235959206</v>
      </c>
      <c r="J244" s="140">
        <f ca="1">SUM(J212:J242)</f>
        <v>18100667.042338654</v>
      </c>
      <c r="K244" s="79">
        <f ca="1">IFERROR(L244 / (SUM($C212:$C242) / COUNT($C212:$C242)), 0)</f>
        <v>3.3555680779551081E-2</v>
      </c>
      <c r="L244" s="138">
        <f ca="1">SUM(L212:L242)</f>
        <v>100667.04233865323</v>
      </c>
      <c r="M244" s="140">
        <f ca="1">SUM(M212:M242)</f>
        <v>17940527.90161214</v>
      </c>
      <c r="N244" s="79">
        <f ca="1">IFERROR(O244 / (SUM($C212:$C242) / COUNT($C212:$C242)), 0)</f>
        <v>-1.9824032795952944E-2</v>
      </c>
      <c r="O244" s="138">
        <f ca="1">SUM(O212:O242)</f>
        <v>-59472.098387858838</v>
      </c>
    </row>
    <row r="246" spans="1:15" ht="16.5" customHeight="1" thickBot="1"/>
    <row r="247" spans="1:15" ht="16.5" customHeight="1" thickBot="1">
      <c r="A247" s="170" t="str">
        <f>TEXT(투자전략!$G$1, "[$-ko-KR]yyyy년 mm월 ") &amp; "전일대비 상승률 Bottom20 월말결산"</f>
        <v>2022년 03월 전일대비 상승률 Bottom20 월말결산</v>
      </c>
      <c r="B247" s="171"/>
      <c r="C247" s="171"/>
      <c r="D247" s="171"/>
      <c r="E247" s="171"/>
      <c r="F247" s="171"/>
      <c r="G247" s="171"/>
      <c r="H247" s="171"/>
      <c r="I247" s="171"/>
      <c r="J247" s="171"/>
      <c r="K247" s="171"/>
      <c r="L247" s="171"/>
      <c r="M247" s="171"/>
      <c r="N247" s="171"/>
      <c r="O247" s="172"/>
    </row>
    <row r="248" spans="1:15" ht="16.5" customHeight="1" thickBot="1">
      <c r="A248" s="231" t="s">
        <v>279</v>
      </c>
      <c r="B248" s="185" t="s">
        <v>277</v>
      </c>
      <c r="C248" s="187"/>
      <c r="D248" s="185" t="s">
        <v>269</v>
      </c>
      <c r="E248" s="186"/>
      <c r="F248" s="187"/>
      <c r="G248" s="185" t="s">
        <v>270</v>
      </c>
      <c r="H248" s="186"/>
      <c r="I248" s="187"/>
      <c r="J248" s="185" t="s">
        <v>271</v>
      </c>
      <c r="K248" s="186"/>
      <c r="L248" s="187"/>
      <c r="M248" s="185" t="s">
        <v>272</v>
      </c>
      <c r="N248" s="186"/>
      <c r="O248" s="187"/>
    </row>
    <row r="249" spans="1:15" ht="16.5" customHeight="1" thickBot="1">
      <c r="A249" s="235"/>
      <c r="B249" s="154" t="s">
        <v>267</v>
      </c>
      <c r="C249" s="154" t="s">
        <v>42</v>
      </c>
      <c r="D249" s="121" t="s">
        <v>268</v>
      </c>
      <c r="E249" s="133" t="s">
        <v>40</v>
      </c>
      <c r="F249" s="156" t="s">
        <v>41</v>
      </c>
      <c r="G249" s="121" t="s">
        <v>268</v>
      </c>
      <c r="H249" s="133" t="s">
        <v>40</v>
      </c>
      <c r="I249" s="156" t="s">
        <v>41</v>
      </c>
      <c r="J249" s="121" t="s">
        <v>268</v>
      </c>
      <c r="K249" s="133" t="s">
        <v>40</v>
      </c>
      <c r="L249" s="156" t="s">
        <v>41</v>
      </c>
      <c r="M249" s="121" t="s">
        <v>268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67" t="str">
        <f>HYPERLINK("#'" &amp; TEXT(투자전략!$G$1+0, "[$-ko-KR]yyyy.mm.dd") &amp; "'!A175:O199", TEXT(투자전략!$G$1+0, "[$-ko-KR]yyyy.mm.dd"))</f>
        <v>2022.03.01</v>
      </c>
      <c r="C250" s="134">
        <f ca="1">IFERROR(COUNTA(INDIRECT($B250&amp;"!A179:A198")) * INDIRECT($B250&amp;"!B199"), "")</f>
        <v>3000000</v>
      </c>
      <c r="D250" s="142">
        <f ca="1">IFERROR($C250 * (1 + E250), "")</f>
        <v>3146246.4534031213</v>
      </c>
      <c r="E250" s="76">
        <f ca="1">IFERROR(INDIRECT($B250&amp;"!E199"), "")</f>
        <v>4.8748817801040442E-2</v>
      </c>
      <c r="F250" s="141">
        <f ca="1">IFERROR(INDIRECT($B250&amp;"!F199"), "")</f>
        <v>146246.45340312133</v>
      </c>
      <c r="G250" s="142">
        <f ca="1">IFERROR($C250 * (1 + H250), "")</f>
        <v>3128426.312159352</v>
      </c>
      <c r="H250" s="76">
        <f ca="1">IFERROR(INDIRECT($B250&amp;"!H199"), "")</f>
        <v>4.2808770719783944E-2</v>
      </c>
      <c r="I250" s="141">
        <f ca="1">IFERROR(INDIRECT($B250&amp;"!I199"), "")</f>
        <v>128426.31215935184</v>
      </c>
      <c r="J250" s="142">
        <f ca="1">IFERROR($C250 * (1 + K250), "")</f>
        <v>3163447.2534927409</v>
      </c>
      <c r="K250" s="76">
        <f ca="1">IFERROR(INDIRECT($B250&amp;"!K199"), "")</f>
        <v>5.4482417830913676E-2</v>
      </c>
      <c r="L250" s="141">
        <f ca="1">IFERROR(INDIRECT($B250&amp;"!L199"), "")</f>
        <v>163447.253492741</v>
      </c>
      <c r="M250" s="142">
        <f ca="1">IFERROR($C250 * (1 + N250), "")</f>
        <v>3100063.554835686</v>
      </c>
      <c r="N250" s="76">
        <f ca="1">IFERROR(INDIRECT($B250&amp;"!N199"), "")</f>
        <v>3.3354518278562013E-2</v>
      </c>
      <c r="O250" s="141">
        <f ca="1">IFERROR(INDIRECT($B250&amp;"!O199"), "")</f>
        <v>100063.55483568602</v>
      </c>
    </row>
    <row r="251" spans="1:15" ht="16.5" customHeight="1">
      <c r="A251" s="153">
        <v>2</v>
      </c>
      <c r="B251" s="168" t="str">
        <f>HYPERLINK("#'" &amp; TEXT(투자전략!$G$1+1, "[$-ko-KR]yyyy.mm.dd") &amp; "'!A175:O199", TEXT(투자전략!$G$1+1, "[$-ko-KR]yyyy.mm.dd"))</f>
        <v>2022.03.02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2937826.6855415972</v>
      </c>
      <c r="E251" s="77">
        <f t="shared" ref="E251:E280" ca="1" si="80">IFERROR(INDIRECT($B251&amp;"!E199"), "")</f>
        <v>-2.0724438152800857E-2</v>
      </c>
      <c r="F251" s="137">
        <f t="shared" ref="F251:F280" ca="1" si="81">IFERROR(INDIRECT($B251&amp;"!F199"), "")</f>
        <v>-62173.314458402558</v>
      </c>
      <c r="G251" s="139">
        <f t="shared" ref="G251:G280" ca="1" si="82">IFERROR($C251 * (1 + H251), "")</f>
        <v>2953255.3493549773</v>
      </c>
      <c r="H251" s="77">
        <f t="shared" ref="H251:H280" ca="1" si="83">IFERROR(INDIRECT($B251&amp;"!H199"), "")</f>
        <v>-1.5581550215007544E-2</v>
      </c>
      <c r="I251" s="137">
        <f t="shared" ref="I251:I280" ca="1" si="84">IFERROR(INDIRECT($B251&amp;"!I199"), "")</f>
        <v>-46744.650645022637</v>
      </c>
      <c r="J251" s="139">
        <f t="shared" ref="J251:J280" ca="1" si="85">IFERROR($C251 * (1 + K251), "")</f>
        <v>2968476.5574673633</v>
      </c>
      <c r="K251" s="77">
        <f t="shared" ref="K251:K280" ca="1" si="86">IFERROR(INDIRECT($B251&amp;"!K199"), "")</f>
        <v>-1.0507814177545542E-2</v>
      </c>
      <c r="L251" s="137">
        <f t="shared" ref="L251:L280" ca="1" si="87">IFERROR(INDIRECT($B251&amp;"!L199"), "")</f>
        <v>-31523.442532636614</v>
      </c>
      <c r="M251" s="139">
        <f t="shared" ref="M251:M280" ca="1" si="88">IFERROR($C251 * (1 + N251), "")</f>
        <v>2978452.1891442807</v>
      </c>
      <c r="N251" s="77">
        <f t="shared" ref="N251:N280" ca="1" si="89">IFERROR(INDIRECT($B251&amp;"!N199"), "")</f>
        <v>-7.1826036185729959E-3</v>
      </c>
      <c r="O251" s="137">
        <f t="shared" ref="O251:O280" ca="1" si="90">IFERROR(INDIRECT($B251&amp;"!O199"), "")</f>
        <v>-21547.810855718988</v>
      </c>
    </row>
    <row r="252" spans="1:15" ht="16.5" customHeight="1">
      <c r="A252" s="153">
        <v>3</v>
      </c>
      <c r="B252" s="168" t="str">
        <f>HYPERLINK("#'" &amp; TEXT(투자전략!$G$1+2, "[$-ko-KR]yyyy.mm.dd") &amp; "'!A175:O199", TEXT(투자전략!$G$1+2, "[$-ko-KR]yyyy.mm.dd"))</f>
        <v>2022.03.03</v>
      </c>
      <c r="C252" s="135">
        <f t="shared" ca="1" si="78"/>
        <v>3000000</v>
      </c>
      <c r="D252" s="139">
        <f t="shared" ca="1" si="79"/>
        <v>2970798.9336952548</v>
      </c>
      <c r="E252" s="77">
        <f t="shared" ca="1" si="80"/>
        <v>-9.7336887682484066E-3</v>
      </c>
      <c r="F252" s="137">
        <f t="shared" ca="1" si="81"/>
        <v>-29201.066304745207</v>
      </c>
      <c r="G252" s="139">
        <f t="shared" ca="1" si="82"/>
        <v>2984097.7130129943</v>
      </c>
      <c r="H252" s="77">
        <f t="shared" ca="1" si="83"/>
        <v>-5.3007623290018454E-3</v>
      </c>
      <c r="I252" s="137">
        <f t="shared" ca="1" si="84"/>
        <v>-15902.286987005533</v>
      </c>
      <c r="J252" s="139">
        <f t="shared" ca="1" si="85"/>
        <v>2990118.0839783926</v>
      </c>
      <c r="K252" s="77">
        <f t="shared" ca="1" si="86"/>
        <v>-3.2939720072023317E-3</v>
      </c>
      <c r="L252" s="137">
        <f t="shared" ca="1" si="87"/>
        <v>-9881.9160216069886</v>
      </c>
      <c r="M252" s="139">
        <f t="shared" ca="1" si="88"/>
        <v>2974293.4408851792</v>
      </c>
      <c r="N252" s="77">
        <f t="shared" ca="1" si="89"/>
        <v>-8.5688530382735419E-3</v>
      </c>
      <c r="O252" s="137">
        <f t="shared" ca="1" si="90"/>
        <v>-25706.559114820619</v>
      </c>
    </row>
    <row r="253" spans="1:15" ht="16.5" customHeight="1">
      <c r="A253" s="153">
        <v>4</v>
      </c>
      <c r="B253" s="168" t="str">
        <f>HYPERLINK("#'" &amp; TEXT(투자전략!$G$1+3, "[$-ko-KR]yyyy.mm.dd") &amp; "'!A175:O199", TEXT(투자전략!$G$1+3, "[$-ko-KR]yyyy.mm.dd"))</f>
        <v>2022.03.04</v>
      </c>
      <c r="C253" s="135">
        <f t="shared" ca="1" si="78"/>
        <v>3000000</v>
      </c>
      <c r="D253" s="139">
        <f t="shared" ca="1" si="79"/>
        <v>2892546.2000194639</v>
      </c>
      <c r="E253" s="77">
        <f t="shared" ca="1" si="80"/>
        <v>-3.5817933326845366E-2</v>
      </c>
      <c r="F253" s="137">
        <f t="shared" ca="1" si="81"/>
        <v>-107453.79998053606</v>
      </c>
      <c r="G253" s="139">
        <f t="shared" ca="1" si="82"/>
        <v>2927955.6348141329</v>
      </c>
      <c r="H253" s="77">
        <f t="shared" ca="1" si="83"/>
        <v>-2.4014788395289026E-2</v>
      </c>
      <c r="I253" s="137">
        <f t="shared" ca="1" si="84"/>
        <v>-72044.365185867078</v>
      </c>
      <c r="J253" s="139">
        <f t="shared" ca="1" si="85"/>
        <v>2975309.0846769186</v>
      </c>
      <c r="K253" s="77">
        <f t="shared" ca="1" si="86"/>
        <v>-8.2303051076938992E-3</v>
      </c>
      <c r="L253" s="137">
        <f t="shared" ca="1" si="87"/>
        <v>-24690.915323081703</v>
      </c>
      <c r="M253" s="139">
        <f t="shared" ca="1" si="88"/>
        <v>2915438.4774398585</v>
      </c>
      <c r="N253" s="77">
        <f t="shared" ca="1" si="89"/>
        <v>-2.8187174186713931E-2</v>
      </c>
      <c r="O253" s="137">
        <f t="shared" ca="1" si="90"/>
        <v>-84561.522560141777</v>
      </c>
    </row>
    <row r="254" spans="1:15" ht="16.5" customHeight="1">
      <c r="A254" s="153">
        <v>5</v>
      </c>
      <c r="B254" s="168" t="str">
        <f>HYPERLINK("#'" &amp; TEXT(투자전략!$G$1+4, "[$-ko-KR]yyyy.mm.dd") &amp; "'!A175:O199", TEXT(투자전략!$G$1+4, "[$-ko-KR]yyyy.mm.dd"))</f>
        <v>2022.03.05</v>
      </c>
      <c r="C254" s="135">
        <f t="shared" ca="1" si="78"/>
        <v>3000000</v>
      </c>
      <c r="D254" s="139">
        <f t="shared" ca="1" si="79"/>
        <v>2900705.422261918</v>
      </c>
      <c r="E254" s="77">
        <f t="shared" ca="1" si="80"/>
        <v>-3.309819257936069E-2</v>
      </c>
      <c r="F254" s="137">
        <f t="shared" ca="1" si="81"/>
        <v>-99294.577738082095</v>
      </c>
      <c r="G254" s="139">
        <f t="shared" ca="1" si="82"/>
        <v>2925769.6316299452</v>
      </c>
      <c r="H254" s="77">
        <f t="shared" ca="1" si="83"/>
        <v>-2.47434561233516E-2</v>
      </c>
      <c r="I254" s="137">
        <f t="shared" ca="1" si="84"/>
        <v>-74230.368370054799</v>
      </c>
      <c r="J254" s="139">
        <f t="shared" ca="1" si="85"/>
        <v>2944650.1107135769</v>
      </c>
      <c r="K254" s="77">
        <f t="shared" ca="1" si="86"/>
        <v>-1.8449963095474437E-2</v>
      </c>
      <c r="L254" s="137">
        <f t="shared" ca="1" si="87"/>
        <v>-55349.889286423306</v>
      </c>
      <c r="M254" s="139">
        <f t="shared" ca="1" si="88"/>
        <v>2931252.4341692016</v>
      </c>
      <c r="N254" s="77">
        <f t="shared" ca="1" si="89"/>
        <v>-2.2915855276932837E-2</v>
      </c>
      <c r="O254" s="137">
        <f t="shared" ca="1" si="90"/>
        <v>-68747.565830798514</v>
      </c>
    </row>
    <row r="255" spans="1:15" ht="16.5" customHeight="1">
      <c r="A255" s="153">
        <v>6</v>
      </c>
      <c r="B255" s="168" t="str">
        <f>HYPERLINK("#'" &amp; TEXT(투자전략!$G$1+5, "[$-ko-KR]yyyy.mm.dd") &amp; "'!A175:O199", TEXT(투자전략!$G$1+5, "[$-ko-KR]yyyy.mm.dd"))</f>
        <v>2022.03.06</v>
      </c>
      <c r="C255" s="135">
        <f t="shared" ca="1" si="78"/>
        <v>3000000</v>
      </c>
      <c r="D255" s="139">
        <f t="shared" ca="1" si="79"/>
        <v>3008728.8514188752</v>
      </c>
      <c r="E255" s="77">
        <f t="shared" ca="1" si="80"/>
        <v>2.9096171396250847E-3</v>
      </c>
      <c r="F255" s="137">
        <f t="shared" ca="1" si="81"/>
        <v>8728.8514188752561</v>
      </c>
      <c r="G255" s="139">
        <f t="shared" ca="1" si="82"/>
        <v>3000000</v>
      </c>
      <c r="H255" s="77">
        <f t="shared" ca="1" si="83"/>
        <v>0</v>
      </c>
      <c r="I255" s="137">
        <f t="shared" ca="1" si="84"/>
        <v>0</v>
      </c>
      <c r="J255" s="139">
        <f t="shared" ca="1" si="85"/>
        <v>3000000</v>
      </c>
      <c r="K255" s="77">
        <f t="shared" ca="1" si="86"/>
        <v>0</v>
      </c>
      <c r="L255" s="137">
        <f t="shared" ca="1" si="87"/>
        <v>0</v>
      </c>
      <c r="M255" s="139">
        <f t="shared" ca="1" si="88"/>
        <v>3000000</v>
      </c>
      <c r="N255" s="77">
        <f t="shared" ca="1" si="89"/>
        <v>0</v>
      </c>
      <c r="O255" s="137">
        <f t="shared" ca="1" si="90"/>
        <v>0</v>
      </c>
    </row>
    <row r="256" spans="1:15" ht="16.5" customHeight="1" thickBot="1">
      <c r="A256" s="155">
        <v>7</v>
      </c>
      <c r="B256" s="169" t="str">
        <f>HYPERLINK("#'" &amp; TEXT(투자전략!$G$1+6, "[$-ko-KR]yyyy.mm.dd") &amp; "'!A175:O199", TEXT(투자전략!$G$1+6, "[$-ko-KR]yyyy.mm.dd"))</f>
        <v>2022.03.07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67" t="str">
        <f>HYPERLINK("#'" &amp; TEXT(투자전략!$G$1+7, "[$-ko-KR]yyyy.mm.dd") &amp; "'!A175:O199", TEXT(투자전략!$G$1+7, "[$-ko-KR]yyyy.mm.dd"))</f>
        <v>2022.03.08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68" t="str">
        <f>HYPERLINK("#'" &amp; TEXT(투자전략!$G$1+8, "[$-ko-KR]yyyy.mm.dd") &amp; "'!A175:O199", TEXT(투자전략!$G$1+8, "[$-ko-KR]yyyy.mm.dd"))</f>
        <v>2022.03.09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68" t="str">
        <f>HYPERLINK("#'" &amp; TEXT(투자전략!$G$1+9, "[$-ko-KR]yyyy.mm.dd") &amp; "'!A175:O199", TEXT(투자전략!$G$1+9, "[$-ko-KR]yyyy.mm.dd"))</f>
        <v>2022.03.10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68" t="str">
        <f>HYPERLINK("#'" &amp; TEXT(투자전략!$G$1+10, "[$-ko-KR]yyyy.mm.dd") &amp; "'!A175:O199", TEXT(투자전략!$G$1+10, "[$-ko-KR]yyyy.mm.dd"))</f>
        <v>2022.03.11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68" t="str">
        <f>HYPERLINK("#'" &amp; TEXT(투자전략!$G$1+11, "[$-ko-KR]yyyy.mm.dd") &amp; "'!A175:O199", TEXT(투자전략!$G$1+11, "[$-ko-KR]yyyy.mm.dd"))</f>
        <v>2022.03.12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68" t="str">
        <f>HYPERLINK("#'" &amp; TEXT(투자전략!$G$1+12, "[$-ko-KR]yyyy.mm.dd") &amp; "'!A175:O199", TEXT(투자전략!$G$1+12, "[$-ko-KR]yyyy.mm.dd"))</f>
        <v>2022.03.13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69" t="str">
        <f>HYPERLINK("#'" &amp; TEXT(투자전략!$G$1+13, "[$-ko-KR]yyyy.mm.dd") &amp; "'!A175:O199", TEXT(투자전략!$G$1+13, "[$-ko-KR]yyyy.mm.dd"))</f>
        <v>2022.03.14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67" t="str">
        <f>HYPERLINK("#'" &amp; TEXT(투자전략!$G$1+14, "[$-ko-KR]yyyy.mm.dd") &amp; "'!A175:O199", TEXT(투자전략!$G$1+14, "[$-ko-KR]yyyy.mm.dd"))</f>
        <v>2022.03.15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68" t="str">
        <f>HYPERLINK("#'" &amp; TEXT(투자전략!$G$1+15, "[$-ko-KR]yyyy.mm.dd") &amp; "'!A175:O199", TEXT(투자전략!$G$1+15, "[$-ko-KR]yyyy.mm.dd"))</f>
        <v>2022.03.16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68" t="str">
        <f>HYPERLINK("#'" &amp; TEXT(투자전략!$G$1+16, "[$-ko-KR]yyyy.mm.dd") &amp; "'!A175:O199", TEXT(투자전략!$G$1+16, "[$-ko-KR]yyyy.mm.dd"))</f>
        <v>2022.03.17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68" t="str">
        <f>HYPERLINK("#'" &amp; TEXT(투자전략!$G$1+17, "[$-ko-KR]yyyy.mm.dd") &amp; "'!A175:O199", TEXT(투자전략!$G$1+17, "[$-ko-KR]yyyy.mm.dd"))</f>
        <v>2022.03.18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68" t="str">
        <f>HYPERLINK("#'" &amp; TEXT(투자전략!$G$1+18, "[$-ko-KR]yyyy.mm.dd") &amp; "'!A175:O199", TEXT(투자전략!$G$1+18, "[$-ko-KR]yyyy.mm.dd"))</f>
        <v>2022.03.19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68" t="str">
        <f>HYPERLINK("#'" &amp; TEXT(투자전략!$G$1+19, "[$-ko-KR]yyyy.mm.dd") &amp; "'!A175:O199", TEXT(투자전략!$G$1+19, "[$-ko-KR]yyyy.mm.dd"))</f>
        <v>2022.03.20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69" t="str">
        <f>HYPERLINK("#'" &amp; TEXT(투자전략!$G$1+20, "[$-ko-KR]yyyy.mm.dd") &amp; "'!A175:O199", TEXT(투자전략!$G$1+20, "[$-ko-KR]yyyy.mm.dd"))</f>
        <v>2022.03.21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67" t="str">
        <f>HYPERLINK("#'" &amp; TEXT(투자전략!$G$1+21, "[$-ko-KR]yyyy.mm.dd") &amp; "'!A175:O199", TEXT(투자전략!$G$1+21, "[$-ko-KR]yyyy.mm.dd"))</f>
        <v>2022.03.22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68" t="str">
        <f>HYPERLINK("#'" &amp; TEXT(투자전략!$G$1+22, "[$-ko-KR]yyyy.mm.dd") &amp; "'!A175:O199", TEXT(투자전략!$G$1+22, "[$-ko-KR]yyyy.mm.dd"))</f>
        <v>2022.03.23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68" t="str">
        <f>HYPERLINK("#'" &amp; TEXT(투자전략!$G$1+23, "[$-ko-KR]yyyy.mm.dd") &amp; "'!A175:O199", TEXT(투자전략!$G$1+23, "[$-ko-KR]yyyy.mm.dd"))</f>
        <v>2022.03.24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68" t="str">
        <f>HYPERLINK("#'" &amp; TEXT(투자전략!$G$1+24, "[$-ko-KR]yyyy.mm.dd") &amp; "'!A175:O199", TEXT(투자전략!$G$1+24, "[$-ko-KR]yyyy.mm.dd"))</f>
        <v>2022.03.25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68" t="str">
        <f>HYPERLINK("#'" &amp; TEXT(투자전략!$G$1+25, "[$-ko-KR]yyyy.mm.dd") &amp; "'!A175:O199", TEXT(투자전략!$G$1+25, "[$-ko-KR]yyyy.mm.dd"))</f>
        <v>2022.03.26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68" t="str">
        <f>HYPERLINK("#'" &amp; TEXT(투자전략!$G$1+26, "[$-ko-KR]yyyy.mm.dd") &amp; "'!A175:O199", TEXT(투자전략!$G$1+26, "[$-ko-KR]yyyy.mm.dd"))</f>
        <v>2022.03.27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69" t="str">
        <f>HYPERLINK("#'" &amp; TEXT(투자전략!$G$1+27, "[$-ko-KR]yyyy.mm.dd") &amp; "'!A175:O199", TEXT(투자전략!$G$1+27, "[$-ko-KR]yyyy.mm.dd"))</f>
        <v>2022.03.28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67" t="str">
        <f>HYPERLINK("#'" &amp; TEXT(투자전략!$G$1+28, "[$-ko-KR]yyyy.mm.dd") &amp; "'!A175:O199", TEXT(투자전략!$G$1+28, "[$-ko-KR]yyyy.mm.dd"))</f>
        <v>2022.03.29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68" t="str">
        <f>HYPERLINK("#'" &amp; TEXT(투자전략!$G$1+29, "[$-ko-KR]yyyy.mm.dd") &amp; "'!A175:O199", TEXT(투자전략!$G$1+29, "[$-ko-KR]yyyy.mm.dd"))</f>
        <v>2022.03.30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68" t="str">
        <f>HYPERLINK("#'" &amp; TEXT(투자전략!$G$1+30, "[$-ko-KR]yyyy.mm.dd") &amp; "'!A175:O199", TEXT(투자전략!$G$1+30, "[$-ko-KR]yyyy.mm.dd"))</f>
        <v>2022.03.31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79" t="s">
        <v>278</v>
      </c>
      <c r="B281" s="181"/>
      <c r="C281" s="132" t="s">
        <v>273</v>
      </c>
      <c r="D281" s="150" t="s">
        <v>274</v>
      </c>
      <c r="E281" s="151" t="s">
        <v>275</v>
      </c>
      <c r="F281" s="152" t="s">
        <v>276</v>
      </c>
      <c r="G281" s="150" t="s">
        <v>274</v>
      </c>
      <c r="H281" s="151" t="s">
        <v>275</v>
      </c>
      <c r="I281" s="152" t="s">
        <v>276</v>
      </c>
      <c r="J281" s="150" t="s">
        <v>274</v>
      </c>
      <c r="K281" s="151" t="s">
        <v>275</v>
      </c>
      <c r="L281" s="152" t="s">
        <v>276</v>
      </c>
      <c r="M281" s="150" t="s">
        <v>274</v>
      </c>
      <c r="N281" s="151" t="s">
        <v>275</v>
      </c>
      <c r="O281" s="152" t="s">
        <v>276</v>
      </c>
    </row>
    <row r="282" spans="1:15" ht="16.5" customHeight="1" thickBot="1">
      <c r="A282" s="185"/>
      <c r="B282" s="187"/>
      <c r="C282" s="136">
        <f ca="1">SUM(C250:C280)</f>
        <v>18000000</v>
      </c>
      <c r="D282" s="140">
        <f ca="1">SUM(D250:D280)</f>
        <v>17856852.546340231</v>
      </c>
      <c r="E282" s="79">
        <f ca="1">IFERROR(F282 / (SUM($C250:$C280) / COUNT($C250:$C280)), 0)</f>
        <v>-4.7715817886589781E-2</v>
      </c>
      <c r="F282" s="138">
        <f ca="1">SUM(F250:F280)</f>
        <v>-143147.45365976935</v>
      </c>
      <c r="G282" s="140">
        <f ca="1">SUM(G250:G280)</f>
        <v>17919504.6409714</v>
      </c>
      <c r="H282" s="79">
        <f ca="1">IFERROR(I282 / (SUM($C250:$C280) / COUNT($C250:$C280)), 0)</f>
        <v>-2.6831786342866069E-2</v>
      </c>
      <c r="I282" s="138">
        <f ca="1">SUM(I250:I280)</f>
        <v>-80495.359028598206</v>
      </c>
      <c r="J282" s="140">
        <f ca="1">SUM(J250:J280)</f>
        <v>18042001.090328991</v>
      </c>
      <c r="K282" s="79">
        <f ca="1">IFERROR(L282 / (SUM($C250:$C280) / COUNT($C250:$C280)), 0)</f>
        <v>1.4000363442997467E-2</v>
      </c>
      <c r="L282" s="138">
        <f ca="1">SUM(L250:L280)</f>
        <v>42001.090328992403</v>
      </c>
      <c r="M282" s="140">
        <f ca="1">SUM(M250:M280)</f>
        <v>17899500.096474204</v>
      </c>
      <c r="N282" s="79">
        <f ca="1">IFERROR(O282 / (SUM($C250:$C280) / COUNT($C250:$C280)), 0)</f>
        <v>-3.3499967841931287E-2</v>
      </c>
      <c r="O282" s="138">
        <f ca="1">SUM(O250:O280)</f>
        <v>-100499.90352579387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319" priority="323">
      <formula>$E$54 &gt; 0</formula>
    </cfRule>
    <cfRule type="expression" dxfId="1318" priority="324">
      <formula>$E$54 = 0</formula>
    </cfRule>
    <cfRule type="expression" dxfId="1317" priority="325">
      <formula>$E$54 &lt; 0</formula>
    </cfRule>
  </conditionalFormatting>
  <conditionalFormatting sqref="G20:I21 H54:I54">
    <cfRule type="expression" dxfId="1316" priority="320">
      <formula>$H$54 &gt; 0</formula>
    </cfRule>
    <cfRule type="expression" dxfId="1315" priority="321">
      <formula>$H$54 = 0</formula>
    </cfRule>
    <cfRule type="expression" dxfId="1314" priority="322">
      <formula>$H$54 &lt; 0</formula>
    </cfRule>
  </conditionalFormatting>
  <conditionalFormatting sqref="J20:L21 K54:L54">
    <cfRule type="expression" dxfId="1313" priority="317">
      <formula>$K$54 &gt; 0</formula>
    </cfRule>
    <cfRule type="expression" dxfId="1312" priority="318">
      <formula>$K$54 = 0</formula>
    </cfRule>
    <cfRule type="expression" dxfId="1311" priority="319">
      <formula>$K$54 &lt; 0</formula>
    </cfRule>
  </conditionalFormatting>
  <conditionalFormatting sqref="M20:O21 N54:O54">
    <cfRule type="expression" dxfId="1310" priority="314">
      <formula>$N$54 &gt; 0</formula>
    </cfRule>
    <cfRule type="expression" dxfId="1309" priority="315">
      <formula>$N$54 = 0</formula>
    </cfRule>
    <cfRule type="expression" dxfId="1308" priority="316">
      <formula>$N$54 &lt; 0</formula>
    </cfRule>
  </conditionalFormatting>
  <conditionalFormatting sqref="D22:F52">
    <cfRule type="expression" dxfId="1307" priority="299">
      <formula>AND($E22 &gt; 0, ISNUMBER($E22))</formula>
    </cfRule>
    <cfRule type="expression" dxfId="1306" priority="300">
      <formula>AND($E22 = 0, ISNUMBER($E22))</formula>
    </cfRule>
    <cfRule type="expression" dxfId="1305" priority="301">
      <formula>AND($E22 &lt; 0, ISNUMBER($E22))</formula>
    </cfRule>
  </conditionalFormatting>
  <conditionalFormatting sqref="G22:I52">
    <cfRule type="expression" dxfId="1304" priority="296">
      <formula>AND($H22 &gt; 0, ISNUMBER($H22))</formula>
    </cfRule>
    <cfRule type="expression" dxfId="1303" priority="297">
      <formula>AND($H22 = 0, ISNUMBER($H22))</formula>
    </cfRule>
    <cfRule type="expression" dxfId="1302" priority="298">
      <formula>AND($H22 &lt; 0, ISNUMBER($H22))</formula>
    </cfRule>
  </conditionalFormatting>
  <conditionalFormatting sqref="J22:L52">
    <cfRule type="expression" dxfId="1301" priority="293">
      <formula>AND($K22 &gt; 0, ISNUMBER($K22))</formula>
    </cfRule>
    <cfRule type="expression" dxfId="1300" priority="294">
      <formula>AND($K22 = 0, ISNUMBER($K22))</formula>
    </cfRule>
    <cfRule type="expression" dxfId="1299" priority="295">
      <formula>AND($K22 &lt; 0, ISNUMBER($K22))</formula>
    </cfRule>
  </conditionalFormatting>
  <conditionalFormatting sqref="M22:O52">
    <cfRule type="expression" dxfId="1298" priority="290">
      <formula>AND($N22 &gt; 0, ISNUMBER($N22))</formula>
    </cfRule>
    <cfRule type="expression" dxfId="1297" priority="291">
      <formula>AND($N22 = 0, ISNUMBER($N22))</formula>
    </cfRule>
    <cfRule type="expression" dxfId="1296" priority="292">
      <formula>AND($N22 &lt; 0, ISNUMBER($N22))</formula>
    </cfRule>
  </conditionalFormatting>
  <conditionalFormatting sqref="D58:F59 E92:F92">
    <cfRule type="expression" dxfId="1295" priority="287">
      <formula>$E$92 &gt; 0</formula>
    </cfRule>
    <cfRule type="expression" dxfId="1294" priority="288">
      <formula>$E$92 = 0</formula>
    </cfRule>
    <cfRule type="expression" dxfId="1293" priority="289">
      <formula>$E$92 &lt; 0</formula>
    </cfRule>
  </conditionalFormatting>
  <conditionalFormatting sqref="G58:I59 H92:I92">
    <cfRule type="expression" dxfId="1292" priority="284">
      <formula>$H$92 &gt; 0</formula>
    </cfRule>
    <cfRule type="expression" dxfId="1291" priority="285">
      <formula>$H$92 = 0</formula>
    </cfRule>
    <cfRule type="expression" dxfId="1290" priority="286">
      <formula>$H$92 &lt; 0</formula>
    </cfRule>
  </conditionalFormatting>
  <conditionalFormatting sqref="J58:L59 K92:L92">
    <cfRule type="expression" dxfId="1289" priority="281">
      <formula>$K$92 &gt; 0</formula>
    </cfRule>
    <cfRule type="expression" dxfId="1288" priority="282">
      <formula>$K$92 = 0</formula>
    </cfRule>
    <cfRule type="expression" dxfId="1287" priority="283">
      <formula>$K$92 &lt; 0</formula>
    </cfRule>
  </conditionalFormatting>
  <conditionalFormatting sqref="M58:O59 N92:O92">
    <cfRule type="expression" dxfId="1286" priority="278">
      <formula>$N$92 &gt; 0</formula>
    </cfRule>
    <cfRule type="expression" dxfId="1285" priority="279">
      <formula>$N$92 = 0</formula>
    </cfRule>
    <cfRule type="expression" dxfId="1284" priority="280">
      <formula>$N$92 &lt; 0</formula>
    </cfRule>
  </conditionalFormatting>
  <conditionalFormatting sqref="D60:F90">
    <cfRule type="expression" dxfId="1283" priority="275">
      <formula>AND($E60 &gt; 0, ISNUMBER($E60))</formula>
    </cfRule>
    <cfRule type="expression" dxfId="1282" priority="276">
      <formula>AND($E60 = 0, ISNUMBER($E60))</formula>
    </cfRule>
    <cfRule type="expression" dxfId="1281" priority="277">
      <formula>AND($E60 &lt; 0, ISNUMBER($E60))</formula>
    </cfRule>
  </conditionalFormatting>
  <conditionalFormatting sqref="G60:I90">
    <cfRule type="expression" dxfId="1280" priority="272">
      <formula>AND($H60 &gt; 0, ISNUMBER($H60))</formula>
    </cfRule>
    <cfRule type="expression" dxfId="1279" priority="273">
      <formula>AND($H60 = 0, ISNUMBER($H60))</formula>
    </cfRule>
    <cfRule type="expression" dxfId="1278" priority="274">
      <formula>AND($H60 &lt; 0, ISNUMBER($H60))</formula>
    </cfRule>
  </conditionalFormatting>
  <conditionalFormatting sqref="J60:L90">
    <cfRule type="expression" dxfId="1277" priority="269">
      <formula>AND($K60 &gt; 0, ISNUMBER($K60))</formula>
    </cfRule>
    <cfRule type="expression" dxfId="1276" priority="270">
      <formula>AND($K60 = 0, ISNUMBER($K60))</formula>
    </cfRule>
    <cfRule type="expression" dxfId="1275" priority="271">
      <formula>AND($K60 &lt; 0, ISNUMBER($K60))</formula>
    </cfRule>
  </conditionalFormatting>
  <conditionalFormatting sqref="M60:O90">
    <cfRule type="expression" dxfId="1274" priority="266">
      <formula>AND($N60 &gt; 0, ISNUMBER($N60))</formula>
    </cfRule>
    <cfRule type="expression" dxfId="1273" priority="267">
      <formula>AND($N60 = 0, ISNUMBER($N60))</formula>
    </cfRule>
    <cfRule type="expression" dxfId="1272" priority="268">
      <formula>AND($N60 &lt; 0, ISNUMBER($N60))</formula>
    </cfRule>
  </conditionalFormatting>
  <conditionalFormatting sqref="D96:F97 E130:F130">
    <cfRule type="expression" dxfId="1271" priority="263">
      <formula>$E$130 &gt; 0</formula>
    </cfRule>
    <cfRule type="expression" dxfId="1270" priority="264">
      <formula>$E$130 = 0</formula>
    </cfRule>
    <cfRule type="expression" dxfId="1269" priority="265">
      <formula>$E$130 &lt; 0</formula>
    </cfRule>
  </conditionalFormatting>
  <conditionalFormatting sqref="G96:I97 H130:I130">
    <cfRule type="expression" dxfId="1268" priority="260">
      <formula>$H$130 &gt; 0</formula>
    </cfRule>
    <cfRule type="expression" dxfId="1267" priority="261">
      <formula>$H$130 = 0</formula>
    </cfRule>
    <cfRule type="expression" dxfId="1266" priority="262">
      <formula>$H$130 &lt; 0</formula>
    </cfRule>
  </conditionalFormatting>
  <conditionalFormatting sqref="J96:L97 K130:L130">
    <cfRule type="expression" dxfId="1265" priority="257">
      <formula>$K$130 &gt; 0</formula>
    </cfRule>
    <cfRule type="expression" dxfId="1264" priority="258">
      <formula>$K$130 = 0</formula>
    </cfRule>
    <cfRule type="expression" dxfId="1263" priority="259">
      <formula>$K$130 &lt; 0</formula>
    </cfRule>
  </conditionalFormatting>
  <conditionalFormatting sqref="M96:O97 N130:O130">
    <cfRule type="expression" dxfId="1262" priority="254">
      <formula>$N$130 &gt; 0</formula>
    </cfRule>
    <cfRule type="expression" dxfId="1261" priority="255">
      <formula>$N$130 = 0</formula>
    </cfRule>
    <cfRule type="expression" dxfId="1260" priority="256">
      <formula>$N$130 &lt; 0</formula>
    </cfRule>
  </conditionalFormatting>
  <conditionalFormatting sqref="D98:F128">
    <cfRule type="expression" dxfId="1259" priority="251">
      <formula>AND($E98 &gt; 0, ISNUMBER($E98))</formula>
    </cfRule>
    <cfRule type="expression" dxfId="1258" priority="252">
      <formula>AND($E98 = 0, ISNUMBER($E98))</formula>
    </cfRule>
    <cfRule type="expression" dxfId="1257" priority="253">
      <formula>AND($E98 &lt; 0, ISNUMBER($E98))</formula>
    </cfRule>
  </conditionalFormatting>
  <conditionalFormatting sqref="G98:I128">
    <cfRule type="expression" dxfId="1256" priority="248">
      <formula>AND($H98 &gt; 0, ISNUMBER($H98))</formula>
    </cfRule>
    <cfRule type="expression" dxfId="1255" priority="249">
      <formula>AND($H98 = 0, ISNUMBER($H98))</formula>
    </cfRule>
    <cfRule type="expression" dxfId="1254" priority="250">
      <formula>AND($H98 &lt; 0, ISNUMBER($H98))</formula>
    </cfRule>
  </conditionalFormatting>
  <conditionalFormatting sqref="J98:L128">
    <cfRule type="expression" dxfId="1253" priority="245">
      <formula>AND($K98 &gt; 0, ISNUMBER($K98))</formula>
    </cfRule>
    <cfRule type="expression" dxfId="1252" priority="246">
      <formula>AND($K98 = 0, ISNUMBER($K98))</formula>
    </cfRule>
    <cfRule type="expression" dxfId="1251" priority="247">
      <formula>AND($K98 &lt; 0, ISNUMBER($K98))</formula>
    </cfRule>
  </conditionalFormatting>
  <conditionalFormatting sqref="M98:O128">
    <cfRule type="expression" dxfId="1250" priority="242">
      <formula>AND($N98 &gt; 0, ISNUMBER($N98))</formula>
    </cfRule>
    <cfRule type="expression" dxfId="1249" priority="243">
      <formula>AND($N98 = 0, ISNUMBER($N98))</formula>
    </cfRule>
    <cfRule type="expression" dxfId="1248" priority="244">
      <formula>AND($N98 &lt; 0, ISNUMBER($N98))</formula>
    </cfRule>
  </conditionalFormatting>
  <conditionalFormatting sqref="D134:F135 E168:F168">
    <cfRule type="expression" dxfId="1247" priority="239">
      <formula>$E$168 &gt; 0</formula>
    </cfRule>
    <cfRule type="expression" dxfId="1246" priority="240">
      <formula>$E$168 = 0</formula>
    </cfRule>
    <cfRule type="expression" dxfId="1245" priority="241">
      <formula>$E$168 &lt; 0</formula>
    </cfRule>
  </conditionalFormatting>
  <conditionalFormatting sqref="G134:I135 H168:I168">
    <cfRule type="expression" dxfId="1244" priority="236">
      <formula>$H$168 &gt; 0</formula>
    </cfRule>
    <cfRule type="expression" dxfId="1243" priority="237">
      <formula>$H$168 = 0</formula>
    </cfRule>
    <cfRule type="expression" dxfId="1242" priority="238">
      <formula>$H$168 &lt; 0</formula>
    </cfRule>
  </conditionalFormatting>
  <conditionalFormatting sqref="J134:L135 K168:L168">
    <cfRule type="expression" dxfId="1241" priority="233">
      <formula>$K$168 &gt; 0</formula>
    </cfRule>
    <cfRule type="expression" dxfId="1240" priority="234">
      <formula>$K$168 = 0</formula>
    </cfRule>
    <cfRule type="expression" dxfId="1239" priority="235">
      <formula>$K$168 &lt; 0</formula>
    </cfRule>
  </conditionalFormatting>
  <conditionalFormatting sqref="M134:O135 N168:O168">
    <cfRule type="expression" dxfId="1238" priority="230">
      <formula>$N$168 &gt; 0</formula>
    </cfRule>
    <cfRule type="expression" dxfId="1237" priority="231">
      <formula>$N$168 = 0</formula>
    </cfRule>
    <cfRule type="expression" dxfId="1236" priority="232">
      <formula>$N$168 &lt; 0</formula>
    </cfRule>
  </conditionalFormatting>
  <conditionalFormatting sqref="D136:F166">
    <cfRule type="expression" dxfId="1235" priority="227">
      <formula>AND($E136 &gt; 0, ISNUMBER($E136))</formula>
    </cfRule>
    <cfRule type="expression" dxfId="1234" priority="228">
      <formula>AND($E136 = 0, ISNUMBER($E136))</formula>
    </cfRule>
    <cfRule type="expression" dxfId="1233" priority="229">
      <formula>AND($E136 &lt; 0, ISNUMBER($E136))</formula>
    </cfRule>
  </conditionalFormatting>
  <conditionalFormatting sqref="G136:I166">
    <cfRule type="expression" dxfId="1232" priority="224">
      <formula>AND($H136 &gt; 0, ISNUMBER($H136))</formula>
    </cfRule>
    <cfRule type="expression" dxfId="1231" priority="225">
      <formula>AND($H136 = 0, ISNUMBER($H136))</formula>
    </cfRule>
    <cfRule type="expression" dxfId="1230" priority="226">
      <formula>AND($H136 &lt; 0, ISNUMBER($H136))</formula>
    </cfRule>
  </conditionalFormatting>
  <conditionalFormatting sqref="J136:L166">
    <cfRule type="expression" dxfId="1229" priority="221">
      <formula>AND($K136 &gt; 0, ISNUMBER($K136))</formula>
    </cfRule>
    <cfRule type="expression" dxfId="1228" priority="222">
      <formula>AND($K136 = 0, ISNUMBER($K136))</formula>
    </cfRule>
    <cfRule type="expression" dxfId="1227" priority="223">
      <formula>AND($K136 &lt; 0, ISNUMBER($K136))</formula>
    </cfRule>
  </conditionalFormatting>
  <conditionalFormatting sqref="M136:O166">
    <cfRule type="expression" dxfId="1226" priority="218">
      <formula>AND($N136 &gt; 0, ISNUMBER($N136))</formula>
    </cfRule>
    <cfRule type="expression" dxfId="1225" priority="219">
      <formula>AND($N136 = 0, ISNUMBER($N136))</formula>
    </cfRule>
    <cfRule type="expression" dxfId="1224" priority="220">
      <formula>AND($N136 &lt; 0, ISNUMBER($N136))</formula>
    </cfRule>
  </conditionalFormatting>
  <conditionalFormatting sqref="D172:F173 E206:F206">
    <cfRule type="expression" dxfId="1223" priority="215">
      <formula>$E$206 &gt; 0</formula>
    </cfRule>
    <cfRule type="expression" dxfId="1222" priority="216">
      <formula>$E$206 = 0</formula>
    </cfRule>
    <cfRule type="expression" dxfId="1221" priority="217">
      <formula>$E$206 &lt; 0</formula>
    </cfRule>
  </conditionalFormatting>
  <conditionalFormatting sqref="G172:I173 H206:I206">
    <cfRule type="expression" dxfId="1220" priority="212">
      <formula>$H$206 &gt; 0</formula>
    </cfRule>
    <cfRule type="expression" dxfId="1219" priority="213">
      <formula>$H$206 = 0</formula>
    </cfRule>
    <cfRule type="expression" dxfId="1218" priority="214">
      <formula>$H$206 &lt; 0</formula>
    </cfRule>
  </conditionalFormatting>
  <conditionalFormatting sqref="J172:L173 K206:L206">
    <cfRule type="expression" dxfId="1217" priority="209">
      <formula>$K$206 &gt; 0</formula>
    </cfRule>
    <cfRule type="expression" dxfId="1216" priority="210">
      <formula>$K$206 = 0</formula>
    </cfRule>
    <cfRule type="expression" dxfId="1215" priority="211">
      <formula>$K$206 &lt; 0</formula>
    </cfRule>
  </conditionalFormatting>
  <conditionalFormatting sqref="M172:O173 N206:O206">
    <cfRule type="expression" dxfId="1214" priority="206">
      <formula>$N$206 &gt; 0</formula>
    </cfRule>
    <cfRule type="expression" dxfId="1213" priority="207">
      <formula>$N$206 = 0</formula>
    </cfRule>
    <cfRule type="expression" dxfId="1212" priority="208">
      <formula>$N$206 &lt; 0</formula>
    </cfRule>
  </conditionalFormatting>
  <conditionalFormatting sqref="D174:F204">
    <cfRule type="expression" dxfId="1211" priority="203">
      <formula>AND($E174 &gt; 0, ISNUMBER($E174))</formula>
    </cfRule>
    <cfRule type="expression" dxfId="1210" priority="204">
      <formula>AND($E174 = 0, ISNUMBER($E174))</formula>
    </cfRule>
    <cfRule type="expression" dxfId="1209" priority="205">
      <formula>AND($E174 &lt; 0, ISNUMBER($E174))</formula>
    </cfRule>
  </conditionalFormatting>
  <conditionalFormatting sqref="G174:I204">
    <cfRule type="expression" dxfId="1208" priority="200">
      <formula>AND($H174 &gt; 0, ISNUMBER($H174))</formula>
    </cfRule>
    <cfRule type="expression" dxfId="1207" priority="201">
      <formula>AND($H174 = 0, ISNUMBER($H174))</formula>
    </cfRule>
    <cfRule type="expression" dxfId="1206" priority="202">
      <formula>AND($H174 &lt; 0, ISNUMBER($H174))</formula>
    </cfRule>
  </conditionalFormatting>
  <conditionalFormatting sqref="J174:L204">
    <cfRule type="expression" dxfId="1205" priority="197">
      <formula>AND($K174 &gt; 0, ISNUMBER($K174))</formula>
    </cfRule>
    <cfRule type="expression" dxfId="1204" priority="198">
      <formula>AND($K174 = 0, ISNUMBER($K174))</formula>
    </cfRule>
    <cfRule type="expression" dxfId="1203" priority="199">
      <formula>AND($K174 &lt; 0, ISNUMBER($K174))</formula>
    </cfRule>
  </conditionalFormatting>
  <conditionalFormatting sqref="M174:O204">
    <cfRule type="expression" dxfId="1202" priority="194">
      <formula>AND($N174 &gt; 0, ISNUMBER($N174))</formula>
    </cfRule>
    <cfRule type="expression" dxfId="1201" priority="195">
      <formula>AND($N174 = 0, ISNUMBER($N174))</formula>
    </cfRule>
    <cfRule type="expression" dxfId="1200" priority="196">
      <formula>AND($N174 &lt; 0, ISNUMBER($N174))</formula>
    </cfRule>
  </conditionalFormatting>
  <conditionalFormatting sqref="D210:F211 E244:F244">
    <cfRule type="expression" dxfId="1199" priority="191">
      <formula>$E$244 &gt; 0</formula>
    </cfRule>
    <cfRule type="expression" dxfId="1198" priority="192">
      <formula>$E$244 = 0</formula>
    </cfRule>
    <cfRule type="expression" dxfId="1197" priority="193">
      <formula>$E$244 &lt; 0</formula>
    </cfRule>
  </conditionalFormatting>
  <conditionalFormatting sqref="G210:I211 H244:I244">
    <cfRule type="expression" dxfId="1196" priority="188">
      <formula>$H$244 &gt; 0</formula>
    </cfRule>
    <cfRule type="expression" dxfId="1195" priority="189">
      <formula>$H$244 = 0</formula>
    </cfRule>
    <cfRule type="expression" dxfId="1194" priority="190">
      <formula>$H$244 &lt; 0</formula>
    </cfRule>
  </conditionalFormatting>
  <conditionalFormatting sqref="J210:L211 K244:L244">
    <cfRule type="expression" dxfId="1193" priority="185">
      <formula>$K$244 &gt; 0</formula>
    </cfRule>
    <cfRule type="expression" dxfId="1192" priority="186">
      <formula>$K$244 = 0</formula>
    </cfRule>
    <cfRule type="expression" dxfId="1191" priority="187">
      <formula>$K$244 &lt; 0</formula>
    </cfRule>
  </conditionalFormatting>
  <conditionalFormatting sqref="M210:O211 N244:O244">
    <cfRule type="expression" dxfId="1190" priority="182">
      <formula>$N$244 &gt; 0</formula>
    </cfRule>
    <cfRule type="expression" dxfId="1189" priority="183">
      <formula>$N$244 = 0</formula>
    </cfRule>
    <cfRule type="expression" dxfId="1188" priority="184">
      <formula>$N$244 &lt; 0</formula>
    </cfRule>
  </conditionalFormatting>
  <conditionalFormatting sqref="D212:F242">
    <cfRule type="expression" dxfId="1187" priority="179">
      <formula>AND($E212 &gt; 0, ISNUMBER($E212))</formula>
    </cfRule>
    <cfRule type="expression" dxfId="1186" priority="180">
      <formula>AND($E212 = 0, ISNUMBER($E212))</formula>
    </cfRule>
    <cfRule type="expression" dxfId="1185" priority="181">
      <formula>AND($E212 &lt; 0, ISNUMBER($E212))</formula>
    </cfRule>
  </conditionalFormatting>
  <conditionalFormatting sqref="G212:I242">
    <cfRule type="expression" dxfId="1184" priority="176">
      <formula>AND($H212 &gt; 0, ISNUMBER($H212))</formula>
    </cfRule>
    <cfRule type="expression" dxfId="1183" priority="177">
      <formula>AND($H212 = 0, ISNUMBER($H212))</formula>
    </cfRule>
    <cfRule type="expression" dxfId="1182" priority="178">
      <formula>AND($H212 &lt; 0, ISNUMBER($H212))</formula>
    </cfRule>
  </conditionalFormatting>
  <conditionalFormatting sqref="J212:L242">
    <cfRule type="expression" dxfId="1181" priority="173">
      <formula>AND($K212 &gt; 0, ISNUMBER($K212))</formula>
    </cfRule>
    <cfRule type="expression" dxfId="1180" priority="174">
      <formula>AND($K212 = 0, ISNUMBER($K212))</formula>
    </cfRule>
    <cfRule type="expression" dxfId="1179" priority="175">
      <formula>AND($K212 &lt; 0, ISNUMBER($K212))</formula>
    </cfRule>
  </conditionalFormatting>
  <conditionalFormatting sqref="M212:O242">
    <cfRule type="expression" dxfId="1178" priority="170">
      <formula>AND($N212 &gt; 0, ISNUMBER($N212))</formula>
    </cfRule>
    <cfRule type="expression" dxfId="1177" priority="171">
      <formula>AND($N212 = 0, ISNUMBER($N212))</formula>
    </cfRule>
    <cfRule type="expression" dxfId="1176" priority="172">
      <formula>AND($N212 &lt; 0, ISNUMBER($N212))</formula>
    </cfRule>
  </conditionalFormatting>
  <conditionalFormatting sqref="D248:F249 E282:F282">
    <cfRule type="expression" dxfId="1175" priority="167">
      <formula>$E$282 &gt; 0</formula>
    </cfRule>
    <cfRule type="expression" dxfId="1174" priority="168">
      <formula>$E$282 = 0</formula>
    </cfRule>
    <cfRule type="expression" dxfId="1173" priority="169">
      <formula>$E$282 &lt; 0</formula>
    </cfRule>
  </conditionalFormatting>
  <conditionalFormatting sqref="G248:I249 H282:I282">
    <cfRule type="expression" dxfId="1172" priority="164">
      <formula>$H$282 &gt; 0</formula>
    </cfRule>
    <cfRule type="expression" dxfId="1171" priority="165">
      <formula>$H$282 = 0</formula>
    </cfRule>
    <cfRule type="expression" dxfId="1170" priority="166">
      <formula>$H$282 &lt; 0</formula>
    </cfRule>
  </conditionalFormatting>
  <conditionalFormatting sqref="J248:L249 K282:L282">
    <cfRule type="expression" dxfId="1169" priority="161">
      <formula>$K$282 &gt; 0</formula>
    </cfRule>
    <cfRule type="expression" dxfId="1168" priority="162">
      <formula>$K$282 = 0</formula>
    </cfRule>
    <cfRule type="expression" dxfId="1167" priority="163">
      <formula>$K$282 &lt; 0</formula>
    </cfRule>
  </conditionalFormatting>
  <conditionalFormatting sqref="M248:O249 N282:O282">
    <cfRule type="expression" dxfId="1166" priority="158">
      <formula>$N$282 &gt; 0</formula>
    </cfRule>
    <cfRule type="expression" dxfId="1165" priority="159">
      <formula>$N$282 = 0</formula>
    </cfRule>
    <cfRule type="expression" dxfId="1164" priority="160">
      <formula>$N$282 &lt; 0</formula>
    </cfRule>
  </conditionalFormatting>
  <conditionalFormatting sqref="D250:F280">
    <cfRule type="expression" dxfId="1163" priority="155">
      <formula>AND($E250 &gt; 0, ISNUMBER($E250))</formula>
    </cfRule>
    <cfRule type="expression" dxfId="1162" priority="156">
      <formula>AND($E250 = 0, ISNUMBER($E250))</formula>
    </cfRule>
    <cfRule type="expression" dxfId="1161" priority="157">
      <formula>AND($E250 &lt; 0, ISNUMBER($E250))</formula>
    </cfRule>
  </conditionalFormatting>
  <conditionalFormatting sqref="G250:I280">
    <cfRule type="expression" dxfId="1160" priority="152">
      <formula>AND($H250 &gt; 0, ISNUMBER($H250))</formula>
    </cfRule>
    <cfRule type="expression" dxfId="1159" priority="153">
      <formula>AND($H250 = 0, ISNUMBER($H250))</formula>
    </cfRule>
    <cfRule type="expression" dxfId="1158" priority="154">
      <formula>AND($H250 &lt; 0, ISNUMBER($H250))</formula>
    </cfRule>
  </conditionalFormatting>
  <conditionalFormatting sqref="J250:L280">
    <cfRule type="expression" dxfId="1157" priority="149">
      <formula>AND($K250 &gt; 0, ISNUMBER($K250))</formula>
    </cfRule>
    <cfRule type="expression" dxfId="1156" priority="150">
      <formula>AND($K250 = 0, ISNUMBER($K250))</formula>
    </cfRule>
    <cfRule type="expression" dxfId="1155" priority="151">
      <formula>AND($K250 &lt; 0, ISNUMBER($K250))</formula>
    </cfRule>
  </conditionalFormatting>
  <conditionalFormatting sqref="M250:O280">
    <cfRule type="expression" dxfId="1154" priority="146">
      <formula>AND($N250 &gt; 0, ISNUMBER($N250))</formula>
    </cfRule>
    <cfRule type="expression" dxfId="1153" priority="147">
      <formula>AND($N250 = 0, ISNUMBER($N250))</formula>
    </cfRule>
    <cfRule type="expression" dxfId="1152" priority="148">
      <formula>AND($N250 &lt; 0, ISNUMBER($N250))</formula>
    </cfRule>
  </conditionalFormatting>
  <conditionalFormatting sqref="D5:F6">
    <cfRule type="expression" dxfId="1151" priority="143">
      <formula>$F$130 &gt; 0</formula>
    </cfRule>
    <cfRule type="expression" dxfId="1150" priority="144">
      <formula>$F$130 = 0</formula>
    </cfRule>
    <cfRule type="expression" dxfId="1149" priority="145">
      <formula>$F$130 &lt; 0</formula>
    </cfRule>
  </conditionalFormatting>
  <conditionalFormatting sqref="D7:F8">
    <cfRule type="expression" dxfId="1148" priority="140">
      <formula>$F$206 &gt; 0</formula>
    </cfRule>
    <cfRule type="expression" dxfId="1147" priority="141">
      <formula>$F$206 = 0</formula>
    </cfRule>
    <cfRule type="expression" dxfId="1146" priority="142">
      <formula>$F$206 &lt; 0</formula>
    </cfRule>
  </conditionalFormatting>
  <conditionalFormatting sqref="D9:F10">
    <cfRule type="expression" dxfId="1145" priority="137">
      <formula>$F$244 &gt; 0</formula>
    </cfRule>
    <cfRule type="expression" dxfId="1144" priority="138">
      <formula>$F$244 = 0</formula>
    </cfRule>
    <cfRule type="expression" dxfId="1143" priority="139">
      <formula>$F$244 &lt; 0</formula>
    </cfRule>
  </conditionalFormatting>
  <conditionalFormatting sqref="D11:F12">
    <cfRule type="expression" dxfId="1142" priority="134">
      <formula>$F$168 &gt; 0</formula>
    </cfRule>
    <cfRule type="expression" dxfId="1141" priority="135">
      <formula>$F$168 = 0</formula>
    </cfRule>
    <cfRule type="expression" dxfId="1140" priority="136">
      <formula>$F$168 &lt; 0</formula>
    </cfRule>
  </conditionalFormatting>
  <conditionalFormatting sqref="D13:F14">
    <cfRule type="expression" dxfId="1139" priority="92">
      <formula>$F$282 &gt; 0</formula>
    </cfRule>
    <cfRule type="expression" dxfId="1138" priority="93">
      <formula>$F$282 = 0</formula>
    </cfRule>
    <cfRule type="expression" dxfId="1137" priority="94">
      <formula>$F$282 &lt; 0</formula>
    </cfRule>
  </conditionalFormatting>
  <conditionalFormatting sqref="D15:F16">
    <cfRule type="expression" dxfId="1136" priority="77">
      <formula>$F$54 &gt; 0</formula>
    </cfRule>
    <cfRule type="expression" dxfId="1135" priority="78">
      <formula>$F$54 = 0</formula>
    </cfRule>
    <cfRule type="expression" dxfId="1134" priority="79">
      <formula>$F$54 &lt; 0</formula>
    </cfRule>
  </conditionalFormatting>
  <conditionalFormatting sqref="G5:I6">
    <cfRule type="expression" dxfId="1133" priority="65">
      <formula>$I$130 &gt; 0</formula>
    </cfRule>
    <cfRule type="expression" dxfId="1132" priority="66">
      <formula>$I$130 = 0</formula>
    </cfRule>
    <cfRule type="expression" dxfId="1131" priority="67">
      <formula>$I$130 &lt; 0</formula>
    </cfRule>
  </conditionalFormatting>
  <conditionalFormatting sqref="G7:I8">
    <cfRule type="expression" dxfId="1130" priority="62">
      <formula>$I$206 &gt; 0</formula>
    </cfRule>
    <cfRule type="expression" dxfId="1129" priority="63">
      <formula>$I$206 = 0</formula>
    </cfRule>
    <cfRule type="expression" dxfId="1128" priority="64">
      <formula>$I$206 &lt; 0</formula>
    </cfRule>
  </conditionalFormatting>
  <conditionalFormatting sqref="G9:I10">
    <cfRule type="expression" dxfId="1127" priority="59">
      <formula>$I$244 &gt; 0</formula>
    </cfRule>
    <cfRule type="expression" dxfId="1126" priority="60">
      <formula>$I$244 = 0</formula>
    </cfRule>
    <cfRule type="expression" dxfId="1125" priority="61">
      <formula>$I$244 &lt; 0</formula>
    </cfRule>
  </conditionalFormatting>
  <conditionalFormatting sqref="G11:I12">
    <cfRule type="expression" dxfId="1124" priority="56">
      <formula>$I$168 &gt; 0</formula>
    </cfRule>
    <cfRule type="expression" dxfId="1123" priority="57">
      <formula>$I$168 = 0</formula>
    </cfRule>
    <cfRule type="expression" dxfId="1122" priority="58">
      <formula>$I$168 &lt; 0</formula>
    </cfRule>
  </conditionalFormatting>
  <conditionalFormatting sqref="G13:I14">
    <cfRule type="expression" dxfId="1121" priority="53">
      <formula>$I$282 &gt; 0</formula>
    </cfRule>
    <cfRule type="expression" dxfId="1120" priority="54">
      <formula>$I$282 = 0</formula>
    </cfRule>
    <cfRule type="expression" dxfId="1119" priority="55">
      <formula>$I$282 &lt; 0</formula>
    </cfRule>
  </conditionalFormatting>
  <conditionalFormatting sqref="G15:I16">
    <cfRule type="expression" dxfId="1118" priority="50">
      <formula>$I$54 &gt; 0</formula>
    </cfRule>
    <cfRule type="expression" dxfId="1117" priority="51">
      <formula>$I$54 = 0</formula>
    </cfRule>
    <cfRule type="expression" dxfId="1116" priority="52">
      <formula>$I$54 &lt; 0</formula>
    </cfRule>
  </conditionalFormatting>
  <conditionalFormatting sqref="J5:L6">
    <cfRule type="expression" dxfId="1115" priority="47">
      <formula>$L$130 &gt; 0</formula>
    </cfRule>
    <cfRule type="expression" dxfId="1114" priority="48">
      <formula>$L$130 = 0</formula>
    </cfRule>
    <cfRule type="expression" dxfId="1113" priority="49">
      <formula>$L$130 &lt; 0</formula>
    </cfRule>
  </conditionalFormatting>
  <conditionalFormatting sqref="J7:L8">
    <cfRule type="expression" dxfId="1112" priority="44">
      <formula>$L$206 &gt; 0</formula>
    </cfRule>
    <cfRule type="expression" dxfId="1111" priority="45">
      <formula>$L$206 = 0</formula>
    </cfRule>
    <cfRule type="expression" dxfId="1110" priority="46">
      <formula>$L$206 &lt; 0</formula>
    </cfRule>
  </conditionalFormatting>
  <conditionalFormatting sqref="J9:L10">
    <cfRule type="expression" dxfId="1109" priority="41">
      <formula>$L$244 &gt; 0</formula>
    </cfRule>
    <cfRule type="expression" dxfId="1108" priority="42">
      <formula>$L$244 = 0</formula>
    </cfRule>
    <cfRule type="expression" dxfId="1107" priority="43">
      <formula>$L$244 &lt; 0</formula>
    </cfRule>
  </conditionalFormatting>
  <conditionalFormatting sqref="J11:L12">
    <cfRule type="expression" dxfId="1106" priority="38">
      <formula>$L$168 &gt; 0</formula>
    </cfRule>
    <cfRule type="expression" dxfId="1105" priority="39">
      <formula>$L$168 = 0</formula>
    </cfRule>
    <cfRule type="expression" dxfId="1104" priority="40">
      <formula>$L$168 &lt; 0</formula>
    </cfRule>
  </conditionalFormatting>
  <conditionalFormatting sqref="J13:L14">
    <cfRule type="expression" dxfId="1103" priority="35">
      <formula>$L$282 &gt; 0</formula>
    </cfRule>
    <cfRule type="expression" dxfId="1102" priority="36">
      <formula>$L$282 = 0</formula>
    </cfRule>
    <cfRule type="expression" dxfId="1101" priority="37">
      <formula>$L$282 &lt; 0</formula>
    </cfRule>
  </conditionalFormatting>
  <conditionalFormatting sqref="J15:L16">
    <cfRule type="expression" dxfId="1100" priority="32">
      <formula>$L$54 &gt; 0</formula>
    </cfRule>
    <cfRule type="expression" dxfId="1099" priority="33">
      <formula>$L$54 = 0</formula>
    </cfRule>
    <cfRule type="expression" dxfId="1098" priority="34">
      <formula>$L$54 &lt; 0</formula>
    </cfRule>
  </conditionalFormatting>
  <conditionalFormatting sqref="M5:O6">
    <cfRule type="expression" dxfId="1097" priority="29">
      <formula>$O$130 &gt; 0</formula>
    </cfRule>
    <cfRule type="expression" dxfId="1096" priority="30">
      <formula>$O$130 = 0</formula>
    </cfRule>
    <cfRule type="expression" dxfId="1095" priority="31">
      <formula>$O$130 &lt; 0</formula>
    </cfRule>
  </conditionalFormatting>
  <conditionalFormatting sqref="M7:O8">
    <cfRule type="expression" dxfId="1094" priority="26">
      <formula>$O$206 &gt; 0</formula>
    </cfRule>
    <cfRule type="expression" dxfId="1093" priority="27">
      <formula>$O$206 = 0</formula>
    </cfRule>
    <cfRule type="expression" dxfId="1092" priority="28">
      <formula>$O$206 &lt; 0</formula>
    </cfRule>
  </conditionalFormatting>
  <conditionalFormatting sqref="M9:O10">
    <cfRule type="expression" dxfId="1091" priority="23">
      <formula>$O$244 &gt; 0</formula>
    </cfRule>
    <cfRule type="expression" dxfId="1090" priority="24">
      <formula>$O$244 = 0</formula>
    </cfRule>
    <cfRule type="expression" dxfId="1089" priority="25">
      <formula>$O$244 &lt; 0</formula>
    </cfRule>
  </conditionalFormatting>
  <conditionalFormatting sqref="M11:O12">
    <cfRule type="expression" dxfId="1088" priority="20">
      <formula>$O$168 &gt; 0</formula>
    </cfRule>
    <cfRule type="expression" dxfId="1087" priority="21">
      <formula>$O$168 = 0</formula>
    </cfRule>
    <cfRule type="expression" dxfId="1086" priority="22">
      <formula>$O$168 &lt; 0</formula>
    </cfRule>
  </conditionalFormatting>
  <conditionalFormatting sqref="M13:O14">
    <cfRule type="expression" dxfId="1085" priority="17">
      <formula>$O$282 &gt; 0</formula>
    </cfRule>
    <cfRule type="expression" dxfId="1084" priority="18">
      <formula>$O$282 = 0</formula>
    </cfRule>
    <cfRule type="expression" dxfId="1083" priority="19">
      <formula>$O$282 &lt; 0</formula>
    </cfRule>
  </conditionalFormatting>
  <conditionalFormatting sqref="M15:O16">
    <cfRule type="expression" dxfId="1082" priority="14">
      <formula>$O$54 &gt; 0</formula>
    </cfRule>
    <cfRule type="expression" dxfId="1081" priority="15">
      <formula>$O$54 = 0</formula>
    </cfRule>
    <cfRule type="expression" dxfId="1080" priority="16">
      <formula>$O$54 &lt; 0</formula>
    </cfRule>
  </conditionalFormatting>
  <conditionalFormatting sqref="D3:F4">
    <cfRule type="expression" dxfId="1079" priority="13">
      <formula>$F$92 &lt; 0</formula>
    </cfRule>
    <cfRule type="expression" dxfId="1078" priority="12">
      <formula>$F$92 = 0</formula>
    </cfRule>
    <cfRule type="expression" dxfId="1077" priority="11">
      <formula>$F$92 &gt; 0</formula>
    </cfRule>
  </conditionalFormatting>
  <conditionalFormatting sqref="G3:I4">
    <cfRule type="expression" dxfId="1076" priority="10">
      <formula>$I$92 &lt; 0</formula>
    </cfRule>
    <cfRule type="expression" dxfId="1075" priority="9">
      <formula>$I$92 = 0</formula>
    </cfRule>
    <cfRule type="expression" dxfId="1074" priority="8">
      <formula>$I$92 &gt; 0</formula>
    </cfRule>
  </conditionalFormatting>
  <conditionalFormatting sqref="J3:L4">
    <cfRule type="expression" dxfId="1073" priority="5">
      <formula>$L$92 &gt; 0</formula>
    </cfRule>
    <cfRule type="expression" dxfId="1072" priority="6">
      <formula>$L$92 = 0</formula>
    </cfRule>
    <cfRule type="expression" dxfId="1071" priority="7">
      <formula>$L$92 &lt; 0</formula>
    </cfRule>
  </conditionalFormatting>
  <conditionalFormatting sqref="M3:O4">
    <cfRule type="expression" dxfId="1070" priority="2">
      <formula>$O$92 &gt; 0</formula>
    </cfRule>
    <cfRule type="expression" dxfId="1069" priority="3">
      <formula>$O$92 = 0</formula>
    </cfRule>
    <cfRule type="expression" dxfId="106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21 B19:P19 P3:XFD13 P1:XFD1 S18:XFD18 S19:XFD19 A20:P20 S20:XFD20 B3:C14 B15 A53:XFD59 A22:A52 C22:XFD52 A91:XFD97 A60:A90 C60:XFD90 A129:XFD135 A98:A128 C98:XFD128 A167:XFD173 A136:A166 C136:XFD166 A205:XFD211 A174:A204 C174:XFD204 A243:XFD249 A212:A242 C212:XFD242 A281:XFD1048576 A250:A280 C250:XFD28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117-9527-4951-AF54-5E1C442075A3}">
  <sheetPr codeName="Sheet6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44621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174,823 KRW (5.83%)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110,659 KRW (3.69%)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119,532 KRW (3.98%)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100,064 KRW (3.34%)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2022-03-01(화) 오전 00:00</v>
      </c>
      <c r="C15" s="237"/>
      <c r="D15" s="193" t="str">
        <f>TEXT($G$1, "[$-ko-KR]yyyy-mm-dd(ddd) ") &amp; "오후 14:00"</f>
        <v>2022-03-01(화) 오후 14:00</v>
      </c>
      <c r="E15" s="194"/>
      <c r="F15" s="195"/>
      <c r="G15" s="193" t="str">
        <f>TEXT($G$1, "[$-ko-KR]yyyy-mm-dd(ddd) ") &amp; "오후 19:00"</f>
        <v>2022-03-01(화) 오후 19:00</v>
      </c>
      <c r="H15" s="194"/>
      <c r="I15" s="195"/>
      <c r="J15" s="193" t="str">
        <f>TEXT($G$1, "[$-ko-KR]yyyy-mm-dd(ddd) ") &amp; "오후 21:00"</f>
        <v>2022-03-01(화) 오후 21:00</v>
      </c>
      <c r="K15" s="194"/>
      <c r="L15" s="195"/>
      <c r="M15" s="193" t="str">
        <f>TEXT($G$1+1, "[$-ko-KR]yyyy-mm-dd(ddd) ") &amp; "오전 00:00"</f>
        <v>2022-03-02(수)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2022-03-01(화) 오전 00:00</v>
      </c>
      <c r="C42" s="234"/>
      <c r="D42" s="193" t="str">
        <f>TEXT($G$1, "[$-ko-KR]yyyy-mm-dd(ddd) ") &amp; "오후 14:00"</f>
        <v>2022-03-01(화) 오후 14:00</v>
      </c>
      <c r="E42" s="194"/>
      <c r="F42" s="195"/>
      <c r="G42" s="193" t="str">
        <f>TEXT($G$1, "[$-ko-KR]yyyy-mm-dd(ddd) ") &amp; "오후 19:00"</f>
        <v>2022-03-01(화) 오후 19:00</v>
      </c>
      <c r="H42" s="194"/>
      <c r="I42" s="195"/>
      <c r="J42" s="193" t="str">
        <f>TEXT($G$1, "[$-ko-KR]yyyy-mm-dd(ddd) ") &amp; "오후 21:00"</f>
        <v>2022-03-01(화) 오후 21:00</v>
      </c>
      <c r="K42" s="194"/>
      <c r="L42" s="195"/>
      <c r="M42" s="193" t="str">
        <f>TEXT($G$1+1, "[$-ko-KR]yyyy-mm-dd(ddd) ") &amp; "오전 00:00"</f>
        <v>2022-03-02(수)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211</v>
      </c>
      <c r="B44" s="124">
        <v>8.01</v>
      </c>
      <c r="C44" s="76">
        <v>5.6728232199999999E-2</v>
      </c>
      <c r="D44" s="13">
        <v>7.84</v>
      </c>
      <c r="E44" s="14">
        <f>IF(ISNUMBER(D44), (D44 - $B44) / $B44, "")</f>
        <v>-2.1223470661672902E-2</v>
      </c>
      <c r="F44" s="16">
        <f>IF(ISNUMBER(D44), $B64 * E44, "")</f>
        <v>-3183.5205992509354</v>
      </c>
      <c r="G44" s="29">
        <v>7.82</v>
      </c>
      <c r="H44" s="14">
        <f>IF(ISNUMBER(G44), (G44 - $B44) / $B44, "")</f>
        <v>-2.3720349563046132E-2</v>
      </c>
      <c r="I44" s="100">
        <f>IF(ISNUMBER(G44), $B64 * H44, "")</f>
        <v>-3558.0524344569199</v>
      </c>
      <c r="J44" s="13">
        <v>7.9</v>
      </c>
      <c r="K44" s="14">
        <f>IF(ISNUMBER(J44), (J44 - $B44) / $B44, "")</f>
        <v>-1.3732833957552988E-2</v>
      </c>
      <c r="L44" s="16">
        <f>IF(ISNUMBER(J44), $B64 * K44, "")</f>
        <v>-2059.9250936329481</v>
      </c>
      <c r="M44" s="29">
        <v>7.82</v>
      </c>
      <c r="N44" s="14">
        <f>IF(ISNUMBER(M44), (M44 - $B44) / $B44, "")</f>
        <v>-2.3720349563046132E-2</v>
      </c>
      <c r="O44" s="16">
        <f>IF(ISNUMBER(M44), $B64 * N44, "")</f>
        <v>-3558.0524344569199</v>
      </c>
      <c r="Q44" s="191"/>
      <c r="R44" s="191"/>
      <c r="S44" s="191"/>
    </row>
    <row r="45" spans="1:19" ht="17.25" customHeight="1" thickBot="1">
      <c r="A45" s="125" t="s">
        <v>118</v>
      </c>
      <c r="B45" s="126">
        <v>17.3</v>
      </c>
      <c r="C45" s="77">
        <v>4.8484848499999997E-2</v>
      </c>
      <c r="D45" s="15">
        <v>18.5</v>
      </c>
      <c r="E45" s="32">
        <f t="shared" ref="E45:E48" si="14">IF(ISNUMBER(D45), (D45 - $B45) / $B45, "")</f>
        <v>6.9364161849710934E-2</v>
      </c>
      <c r="F45" s="18">
        <f>IF(ISNUMBER(D45), $B64 * E45, "")</f>
        <v>10404.62427745664</v>
      </c>
      <c r="G45" s="31">
        <v>18.399999999999999</v>
      </c>
      <c r="H45" s="32">
        <f t="shared" ref="H45:H48" si="15">IF(ISNUMBER(G45), (G45 - $B45) / $B45, "")</f>
        <v>6.3583815028901605E-2</v>
      </c>
      <c r="I45" s="101">
        <f>IF(ISNUMBER(G45), $B64 * H45, "")</f>
        <v>9537.5722543352404</v>
      </c>
      <c r="J45" s="15">
        <v>18.8</v>
      </c>
      <c r="K45" s="32">
        <f t="shared" ref="K45:K48" si="16">IF(ISNUMBER(J45), (J45 - $B45) / $B45, "")</f>
        <v>8.6705202312138727E-2</v>
      </c>
      <c r="L45" s="18">
        <f>IF(ISNUMBER(J45), $B64 * K45, "")</f>
        <v>13005.780346820809</v>
      </c>
      <c r="M45" s="31">
        <v>18.2</v>
      </c>
      <c r="N45" s="32">
        <f t="shared" ref="N45:N48" si="17">IF(ISNUMBER(M45), (M45 - $B45) / $B45, "")</f>
        <v>5.2023121387283155E-2</v>
      </c>
      <c r="O45" s="18">
        <f>IF(ISNUMBER(M45), $B64 * N45, "")</f>
        <v>7803.4682080924731</v>
      </c>
      <c r="Q45" s="191"/>
      <c r="R45" s="191"/>
      <c r="S45" s="191"/>
    </row>
    <row r="46" spans="1:19" ht="17.25" customHeight="1" thickBot="1">
      <c r="A46" s="125" t="s">
        <v>97</v>
      </c>
      <c r="B46" s="126">
        <v>2.3999999999999998E-3</v>
      </c>
      <c r="C46" s="77">
        <v>4.3478260900000003E-2</v>
      </c>
      <c r="D46" s="15">
        <v>2.5000000000000001E-3</v>
      </c>
      <c r="E46" s="32">
        <f t="shared" si="14"/>
        <v>4.1666666666666782E-2</v>
      </c>
      <c r="F46" s="18">
        <f>IF(ISNUMBER(D46), $B64 * E46, "")</f>
        <v>6250.0000000000173</v>
      </c>
      <c r="G46" s="31">
        <v>2.3999999999999998E-3</v>
      </c>
      <c r="H46" s="32">
        <f t="shared" si="15"/>
        <v>0</v>
      </c>
      <c r="I46" s="101">
        <f>IF(ISNUMBER(G46), $B64 * H46, "")</f>
        <v>0</v>
      </c>
      <c r="J46" s="15">
        <v>2.5000000000000001E-3</v>
      </c>
      <c r="K46" s="32">
        <f t="shared" si="16"/>
        <v>4.1666666666666782E-2</v>
      </c>
      <c r="L46" s="18">
        <f>IF(ISNUMBER(J46), $B64 * K46, "")</f>
        <v>6250.0000000000173</v>
      </c>
      <c r="M46" s="31">
        <v>2.3999999999999998E-3</v>
      </c>
      <c r="N46" s="32">
        <f t="shared" si="17"/>
        <v>0</v>
      </c>
      <c r="O46" s="18">
        <f>IF(ISNUMBER(M46), $B64 * N46, "")</f>
        <v>0</v>
      </c>
      <c r="Q46" s="196"/>
      <c r="R46" s="196"/>
      <c r="S46" s="196"/>
    </row>
    <row r="47" spans="1:19" ht="17.25" customHeight="1" thickBot="1">
      <c r="A47" s="125" t="s">
        <v>233</v>
      </c>
      <c r="B47" s="126">
        <v>96.8</v>
      </c>
      <c r="C47" s="77">
        <v>4.1980624299999998E-2</v>
      </c>
      <c r="D47" s="15">
        <v>103</v>
      </c>
      <c r="E47" s="32">
        <f t="shared" si="14"/>
        <v>6.4049586776859541E-2</v>
      </c>
      <c r="F47" s="18">
        <f>IF(ISNUMBER(D47), $B64 * E47, "")</f>
        <v>9607.4380165289313</v>
      </c>
      <c r="G47" s="31">
        <v>103</v>
      </c>
      <c r="H47" s="32">
        <f t="shared" si="15"/>
        <v>6.4049586776859541E-2</v>
      </c>
      <c r="I47" s="101">
        <f>IF(ISNUMBER(G47), $B64 * H47, "")</f>
        <v>9607.4380165289313</v>
      </c>
      <c r="J47" s="15">
        <v>105</v>
      </c>
      <c r="K47" s="32">
        <f t="shared" si="16"/>
        <v>8.471074380165293E-2</v>
      </c>
      <c r="L47" s="18">
        <f>IF(ISNUMBER(J47), $B64 * K47, "")</f>
        <v>12706.61157024794</v>
      </c>
      <c r="M47" s="31">
        <v>102</v>
      </c>
      <c r="N47" s="32">
        <f t="shared" si="17"/>
        <v>5.3719008264462839E-2</v>
      </c>
      <c r="O47" s="18">
        <f>IF(ISNUMBER(M47), $B64 * N47, "")</f>
        <v>8057.8512396694259</v>
      </c>
      <c r="Q47" s="196"/>
      <c r="R47" s="196"/>
      <c r="S47" s="196"/>
    </row>
    <row r="48" spans="1:19" ht="17.25" customHeight="1" thickBot="1">
      <c r="A48" s="127" t="s">
        <v>64</v>
      </c>
      <c r="B48" s="128">
        <v>30.3</v>
      </c>
      <c r="C48" s="78">
        <v>3.7671232899999997E-2</v>
      </c>
      <c r="D48" s="20">
        <v>31.2</v>
      </c>
      <c r="E48" s="21">
        <f t="shared" si="14"/>
        <v>2.9702970297029656E-2</v>
      </c>
      <c r="F48" s="22">
        <f>IF(ISNUMBER(D48), $B64 * E48, "")</f>
        <v>4455.4455445544481</v>
      </c>
      <c r="G48" s="30">
        <v>30.9</v>
      </c>
      <c r="H48" s="21">
        <f t="shared" si="15"/>
        <v>1.9801980198019733E-2</v>
      </c>
      <c r="I48" s="105">
        <f>IF(ISNUMBER(G48), $B64 * H48, "")</f>
        <v>2970.2970297029601</v>
      </c>
      <c r="J48" s="20">
        <v>31.4</v>
      </c>
      <c r="K48" s="21">
        <f t="shared" si="16"/>
        <v>3.6303630363036229E-2</v>
      </c>
      <c r="L48" s="22">
        <f>IF(ISNUMBER(J48), $B64 * K48, "")</f>
        <v>5445.5445544554341</v>
      </c>
      <c r="M48" s="30">
        <v>30.7</v>
      </c>
      <c r="N48" s="21">
        <f t="shared" si="17"/>
        <v>1.3201320132013155E-2</v>
      </c>
      <c r="O48" s="22">
        <f>IF(ISNUMBER(M48), $B64 * N48, "")</f>
        <v>1980.1980198019733</v>
      </c>
      <c r="Q48" s="196"/>
      <c r="R48" s="196"/>
      <c r="S48" s="196"/>
    </row>
    <row r="49" spans="1:19" ht="17.25" customHeight="1" thickBot="1">
      <c r="A49" s="125" t="s">
        <v>245</v>
      </c>
      <c r="B49" s="129">
        <v>56.7</v>
      </c>
      <c r="C49" s="80">
        <v>3.65630713E-2</v>
      </c>
      <c r="D49" s="106">
        <v>65.2</v>
      </c>
      <c r="E49" s="107">
        <f>IF(ISNUMBER(D49), (D49 - $B49) / $B49, "")</f>
        <v>0.14991181657848324</v>
      </c>
      <c r="F49" s="108">
        <f>IF(ISNUMBER(D49), $B64 * E49, "")</f>
        <v>22486.772486772486</v>
      </c>
      <c r="G49" s="109">
        <v>64.5</v>
      </c>
      <c r="H49" s="107">
        <f>IF(ISNUMBER(G49), (G49 - $B49) / $B49, "")</f>
        <v>0.1375661375661375</v>
      </c>
      <c r="I49" s="110">
        <f>IF(ISNUMBER(G49), $B64 * H49, "")</f>
        <v>20634.920634920625</v>
      </c>
      <c r="J49" s="106">
        <v>65.3</v>
      </c>
      <c r="K49" s="107">
        <f>IF(ISNUMBER(J49), (J49 - $B49) / $B49, "")</f>
        <v>0.15167548500881822</v>
      </c>
      <c r="L49" s="108">
        <f>IF(ISNUMBER(J49), $B64 * K49, "")</f>
        <v>22751.322751322732</v>
      </c>
      <c r="M49" s="109">
        <v>59.3</v>
      </c>
      <c r="N49" s="107">
        <f>IF(ISNUMBER(M49), (M49 - $B49) / $B49, "")</f>
        <v>4.5855379188712422E-2</v>
      </c>
      <c r="O49" s="108">
        <f>IF(ISNUMBER(M49), $B64 * N49, "")</f>
        <v>6878.3068783068629</v>
      </c>
      <c r="Q49" s="196"/>
      <c r="R49" s="196"/>
      <c r="S49" s="196"/>
    </row>
    <row r="50" spans="1:19" ht="17.25" customHeight="1" thickBot="1">
      <c r="A50" s="125" t="s">
        <v>124</v>
      </c>
      <c r="B50" s="126">
        <v>58.2</v>
      </c>
      <c r="C50" s="77">
        <v>3.55871886E-2</v>
      </c>
      <c r="D50" s="15">
        <v>63.6</v>
      </c>
      <c r="E50" s="32">
        <f t="shared" ref="E50:E53" si="18">IF(ISNUMBER(D50), (D50 - $B50) / $B50, "")</f>
        <v>9.2783505154639151E-2</v>
      </c>
      <c r="F50" s="18">
        <f>IF(ISNUMBER(D50), $B64 * E50, "")</f>
        <v>13917.525773195872</v>
      </c>
      <c r="G50" s="31">
        <v>63.1</v>
      </c>
      <c r="H50" s="32">
        <f t="shared" ref="H50:H53" si="19">IF(ISNUMBER(G50), (G50 - $B50) / $B50, "")</f>
        <v>8.419243986254292E-2</v>
      </c>
      <c r="I50" s="101">
        <f>IF(ISNUMBER(G50), $B64 * H50, "")</f>
        <v>12628.865979381439</v>
      </c>
      <c r="J50" s="15">
        <v>64.599999999999994</v>
      </c>
      <c r="K50" s="32">
        <f t="shared" ref="K50:K53" si="20">IF(ISNUMBER(J50), (J50 - $B50) / $B50, "")</f>
        <v>0.10996563573883146</v>
      </c>
      <c r="L50" s="18">
        <f>IF(ISNUMBER(J50), $B64 * K50, "")</f>
        <v>16494.845360824718</v>
      </c>
      <c r="M50" s="31">
        <v>63.2</v>
      </c>
      <c r="N50" s="32">
        <f t="shared" ref="N50:N53" si="21">IF(ISNUMBER(M50), (M50 - $B50) / $B50, "")</f>
        <v>8.5910652920962199E-2</v>
      </c>
      <c r="O50" s="18">
        <f>IF(ISNUMBER(M50), $B64 * N50, "")</f>
        <v>12886.59793814433</v>
      </c>
      <c r="Q50" s="196"/>
      <c r="R50" s="196"/>
      <c r="S50" s="196"/>
    </row>
    <row r="51" spans="1:19" ht="17.25" customHeight="1" thickBot="1">
      <c r="A51" s="125" t="s">
        <v>140</v>
      </c>
      <c r="B51" s="126">
        <v>80.599999999999994</v>
      </c>
      <c r="C51" s="77">
        <v>3.4659820299999998E-2</v>
      </c>
      <c r="D51" s="15">
        <v>92.1</v>
      </c>
      <c r="E51" s="32">
        <f t="shared" si="18"/>
        <v>0.14267990074441689</v>
      </c>
      <c r="F51" s="18">
        <f>IF(ISNUMBER(D51), $B64 * E51, "")</f>
        <v>21401.985111662532</v>
      </c>
      <c r="G51" s="31">
        <v>90.5</v>
      </c>
      <c r="H51" s="32">
        <f t="shared" si="19"/>
        <v>0.12282878411910678</v>
      </c>
      <c r="I51" s="101">
        <f>IF(ISNUMBER(G51), $B64 * H51, "")</f>
        <v>18424.317617866018</v>
      </c>
      <c r="J51" s="15">
        <v>91.7</v>
      </c>
      <c r="K51" s="32">
        <f t="shared" si="20"/>
        <v>0.13771712158808944</v>
      </c>
      <c r="L51" s="18">
        <f>IF(ISNUMBER(J51), $B64 * K51, "")</f>
        <v>20657.568238213415</v>
      </c>
      <c r="M51" s="31">
        <v>89.9</v>
      </c>
      <c r="N51" s="32">
        <f t="shared" si="21"/>
        <v>0.11538461538461553</v>
      </c>
      <c r="O51" s="18">
        <f>IF(ISNUMBER(M51), $B64 * N51, "")</f>
        <v>17307.69230769233</v>
      </c>
      <c r="Q51" s="196"/>
      <c r="R51" s="196"/>
      <c r="S51" s="196"/>
    </row>
    <row r="52" spans="1:19" ht="17.25" customHeight="1" thickBot="1">
      <c r="A52" s="125" t="s">
        <v>158</v>
      </c>
      <c r="B52" s="126">
        <v>65.2</v>
      </c>
      <c r="C52" s="77">
        <v>3.3280507100000002E-2</v>
      </c>
      <c r="D52" s="15">
        <v>70.099999999999994</v>
      </c>
      <c r="E52" s="32">
        <f t="shared" si="18"/>
        <v>7.5153374233128706E-2</v>
      </c>
      <c r="F52" s="18">
        <f>IF(ISNUMBER(D52), $B64 * E52, "")</f>
        <v>11273.006134969306</v>
      </c>
      <c r="G52" s="31">
        <v>68.900000000000006</v>
      </c>
      <c r="H52" s="32">
        <f t="shared" si="19"/>
        <v>5.6748466257668752E-2</v>
      </c>
      <c r="I52" s="101">
        <f>IF(ISNUMBER(G52), $B64 * H52, "")</f>
        <v>8512.2699386503136</v>
      </c>
      <c r="J52" s="15">
        <v>70.099999999999994</v>
      </c>
      <c r="K52" s="32">
        <f t="shared" si="20"/>
        <v>7.5153374233128706E-2</v>
      </c>
      <c r="L52" s="18">
        <f>IF(ISNUMBER(J52), $B64 * K52, "")</f>
        <v>11273.006134969306</v>
      </c>
      <c r="M52" s="31">
        <v>68</v>
      </c>
      <c r="N52" s="32">
        <f t="shared" si="21"/>
        <v>4.2944785276073573E-2</v>
      </c>
      <c r="O52" s="18">
        <f>IF(ISNUMBER(M52), $B64 * N52, "")</f>
        <v>6441.7177914110362</v>
      </c>
      <c r="Q52" s="33"/>
      <c r="R52" s="33"/>
    </row>
    <row r="53" spans="1:19" ht="17.25" customHeight="1" thickBot="1">
      <c r="A53" s="130" t="s">
        <v>128</v>
      </c>
      <c r="B53" s="131">
        <v>49.6</v>
      </c>
      <c r="C53" s="79">
        <v>3.1185031200000001E-2</v>
      </c>
      <c r="D53" s="24">
        <v>54.2</v>
      </c>
      <c r="E53" s="25">
        <f t="shared" si="18"/>
        <v>9.2741935483870996E-2</v>
      </c>
      <c r="F53" s="104">
        <f>IF(ISNUMBER(D53), $B64 * E53, "")</f>
        <v>13911.290322580649</v>
      </c>
      <c r="G53" s="102">
        <v>52.9</v>
      </c>
      <c r="H53" s="25">
        <f t="shared" si="19"/>
        <v>6.653225806451607E-2</v>
      </c>
      <c r="I53" s="103">
        <f>IF(ISNUMBER(G53), $B64 * H53, "")</f>
        <v>9979.8387096774113</v>
      </c>
      <c r="J53" s="24">
        <v>54.2</v>
      </c>
      <c r="K53" s="25">
        <f t="shared" si="20"/>
        <v>9.2741935483870996E-2</v>
      </c>
      <c r="L53" s="104">
        <f>IF(ISNUMBER(J53), $B64 * K53, "")</f>
        <v>13911.290322580649</v>
      </c>
      <c r="M53" s="102">
        <v>52.2</v>
      </c>
      <c r="N53" s="25">
        <f t="shared" si="21"/>
        <v>5.2419354838709707E-2</v>
      </c>
      <c r="O53" s="104">
        <f>IF(ISNUMBER(M53), $B64 * N53, "")</f>
        <v>7862.9032258064562</v>
      </c>
      <c r="Q53" s="205"/>
      <c r="R53" s="206"/>
      <c r="S53" s="207"/>
    </row>
    <row r="54" spans="1:19" ht="17.25" customHeight="1">
      <c r="A54" s="123" t="s">
        <v>341</v>
      </c>
      <c r="B54" s="124">
        <v>9.1999999999999998E-2</v>
      </c>
      <c r="C54" s="76">
        <v>3.0235162400000001E-2</v>
      </c>
      <c r="D54" s="13">
        <v>9.4799999999999995E-2</v>
      </c>
      <c r="E54" s="14">
        <f>IF(ISNUMBER(D54), (D54 - $B54) / $B54, "")</f>
        <v>3.0434782608695619E-2</v>
      </c>
      <c r="F54" s="16">
        <f>IF(ISNUMBER(D54), $B64 * E54, "")</f>
        <v>4565.2173913043425</v>
      </c>
      <c r="G54" s="29">
        <v>9.4399999999999998E-2</v>
      </c>
      <c r="H54" s="14">
        <f>IF(ISNUMBER(G54), (G54 - $B54) / $B54, "")</f>
        <v>2.6086956521739126E-2</v>
      </c>
      <c r="I54" s="100">
        <f>IF(ISNUMBER(G54), $B64 * H54, "")</f>
        <v>3913.0434782608691</v>
      </c>
      <c r="J54" s="13">
        <v>9.6100000000000005E-2</v>
      </c>
      <c r="K54" s="14">
        <f>IF(ISNUMBER(J54), (J54 - $B54) / $B54, "")</f>
        <v>4.4565217391304417E-2</v>
      </c>
      <c r="L54" s="16">
        <f>IF(ISNUMBER(J54), $B64 * K54, "")</f>
        <v>6684.7826086956629</v>
      </c>
      <c r="M54" s="29">
        <v>9.2899999999999996E-2</v>
      </c>
      <c r="N54" s="14">
        <f>IF(ISNUMBER(M54), (M54 - $B54) / $B54, "")</f>
        <v>9.7826086956521521E-3</v>
      </c>
      <c r="O54" s="16">
        <f>IF(ISNUMBER(M54), $B64 * N54, "")</f>
        <v>1467.3913043478228</v>
      </c>
      <c r="Q54" s="208"/>
      <c r="R54" s="209"/>
      <c r="S54" s="210"/>
    </row>
    <row r="55" spans="1:19" ht="17.25" customHeight="1" thickBot="1">
      <c r="A55" s="125" t="s">
        <v>203</v>
      </c>
      <c r="B55" s="126">
        <v>7.92</v>
      </c>
      <c r="C55" s="77">
        <v>2.85714286E-2</v>
      </c>
      <c r="D55" s="15">
        <v>8.23</v>
      </c>
      <c r="E55" s="32">
        <f t="shared" ref="E55:E58" si="22">IF(ISNUMBER(D55), (D55 - $B55) / $B55, "")</f>
        <v>3.9141414141414206E-2</v>
      </c>
      <c r="F55" s="18">
        <f>IF(ISNUMBER(D55), $B64 * E55, "")</f>
        <v>5871.212121212131</v>
      </c>
      <c r="G55" s="31">
        <v>8.19</v>
      </c>
      <c r="H55" s="32">
        <f t="shared" ref="H55:H58" si="23">IF(ISNUMBER(G55), (G55 - $B55) / $B55, "")</f>
        <v>3.409090909090904E-2</v>
      </c>
      <c r="I55" s="101">
        <f>IF(ISNUMBER(G55), $B64 * H55, "")</f>
        <v>5113.6363636363558</v>
      </c>
      <c r="J55" s="15">
        <v>8.1999999999999993</v>
      </c>
      <c r="K55" s="32">
        <f t="shared" ref="K55:K58" si="24">IF(ISNUMBER(J55), (J55 - $B55) / $B55, "")</f>
        <v>3.5353535353535276E-2</v>
      </c>
      <c r="L55" s="18">
        <f>IF(ISNUMBER(J55), $B64 * K55, "")</f>
        <v>5303.0303030302912</v>
      </c>
      <c r="M55" s="31">
        <v>7.94</v>
      </c>
      <c r="N55" s="32">
        <f t="shared" ref="N55:N58" si="25">IF(ISNUMBER(M55), (M55 - $B55) / $B55, "")</f>
        <v>2.5252525252525836E-3</v>
      </c>
      <c r="O55" s="18">
        <f>IF(ISNUMBER(M55), $B64 * N55, "")</f>
        <v>378.78787878788756</v>
      </c>
      <c r="Q55" s="211"/>
      <c r="R55" s="212"/>
      <c r="S55" s="213"/>
    </row>
    <row r="56" spans="1:19" ht="17.25" customHeight="1" thickBot="1">
      <c r="A56" s="125" t="s">
        <v>144</v>
      </c>
      <c r="B56" s="126">
        <v>11</v>
      </c>
      <c r="C56" s="77">
        <v>2.8037383200000002E-2</v>
      </c>
      <c r="D56" s="15">
        <v>11.7</v>
      </c>
      <c r="E56" s="32">
        <f t="shared" si="22"/>
        <v>6.3636363636363574E-2</v>
      </c>
      <c r="F56" s="18">
        <f>IF(ISNUMBER(D56), $B64 * E56, "")</f>
        <v>9545.4545454545369</v>
      </c>
      <c r="G56" s="31">
        <v>11.6</v>
      </c>
      <c r="H56" s="32">
        <f t="shared" si="23"/>
        <v>5.4545454545454515E-2</v>
      </c>
      <c r="I56" s="101">
        <f>IF(ISNUMBER(G56), $B64 * H56, "")</f>
        <v>8181.8181818181774</v>
      </c>
      <c r="J56" s="15">
        <v>11.8</v>
      </c>
      <c r="K56" s="32">
        <f t="shared" si="24"/>
        <v>7.2727272727272793E-2</v>
      </c>
      <c r="L56" s="18">
        <f>IF(ISNUMBER(J56), $B64 * K56, "")</f>
        <v>10909.090909090919</v>
      </c>
      <c r="M56" s="31">
        <v>11.6</v>
      </c>
      <c r="N56" s="32">
        <f t="shared" si="25"/>
        <v>5.4545454545454515E-2</v>
      </c>
      <c r="O56" s="18">
        <f>IF(ISNUMBER(M56), $B64 * N56, "")</f>
        <v>8181.8181818181774</v>
      </c>
      <c r="Q56" s="196"/>
      <c r="R56" s="196"/>
      <c r="S56" s="196"/>
    </row>
    <row r="57" spans="1:19" ht="17.25" customHeight="1" thickBot="1">
      <c r="A57" s="125" t="s">
        <v>126</v>
      </c>
      <c r="B57" s="126">
        <v>80.900000000000006</v>
      </c>
      <c r="C57" s="77">
        <v>2.0176544800000001E-2</v>
      </c>
      <c r="D57" s="15">
        <v>83.4</v>
      </c>
      <c r="E57" s="32">
        <f t="shared" si="22"/>
        <v>3.0902348578491962E-2</v>
      </c>
      <c r="F57" s="18">
        <f>IF(ISNUMBER(D57), $B64 * E57, "")</f>
        <v>4635.3522867737947</v>
      </c>
      <c r="G57" s="31">
        <v>85</v>
      </c>
      <c r="H57" s="32">
        <f t="shared" si="23"/>
        <v>5.0679851668726753E-2</v>
      </c>
      <c r="I57" s="101">
        <f>IF(ISNUMBER(G57), $B64 * H57, "")</f>
        <v>7601.9777503090127</v>
      </c>
      <c r="J57" s="15">
        <v>85.4</v>
      </c>
      <c r="K57" s="32">
        <f t="shared" si="24"/>
        <v>5.5624227441285534E-2</v>
      </c>
      <c r="L57" s="18">
        <f>IF(ISNUMBER(J57), $B64 * K57, "")</f>
        <v>8343.6341161928303</v>
      </c>
      <c r="M57" s="31">
        <v>85.9</v>
      </c>
      <c r="N57" s="32">
        <f t="shared" si="25"/>
        <v>6.1804697156983925E-2</v>
      </c>
      <c r="O57" s="18">
        <f>IF(ISNUMBER(M57), $B64 * N57, "")</f>
        <v>9270.7045735475895</v>
      </c>
      <c r="Q57" s="191"/>
      <c r="R57" s="191"/>
      <c r="S57" s="191"/>
    </row>
    <row r="58" spans="1:19" ht="17.25" customHeight="1" thickBot="1">
      <c r="A58" s="127" t="s">
        <v>185</v>
      </c>
      <c r="B58" s="128">
        <v>10.3</v>
      </c>
      <c r="C58" s="78">
        <v>1.9801980199999999E-2</v>
      </c>
      <c r="D58" s="20">
        <v>10.6</v>
      </c>
      <c r="E58" s="21">
        <f t="shared" si="22"/>
        <v>2.9126213592232903E-2</v>
      </c>
      <c r="F58" s="22">
        <f>IF(ISNUMBER(D58), $B64 * E58, "")</f>
        <v>4368.9320388349352</v>
      </c>
      <c r="G58" s="30">
        <v>10.6</v>
      </c>
      <c r="H58" s="21">
        <f t="shared" si="23"/>
        <v>2.9126213592232903E-2</v>
      </c>
      <c r="I58" s="105">
        <f>IF(ISNUMBER(G58), $B64 * H58, "")</f>
        <v>4368.9320388349352</v>
      </c>
      <c r="J58" s="20">
        <v>10.7</v>
      </c>
      <c r="K58" s="21">
        <f t="shared" si="24"/>
        <v>3.8834951456310537E-2</v>
      </c>
      <c r="L58" s="22">
        <f>IF(ISNUMBER(J58), $B64 * K58, "")</f>
        <v>5825.2427184465805</v>
      </c>
      <c r="M58" s="30">
        <v>10.6</v>
      </c>
      <c r="N58" s="21">
        <f t="shared" si="25"/>
        <v>2.9126213592232903E-2</v>
      </c>
      <c r="O58" s="22">
        <f>IF(ISNUMBER(M58), $B64 * N58, "")</f>
        <v>4368.9320388349352</v>
      </c>
      <c r="Q58" s="191"/>
      <c r="R58" s="191"/>
      <c r="S58" s="191"/>
    </row>
    <row r="59" spans="1:19" ht="17.25" customHeight="1" thickBot="1">
      <c r="A59" s="125" t="s">
        <v>229</v>
      </c>
      <c r="B59" s="129">
        <v>51.9</v>
      </c>
      <c r="C59" s="80">
        <v>1.9646365400000001E-2</v>
      </c>
      <c r="D59" s="106">
        <v>54.1</v>
      </c>
      <c r="E59" s="107">
        <f>IF(ISNUMBER(D59), (D59 - $B59) / $B59, "")</f>
        <v>4.2389210019267876E-2</v>
      </c>
      <c r="F59" s="108">
        <f>IF(ISNUMBER(D59), $B64 * E59, "")</f>
        <v>6358.3815028901818</v>
      </c>
      <c r="G59" s="109">
        <v>53.9</v>
      </c>
      <c r="H59" s="107">
        <f>IF(ISNUMBER(G59), (G59 - $B59) / $B59, "")</f>
        <v>3.8535645472061661E-2</v>
      </c>
      <c r="I59" s="110">
        <f>IF(ISNUMBER(G59), $B64 * H59, "")</f>
        <v>5780.346820809249</v>
      </c>
      <c r="J59" s="106">
        <v>54.3</v>
      </c>
      <c r="K59" s="107">
        <f>IF(ISNUMBER(J59), (J59 - $B59) / $B59, "")</f>
        <v>4.6242774566473965E-2</v>
      </c>
      <c r="L59" s="108">
        <f>IF(ISNUMBER(J59), $B64 * K59, "")</f>
        <v>6936.4161849710945</v>
      </c>
      <c r="M59" s="109">
        <v>53.2</v>
      </c>
      <c r="N59" s="107">
        <f>IF(ISNUMBER(M59), (M59 - $B59) / $B59, "")</f>
        <v>2.5048169556840159E-2</v>
      </c>
      <c r="O59" s="108">
        <f>IF(ISNUMBER(M59), $B64 * N59, "")</f>
        <v>3757.2254335260241</v>
      </c>
      <c r="Q59" s="196"/>
      <c r="R59" s="196"/>
      <c r="S59" s="196"/>
    </row>
    <row r="60" spans="1:19" ht="17.25" customHeight="1" thickBot="1">
      <c r="A60" s="125" t="s">
        <v>174</v>
      </c>
      <c r="B60" s="126">
        <v>10.6</v>
      </c>
      <c r="C60" s="77">
        <v>1.9230769200000001E-2</v>
      </c>
      <c r="D60" s="15">
        <v>11</v>
      </c>
      <c r="E60" s="32">
        <f t="shared" ref="E60:E63" si="26">IF(ISNUMBER(D60), (D60 - $B60) / $B60, "")</f>
        <v>3.7735849056603807E-2</v>
      </c>
      <c r="F60" s="18">
        <f>IF(ISNUMBER(D60), $B64 * E60, "")</f>
        <v>5660.3773584905712</v>
      </c>
      <c r="G60" s="31">
        <v>10.9</v>
      </c>
      <c r="H60" s="32">
        <f t="shared" ref="H60:H63" si="27">IF(ISNUMBER(G60), (G60 - $B60) / $B60, "")</f>
        <v>2.8301886792452897E-2</v>
      </c>
      <c r="I60" s="101">
        <f>IF(ISNUMBER(G60), $B64 * H60, "")</f>
        <v>4245.2830188679345</v>
      </c>
      <c r="J60" s="15">
        <v>11</v>
      </c>
      <c r="K60" s="32">
        <f t="shared" ref="K60:K63" si="28">IF(ISNUMBER(J60), (J60 - $B60) / $B60, "")</f>
        <v>3.7735849056603807E-2</v>
      </c>
      <c r="L60" s="18">
        <f>IF(ISNUMBER(J60), $B64 * K60, "")</f>
        <v>5660.3773584905712</v>
      </c>
      <c r="M60" s="31">
        <v>11.1</v>
      </c>
      <c r="N60" s="32">
        <f t="shared" ref="N60:N63" si="29">IF(ISNUMBER(M60), (M60 - $B60) / $B60, "")</f>
        <v>4.716981132075472E-2</v>
      </c>
      <c r="O60" s="18">
        <f>IF(ISNUMBER(M60), $B64 * N60, "")</f>
        <v>7075.4716981132078</v>
      </c>
      <c r="Q60" s="196"/>
      <c r="R60" s="196"/>
      <c r="S60" s="196"/>
    </row>
    <row r="61" spans="1:19" ht="17.25" customHeight="1" thickBot="1">
      <c r="A61" s="125" t="s">
        <v>148</v>
      </c>
      <c r="B61" s="126">
        <v>72.8</v>
      </c>
      <c r="C61" s="77">
        <v>1.67597765E-2</v>
      </c>
      <c r="D61" s="15">
        <v>74.7</v>
      </c>
      <c r="E61" s="32">
        <f t="shared" si="26"/>
        <v>2.609890109890118E-2</v>
      </c>
      <c r="F61" s="18">
        <f>IF(ISNUMBER(D61), $B64 * E61, "")</f>
        <v>3914.8351648351768</v>
      </c>
      <c r="G61" s="31">
        <v>74.8</v>
      </c>
      <c r="H61" s="32">
        <f t="shared" si="27"/>
        <v>2.7472527472527472E-2</v>
      </c>
      <c r="I61" s="101">
        <f>IF(ISNUMBER(G61), $B64 * H61, "")</f>
        <v>4120.8791208791208</v>
      </c>
      <c r="J61" s="15">
        <v>75.5</v>
      </c>
      <c r="K61" s="32">
        <f t="shared" si="28"/>
        <v>3.708791208791213E-2</v>
      </c>
      <c r="L61" s="18">
        <f>IF(ISNUMBER(J61), $B64 * K61, "")</f>
        <v>5563.1868131868196</v>
      </c>
      <c r="M61" s="31">
        <v>74.8</v>
      </c>
      <c r="N61" s="32">
        <f t="shared" si="29"/>
        <v>2.7472527472527472E-2</v>
      </c>
      <c r="O61" s="18">
        <f>IF(ISNUMBER(M61), $B64 * N61, "")</f>
        <v>4120.8791208791208</v>
      </c>
      <c r="Q61" s="196"/>
      <c r="R61" s="196"/>
      <c r="S61" s="196"/>
    </row>
    <row r="62" spans="1:19" ht="17.25" customHeight="1">
      <c r="A62" s="125" t="s">
        <v>146</v>
      </c>
      <c r="B62" s="126">
        <v>8.6</v>
      </c>
      <c r="C62" s="77">
        <v>1.6548463400000001E-2</v>
      </c>
      <c r="D62" s="15">
        <v>8.9600000000000009</v>
      </c>
      <c r="E62" s="32">
        <f t="shared" si="26"/>
        <v>4.1860465116279215E-2</v>
      </c>
      <c r="F62" s="18">
        <f>IF(ISNUMBER(D62), $B64 * E62, "")</f>
        <v>6279.0697674418825</v>
      </c>
      <c r="G62" s="31">
        <v>8.9</v>
      </c>
      <c r="H62" s="32">
        <f t="shared" si="27"/>
        <v>3.4883720930232641E-2</v>
      </c>
      <c r="I62" s="101">
        <f>IF(ISNUMBER(G62), $B64 * H62, "")</f>
        <v>5232.5581395348963</v>
      </c>
      <c r="J62" s="15">
        <v>8.99</v>
      </c>
      <c r="K62" s="32">
        <f t="shared" si="28"/>
        <v>4.5348837209302391E-2</v>
      </c>
      <c r="L62" s="18">
        <f>IF(ISNUMBER(J62), $B64 * K62, "")</f>
        <v>6802.3255813953583</v>
      </c>
      <c r="M62" s="31">
        <v>8.83</v>
      </c>
      <c r="N62" s="32">
        <f t="shared" si="29"/>
        <v>2.674418604651168E-2</v>
      </c>
      <c r="O62" s="18">
        <f>IF(ISNUMBER(M62), $B64 * N62, "")</f>
        <v>4011.627906976752</v>
      </c>
      <c r="Q62" s="218"/>
      <c r="R62" s="219"/>
      <c r="S62" s="220"/>
    </row>
    <row r="63" spans="1:19" ht="17.25" customHeight="1" thickBot="1">
      <c r="A63" s="130" t="s">
        <v>346</v>
      </c>
      <c r="B63" s="131">
        <v>9.51</v>
      </c>
      <c r="C63" s="79">
        <v>9.5541401000000005E-3</v>
      </c>
      <c r="D63" s="24">
        <v>10.1</v>
      </c>
      <c r="E63" s="25">
        <f t="shared" si="26"/>
        <v>6.2039957939011556E-2</v>
      </c>
      <c r="F63" s="104">
        <f>IF(ISNUMBER(D63), $B64 * E63, "")</f>
        <v>9305.9936908517338</v>
      </c>
      <c r="G63" s="102">
        <v>9.93</v>
      </c>
      <c r="H63" s="25">
        <f t="shared" si="27"/>
        <v>4.4164037854889586E-2</v>
      </c>
      <c r="I63" s="103">
        <f>IF(ISNUMBER(G63), $B64 * H63, "")</f>
        <v>6624.6056782334381</v>
      </c>
      <c r="J63" s="24">
        <v>9.99</v>
      </c>
      <c r="K63" s="25">
        <f t="shared" si="28"/>
        <v>5.0473186119873864E-2</v>
      </c>
      <c r="L63" s="104">
        <f>IF(ISNUMBER(J63), $B64 * K63, "")</f>
        <v>7570.9779179810794</v>
      </c>
      <c r="M63" s="102">
        <v>9.66</v>
      </c>
      <c r="N63" s="25">
        <f t="shared" si="29"/>
        <v>1.5772870662460605E-2</v>
      </c>
      <c r="O63" s="104">
        <f>IF(ISNUMBER(M63), $B64 * N63, "")</f>
        <v>2365.9305993690909</v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5.7009797645519757E-2</v>
      </c>
      <c r="F64" s="28">
        <f>SUM(F44:F63)</f>
        <v>171029.39293655922</v>
      </c>
      <c r="G64" s="26" t="s">
        <v>266</v>
      </c>
      <c r="H64" s="27">
        <f>IF(COUNT(H44:H63), SUM(H44:H63) / COUNT(H44:H63), 0)</f>
        <v>4.7973516112596669E-2</v>
      </c>
      <c r="I64" s="28">
        <f>SUM(I44:I63)</f>
        <v>143920.54833778998</v>
      </c>
      <c r="J64" s="26" t="s">
        <v>266</v>
      </c>
      <c r="K64" s="27">
        <f>IF(COUNT(K44:K63), SUM(K44:K63) / COUNT(K44:K63), 0)</f>
        <v>6.3345036232427765E-2</v>
      </c>
      <c r="L64" s="28">
        <f>SUM(L44:L63)</f>
        <v>190035.10869728329</v>
      </c>
      <c r="M64" s="26" t="s">
        <v>266</v>
      </c>
      <c r="N64" s="27">
        <f>IF(COUNT(N44:N63), SUM(N44:N63) / COUNT(N44:N63), 0)</f>
        <v>3.6886483970222858E-2</v>
      </c>
      <c r="O64" s="28">
        <f>SUM(O44:O63)</f>
        <v>110659.45191066856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2022-03-01(화) 오전 00:00</v>
      </c>
      <c r="C69" s="234"/>
      <c r="D69" s="193" t="str">
        <f>TEXT($G$1, "[$-ko-KR]yyyy-mm-dd(ddd) ") &amp; "오후 14:00"</f>
        <v>2022-03-01(화) 오후 14:00</v>
      </c>
      <c r="E69" s="194"/>
      <c r="F69" s="195"/>
      <c r="G69" s="193" t="str">
        <f>TEXT($G$1, "[$-ko-KR]yyyy-mm-dd(ddd) ") &amp; "오후 19:00"</f>
        <v>2022-03-01(화) 오후 19:00</v>
      </c>
      <c r="H69" s="194"/>
      <c r="I69" s="195"/>
      <c r="J69" s="193" t="str">
        <f>TEXT($G$1, "[$-ko-KR]yyyy-mm-dd(ddd) ") &amp; "오후 21:00"</f>
        <v>2022-03-01(화) 오후 21:00</v>
      </c>
      <c r="K69" s="194"/>
      <c r="L69" s="195"/>
      <c r="M69" s="193" t="str">
        <f>TEXT($G$1+1, "[$-ko-KR]yyyy-mm-dd(ddd) ") &amp; "오전 00:00"</f>
        <v>2022-03-02(수)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85</v>
      </c>
      <c r="B71" s="124">
        <v>225</v>
      </c>
      <c r="C71" s="76">
        <v>9.7560975600000002E-2</v>
      </c>
      <c r="D71" s="13">
        <v>231</v>
      </c>
      <c r="E71" s="14">
        <f>IF(ISNUMBER(D71), (D71 - $B71) / $B71, "")</f>
        <v>2.6666666666666668E-2</v>
      </c>
      <c r="F71" s="16">
        <f>IF(ISNUMBER(D71), $B91 * E71, "")</f>
        <v>4000.0000000000005</v>
      </c>
      <c r="G71" s="29">
        <v>227</v>
      </c>
      <c r="H71" s="14">
        <f>IF(ISNUMBER(G71), (G71 - $B71) / $B71, "")</f>
        <v>8.8888888888888889E-3</v>
      </c>
      <c r="I71" s="100">
        <f>IF(ISNUMBER(G71), $B91 * H71, "")</f>
        <v>1333.3333333333333</v>
      </c>
      <c r="J71" s="13">
        <v>232</v>
      </c>
      <c r="K71" s="14">
        <f>IF(ISNUMBER(J71), (J71 - $B71) / $B71, "")</f>
        <v>3.111111111111111E-2</v>
      </c>
      <c r="L71" s="16">
        <f>IF(ISNUMBER(J71), $B91 * K71, "")</f>
        <v>4666.666666666667</v>
      </c>
      <c r="M71" s="29">
        <v>241</v>
      </c>
      <c r="N71" s="14">
        <f>IF(ISNUMBER(M71), (M71 - $B71) / $B71, "")</f>
        <v>7.1111111111111111E-2</v>
      </c>
      <c r="O71" s="16">
        <f>IF(ISNUMBER(M71), $B91 * N71, "")</f>
        <v>10666.666666666666</v>
      </c>
      <c r="Q71" s="191"/>
      <c r="R71" s="191"/>
      <c r="S71" s="191"/>
    </row>
    <row r="72" spans="1:19" ht="17.25" thickBot="1">
      <c r="A72" s="125" t="s">
        <v>327</v>
      </c>
      <c r="B72" s="126">
        <v>698</v>
      </c>
      <c r="C72" s="77">
        <v>6.2404870600000002E-2</v>
      </c>
      <c r="D72" s="15">
        <v>721</v>
      </c>
      <c r="E72" s="32">
        <f t="shared" ref="E72:E75" si="30">IF(ISNUMBER(D72), (D72 - $B72) / $B72, "")</f>
        <v>3.2951289398280799E-2</v>
      </c>
      <c r="F72" s="18">
        <f>IF(ISNUMBER(D72), $B91 * E72, "")</f>
        <v>4942.6934097421199</v>
      </c>
      <c r="G72" s="31">
        <v>729</v>
      </c>
      <c r="H72" s="32">
        <f t="shared" ref="H72:H75" si="31">IF(ISNUMBER(G72), (G72 - $B72) / $B72, "")</f>
        <v>4.4412607449856735E-2</v>
      </c>
      <c r="I72" s="101">
        <f>IF(ISNUMBER(G72), $B91 * H72, "")</f>
        <v>6661.8911174785098</v>
      </c>
      <c r="J72" s="15">
        <v>730</v>
      </c>
      <c r="K72" s="32">
        <f t="shared" ref="K72:K75" si="32">IF(ISNUMBER(J72), (J72 - $B72) / $B72, "")</f>
        <v>4.5845272206303724E-2</v>
      </c>
      <c r="L72" s="18">
        <f>IF(ISNUMBER(J72), $B91 * K72, "")</f>
        <v>6876.7908309455588</v>
      </c>
      <c r="M72" s="31">
        <v>794</v>
      </c>
      <c r="N72" s="32">
        <f t="shared" ref="N72:N75" si="33">IF(ISNUMBER(M72), (M72 - $B72) / $B72, "")</f>
        <v>0.13753581661891118</v>
      </c>
      <c r="O72" s="18">
        <f>IF(ISNUMBER(M72), $B91 * N72, "")</f>
        <v>20630.372492836676</v>
      </c>
      <c r="Q72" s="191"/>
      <c r="R72" s="191"/>
      <c r="S72" s="191"/>
    </row>
    <row r="73" spans="1:19" ht="17.25" thickBot="1">
      <c r="A73" s="125" t="s">
        <v>103</v>
      </c>
      <c r="B73" s="126">
        <v>672</v>
      </c>
      <c r="C73" s="77">
        <v>4.6728972000000001E-2</v>
      </c>
      <c r="D73" s="15">
        <v>694</v>
      </c>
      <c r="E73" s="32">
        <f t="shared" si="30"/>
        <v>3.273809523809524E-2</v>
      </c>
      <c r="F73" s="18">
        <f>IF(ISNUMBER(D73), $B91 * E73, "")</f>
        <v>4910.7142857142862</v>
      </c>
      <c r="G73" s="31">
        <v>686</v>
      </c>
      <c r="H73" s="32">
        <f t="shared" si="31"/>
        <v>2.0833333333333332E-2</v>
      </c>
      <c r="I73" s="101">
        <f>IF(ISNUMBER(G73), $B91 * H73, "")</f>
        <v>3125</v>
      </c>
      <c r="J73" s="15">
        <v>700</v>
      </c>
      <c r="K73" s="32">
        <f t="shared" si="32"/>
        <v>4.1666666666666664E-2</v>
      </c>
      <c r="L73" s="18">
        <f>IF(ISNUMBER(J73), $B91 * K73, "")</f>
        <v>6250</v>
      </c>
      <c r="M73" s="31">
        <v>674</v>
      </c>
      <c r="N73" s="32">
        <f t="shared" si="33"/>
        <v>2.976190476190476E-3</v>
      </c>
      <c r="O73" s="18">
        <f>IF(ISNUMBER(M73), $B91 * N73, "")</f>
        <v>446.42857142857139</v>
      </c>
      <c r="Q73" s="196"/>
      <c r="R73" s="196"/>
      <c r="S73" s="196"/>
    </row>
    <row r="74" spans="1:19" ht="17.25" thickBot="1">
      <c r="A74" s="125" t="s">
        <v>79</v>
      </c>
      <c r="B74" s="126">
        <v>860</v>
      </c>
      <c r="C74" s="77">
        <v>4.6228710499999999E-2</v>
      </c>
      <c r="D74" s="15">
        <v>902</v>
      </c>
      <c r="E74" s="32">
        <f t="shared" si="30"/>
        <v>4.8837209302325581E-2</v>
      </c>
      <c r="F74" s="18">
        <f>IF(ISNUMBER(D74), $B91 * E74, "")</f>
        <v>7325.5813953488368</v>
      </c>
      <c r="G74" s="31">
        <v>892</v>
      </c>
      <c r="H74" s="32">
        <f t="shared" si="31"/>
        <v>3.7209302325581395E-2</v>
      </c>
      <c r="I74" s="101">
        <f>IF(ISNUMBER(G74), $B91 * H74, "")</f>
        <v>5581.395348837209</v>
      </c>
      <c r="J74" s="15">
        <v>915</v>
      </c>
      <c r="K74" s="32">
        <f t="shared" si="32"/>
        <v>6.3953488372093026E-2</v>
      </c>
      <c r="L74" s="18">
        <f>IF(ISNUMBER(J74), $B91 * K74, "")</f>
        <v>9593.0232558139542</v>
      </c>
      <c r="M74" s="31">
        <v>897</v>
      </c>
      <c r="N74" s="32">
        <f t="shared" si="33"/>
        <v>4.3023255813953491E-2</v>
      </c>
      <c r="O74" s="18">
        <f>IF(ISNUMBER(M74), $B91 * N74, "")</f>
        <v>6453.4883720930238</v>
      </c>
      <c r="Q74" s="196"/>
      <c r="R74" s="196"/>
      <c r="S74" s="196"/>
    </row>
    <row r="75" spans="1:19" ht="17.25" thickBot="1">
      <c r="A75" s="127" t="s">
        <v>249</v>
      </c>
      <c r="B75" s="128">
        <v>243</v>
      </c>
      <c r="C75" s="78">
        <v>4.29184549E-2</v>
      </c>
      <c r="D75" s="20">
        <v>246</v>
      </c>
      <c r="E75" s="21">
        <f t="shared" si="30"/>
        <v>1.2345679012345678E-2</v>
      </c>
      <c r="F75" s="22">
        <f>IF(ISNUMBER(D75), $B91 * E75, "")</f>
        <v>1851.8518518518517</v>
      </c>
      <c r="G75" s="30">
        <v>245</v>
      </c>
      <c r="H75" s="21">
        <f t="shared" si="31"/>
        <v>8.23045267489712E-3</v>
      </c>
      <c r="I75" s="105">
        <f>IF(ISNUMBER(G75), $B91 * H75, "")</f>
        <v>1234.5679012345679</v>
      </c>
      <c r="J75" s="20">
        <v>247</v>
      </c>
      <c r="K75" s="21">
        <f t="shared" si="32"/>
        <v>1.646090534979424E-2</v>
      </c>
      <c r="L75" s="22">
        <f>IF(ISNUMBER(J75), $B91 * K75, "")</f>
        <v>2469.1358024691358</v>
      </c>
      <c r="M75" s="30">
        <v>237</v>
      </c>
      <c r="N75" s="21">
        <f t="shared" si="33"/>
        <v>-2.4691358024691357E-2</v>
      </c>
      <c r="O75" s="22">
        <f>IF(ISNUMBER(M75), $B91 * N75, "")</f>
        <v>-3703.7037037037035</v>
      </c>
      <c r="Q75" s="196"/>
      <c r="R75" s="196"/>
      <c r="S75" s="196"/>
    </row>
    <row r="76" spans="1:19" ht="17.25" thickBot="1">
      <c r="A76" s="125" t="s">
        <v>105</v>
      </c>
      <c r="B76" s="129">
        <v>828</v>
      </c>
      <c r="C76" s="80">
        <v>4.28211587E-2</v>
      </c>
      <c r="D76" s="106">
        <v>857</v>
      </c>
      <c r="E76" s="107">
        <f>IF(ISNUMBER(D76), (D76 - $B76) / $B76, "")</f>
        <v>3.5024154589371984E-2</v>
      </c>
      <c r="F76" s="108">
        <f>IF(ISNUMBER(D76), $B91 * E76, "")</f>
        <v>5253.6231884057979</v>
      </c>
      <c r="G76" s="109">
        <v>847</v>
      </c>
      <c r="H76" s="107">
        <f>IF(ISNUMBER(G76), (G76 - $B76) / $B76, "")</f>
        <v>2.2946859903381644E-2</v>
      </c>
      <c r="I76" s="110">
        <f>IF(ISNUMBER(G76), $B91 * H76, "")</f>
        <v>3442.0289855072465</v>
      </c>
      <c r="J76" s="106">
        <v>863</v>
      </c>
      <c r="K76" s="107">
        <f>IF(ISNUMBER(J76), (J76 - $B76) / $B76, "")</f>
        <v>4.2270531400966184E-2</v>
      </c>
      <c r="L76" s="108">
        <f>IF(ISNUMBER(J76), $B91 * K76, "")</f>
        <v>6340.579710144928</v>
      </c>
      <c r="M76" s="109">
        <v>856</v>
      </c>
      <c r="N76" s="107">
        <f>IF(ISNUMBER(M76), (M76 - $B76) / $B76, "")</f>
        <v>3.3816425120772944E-2</v>
      </c>
      <c r="O76" s="108">
        <f>IF(ISNUMBER(M76), $B91 * N76, "")</f>
        <v>5072.463768115942</v>
      </c>
      <c r="Q76" s="196"/>
      <c r="R76" s="196"/>
      <c r="S76" s="196"/>
    </row>
    <row r="77" spans="1:19" ht="17.25" thickBot="1">
      <c r="A77" s="125" t="s">
        <v>172</v>
      </c>
      <c r="B77" s="126">
        <v>911</v>
      </c>
      <c r="C77" s="77">
        <v>4.1142857099999999E-2</v>
      </c>
      <c r="D77" s="15">
        <v>957</v>
      </c>
      <c r="E77" s="32">
        <f t="shared" ref="E77:E80" si="34">IF(ISNUMBER(D77), (D77 - $B77) / $B77, "")</f>
        <v>5.0493962678375415E-2</v>
      </c>
      <c r="F77" s="18">
        <f>IF(ISNUMBER(D77), $B91 * E77, "")</f>
        <v>7574.0944017563124</v>
      </c>
      <c r="G77" s="31">
        <v>949</v>
      </c>
      <c r="H77" s="32">
        <f t="shared" ref="H77:H80" si="35">IF(ISNUMBER(G77), (G77 - $B77) / $B77, "")</f>
        <v>4.1712403951701428E-2</v>
      </c>
      <c r="I77" s="101">
        <f>IF(ISNUMBER(G77), $B91 * H77, "")</f>
        <v>6256.8605927552144</v>
      </c>
      <c r="J77" s="15">
        <v>973</v>
      </c>
      <c r="K77" s="32">
        <f t="shared" ref="K77:K80" si="36">IF(ISNUMBER(J77), (J77 - $B77) / $B77, "")</f>
        <v>6.8057080131723374E-2</v>
      </c>
      <c r="L77" s="18">
        <f>IF(ISNUMBER(J77), $B91 * K77, "")</f>
        <v>10208.562019758507</v>
      </c>
      <c r="M77" s="31">
        <v>955</v>
      </c>
      <c r="N77" s="32">
        <f t="shared" ref="N77:N80" si="37">IF(ISNUMBER(M77), (M77 - $B77) / $B77, "")</f>
        <v>4.8298572996706916E-2</v>
      </c>
      <c r="O77" s="18">
        <f>IF(ISNUMBER(M77), $B91 * N77, "")</f>
        <v>7244.7859495060375</v>
      </c>
      <c r="Q77" s="196"/>
      <c r="R77" s="196"/>
      <c r="S77" s="196"/>
    </row>
    <row r="78" spans="1:19" ht="17.25" thickBot="1">
      <c r="A78" s="125" t="s">
        <v>338</v>
      </c>
      <c r="B78" s="126">
        <v>268</v>
      </c>
      <c r="C78" s="77">
        <v>3.8759689899999998E-2</v>
      </c>
      <c r="D78" s="15">
        <v>276</v>
      </c>
      <c r="E78" s="32">
        <f t="shared" si="34"/>
        <v>2.9850746268656716E-2</v>
      </c>
      <c r="F78" s="18">
        <f>IF(ISNUMBER(D78), $B91 * E78, "")</f>
        <v>4477.6119402985078</v>
      </c>
      <c r="G78" s="31">
        <v>274</v>
      </c>
      <c r="H78" s="32">
        <f t="shared" si="35"/>
        <v>2.2388059701492536E-2</v>
      </c>
      <c r="I78" s="101">
        <f>IF(ISNUMBER(G78), $B91 * H78, "")</f>
        <v>3358.2089552238804</v>
      </c>
      <c r="J78" s="15">
        <v>280</v>
      </c>
      <c r="K78" s="32">
        <f t="shared" si="36"/>
        <v>4.4776119402985072E-2</v>
      </c>
      <c r="L78" s="18">
        <f>IF(ISNUMBER(J78), $B91 * K78, "")</f>
        <v>6716.4179104477607</v>
      </c>
      <c r="M78" s="31">
        <v>268</v>
      </c>
      <c r="N78" s="32">
        <f t="shared" si="37"/>
        <v>0</v>
      </c>
      <c r="O78" s="18">
        <f>IF(ISNUMBER(M78), $B91 * N78, "")</f>
        <v>0</v>
      </c>
      <c r="Q78" s="196"/>
      <c r="R78" s="196"/>
      <c r="S78" s="196"/>
    </row>
    <row r="79" spans="1:19" ht="17.25" thickBot="1">
      <c r="A79" s="125" t="s">
        <v>339</v>
      </c>
      <c r="B79" s="126">
        <v>504</v>
      </c>
      <c r="C79" s="77">
        <v>3.4907597499999998E-2</v>
      </c>
      <c r="D79" s="15">
        <v>539</v>
      </c>
      <c r="E79" s="32">
        <f t="shared" si="34"/>
        <v>6.9444444444444448E-2</v>
      </c>
      <c r="F79" s="18">
        <f>IF(ISNUMBER(D79), $B91 * E79, "")</f>
        <v>10416.666666666668</v>
      </c>
      <c r="G79" s="31">
        <v>525</v>
      </c>
      <c r="H79" s="32">
        <f t="shared" si="35"/>
        <v>4.1666666666666664E-2</v>
      </c>
      <c r="I79" s="101">
        <f>IF(ISNUMBER(G79), $B91 * H79, "")</f>
        <v>6250</v>
      </c>
      <c r="J79" s="15">
        <v>533</v>
      </c>
      <c r="K79" s="32">
        <f t="shared" si="36"/>
        <v>5.7539682539682536E-2</v>
      </c>
      <c r="L79" s="18">
        <f>IF(ISNUMBER(J79), $B91 * K79, "")</f>
        <v>8630.9523809523798</v>
      </c>
      <c r="M79" s="31">
        <v>537</v>
      </c>
      <c r="N79" s="32">
        <f t="shared" si="37"/>
        <v>6.5476190476190479E-2</v>
      </c>
      <c r="O79" s="18">
        <f>IF(ISNUMBER(M79), $B91 * N79, "")</f>
        <v>9821.4285714285725</v>
      </c>
      <c r="Q79" s="33"/>
      <c r="R79" s="33"/>
    </row>
    <row r="80" spans="1:19" ht="17.25" thickBot="1">
      <c r="A80" s="130" t="s">
        <v>89</v>
      </c>
      <c r="B80" s="131">
        <v>914</v>
      </c>
      <c r="C80" s="79">
        <v>3.0439684299999999E-2</v>
      </c>
      <c r="D80" s="24">
        <v>937</v>
      </c>
      <c r="E80" s="25">
        <f t="shared" si="34"/>
        <v>2.5164113785557989E-2</v>
      </c>
      <c r="F80" s="104">
        <f>IF(ISNUMBER(D80), $B91 * E80, "")</f>
        <v>3774.6170678336985</v>
      </c>
      <c r="G80" s="102">
        <v>926</v>
      </c>
      <c r="H80" s="25">
        <f t="shared" si="35"/>
        <v>1.3129102844638949E-2</v>
      </c>
      <c r="I80" s="103">
        <f>IF(ISNUMBER(G80), $B91 * H80, "")</f>
        <v>1969.3654266958424</v>
      </c>
      <c r="J80" s="24">
        <v>942</v>
      </c>
      <c r="K80" s="25">
        <f t="shared" si="36"/>
        <v>3.0634573304157548E-2</v>
      </c>
      <c r="L80" s="104">
        <f>IF(ISNUMBER(J80), $B91 * K80, "")</f>
        <v>4595.1859956236322</v>
      </c>
      <c r="M80" s="102">
        <v>931</v>
      </c>
      <c r="N80" s="25">
        <f t="shared" si="37"/>
        <v>1.8599562363238512E-2</v>
      </c>
      <c r="O80" s="104">
        <f>IF(ISNUMBER(M80), $B91 * N80, "")</f>
        <v>2789.934354485777</v>
      </c>
      <c r="Q80" s="205"/>
      <c r="R80" s="206"/>
      <c r="S80" s="207"/>
    </row>
    <row r="81" spans="1:19">
      <c r="A81" s="123" t="s">
        <v>107</v>
      </c>
      <c r="B81" s="124">
        <v>106</v>
      </c>
      <c r="C81" s="76">
        <v>2.9126213599999999E-2</v>
      </c>
      <c r="D81" s="13">
        <v>110</v>
      </c>
      <c r="E81" s="14">
        <f>IF(ISNUMBER(D81), (D81 - $B81) / $B81, "")</f>
        <v>3.7735849056603772E-2</v>
      </c>
      <c r="F81" s="16">
        <f>IF(ISNUMBER(D81), $B91 * E81, "")</f>
        <v>5660.3773584905657</v>
      </c>
      <c r="G81" s="29">
        <v>109</v>
      </c>
      <c r="H81" s="14">
        <f>IF(ISNUMBER(G81), (G81 - $B81) / $B81, "")</f>
        <v>2.8301886792452831E-2</v>
      </c>
      <c r="I81" s="100">
        <f>IF(ISNUMBER(G81), $B91 * H81, "")</f>
        <v>4245.2830188679245</v>
      </c>
      <c r="J81" s="13">
        <v>110</v>
      </c>
      <c r="K81" s="14">
        <f>IF(ISNUMBER(J81), (J81 - $B81) / $B81, "")</f>
        <v>3.7735849056603772E-2</v>
      </c>
      <c r="L81" s="16">
        <f>IF(ISNUMBER(J81), $B91 * K81, "")</f>
        <v>5660.3773584905657</v>
      </c>
      <c r="M81" s="29">
        <v>108</v>
      </c>
      <c r="N81" s="14">
        <f>IF(ISNUMBER(M81), (M81 - $B81) / $B81, "")</f>
        <v>1.8867924528301886E-2</v>
      </c>
      <c r="O81" s="16">
        <f>IF(ISNUMBER(M81), $B91 * N81, "")</f>
        <v>2830.1886792452829</v>
      </c>
      <c r="Q81" s="208"/>
      <c r="R81" s="209"/>
      <c r="S81" s="210"/>
    </row>
    <row r="82" spans="1:19" ht="17.25" thickBot="1">
      <c r="A82" s="125" t="s">
        <v>225</v>
      </c>
      <c r="B82" s="126">
        <v>359</v>
      </c>
      <c r="C82" s="77">
        <v>2.5714285699999999E-2</v>
      </c>
      <c r="D82" s="15">
        <v>382</v>
      </c>
      <c r="E82" s="32">
        <f t="shared" ref="E82:E85" si="38">IF(ISNUMBER(D82), (D82 - $B82) / $B82, "")</f>
        <v>6.4066852367688026E-2</v>
      </c>
      <c r="F82" s="18">
        <f>IF(ISNUMBER(D82), $B91 * E82, "")</f>
        <v>9610.0278551532047</v>
      </c>
      <c r="G82" s="31">
        <v>379</v>
      </c>
      <c r="H82" s="32">
        <f t="shared" ref="H82:H85" si="39">IF(ISNUMBER(G82), (G82 - $B82) / $B82, "")</f>
        <v>5.5710306406685235E-2</v>
      </c>
      <c r="I82" s="101">
        <f>IF(ISNUMBER(G82), $B91 * H82, "")</f>
        <v>8356.5459610027847</v>
      </c>
      <c r="J82" s="15">
        <v>388</v>
      </c>
      <c r="K82" s="32">
        <f t="shared" ref="K82:K85" si="40">IF(ISNUMBER(J82), (J82 - $B82) / $B82, "")</f>
        <v>8.0779944289693595E-2</v>
      </c>
      <c r="L82" s="18">
        <f>IF(ISNUMBER(J82), $B91 * K82, "")</f>
        <v>12116.991643454039</v>
      </c>
      <c r="M82" s="31">
        <v>375</v>
      </c>
      <c r="N82" s="32">
        <f t="shared" ref="N82:N85" si="41">IF(ISNUMBER(M82), (M82 - $B82) / $B82, "")</f>
        <v>4.456824512534819E-2</v>
      </c>
      <c r="O82" s="18">
        <f>IF(ISNUMBER(M82), $B91 * N82, "")</f>
        <v>6685.2367688022287</v>
      </c>
      <c r="Q82" s="211"/>
      <c r="R82" s="212"/>
      <c r="S82" s="213"/>
    </row>
    <row r="83" spans="1:19" ht="17.25" thickBot="1">
      <c r="A83" s="125" t="s">
        <v>134</v>
      </c>
      <c r="B83" s="126">
        <v>205</v>
      </c>
      <c r="C83" s="77">
        <v>2.5000000000000001E-2</v>
      </c>
      <c r="D83" s="15">
        <v>217</v>
      </c>
      <c r="E83" s="32">
        <f t="shared" si="38"/>
        <v>5.8536585365853662E-2</v>
      </c>
      <c r="F83" s="18">
        <f>IF(ISNUMBER(D83), $B91 * E83, "")</f>
        <v>8780.4878048780502</v>
      </c>
      <c r="G83" s="31">
        <v>218</v>
      </c>
      <c r="H83" s="32">
        <f t="shared" si="39"/>
        <v>6.3414634146341464E-2</v>
      </c>
      <c r="I83" s="101">
        <f>IF(ISNUMBER(G83), $B91 * H83, "")</f>
        <v>9512.1951219512193</v>
      </c>
      <c r="J83" s="15">
        <v>221</v>
      </c>
      <c r="K83" s="32">
        <f t="shared" si="40"/>
        <v>7.8048780487804878E-2</v>
      </c>
      <c r="L83" s="18">
        <f>IF(ISNUMBER(J83), $B91 * K83, "")</f>
        <v>11707.317073170732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96"/>
      <c r="R83" s="196"/>
      <c r="S83" s="196"/>
    </row>
    <row r="84" spans="1:19" ht="17.25" thickBot="1">
      <c r="A84" s="125" t="s">
        <v>120</v>
      </c>
      <c r="B84" s="126">
        <v>338</v>
      </c>
      <c r="C84" s="77">
        <v>2.4242424200000001E-2</v>
      </c>
      <c r="D84" s="15">
        <v>363</v>
      </c>
      <c r="E84" s="32">
        <f t="shared" si="38"/>
        <v>7.3964497041420121E-2</v>
      </c>
      <c r="F84" s="18">
        <f>IF(ISNUMBER(D84), $B91 * E84, "")</f>
        <v>11094.674556213018</v>
      </c>
      <c r="G84" s="31">
        <v>361</v>
      </c>
      <c r="H84" s="32">
        <f t="shared" si="39"/>
        <v>6.8047337278106509E-2</v>
      </c>
      <c r="I84" s="101">
        <f>IF(ISNUMBER(G84), $B91 * H84, "")</f>
        <v>10207.100591715976</v>
      </c>
      <c r="J84" s="15">
        <v>371</v>
      </c>
      <c r="K84" s="32">
        <f t="shared" si="40"/>
        <v>9.7633136094674555E-2</v>
      </c>
      <c r="L84" s="18">
        <f>IF(ISNUMBER(J84), $B91 * K84, "")</f>
        <v>14644.970414201183</v>
      </c>
      <c r="M84" s="31">
        <v>355</v>
      </c>
      <c r="N84" s="32">
        <f t="shared" si="41"/>
        <v>5.0295857988165681E-2</v>
      </c>
      <c r="O84" s="18">
        <f>IF(ISNUMBER(M84), $B91 * N84, "")</f>
        <v>7544.3786982248521</v>
      </c>
      <c r="Q84" s="191"/>
      <c r="R84" s="191"/>
      <c r="S84" s="191"/>
    </row>
    <row r="85" spans="1:19" ht="17.25" thickBot="1">
      <c r="A85" s="127" t="s">
        <v>261</v>
      </c>
      <c r="B85" s="128">
        <v>155</v>
      </c>
      <c r="C85" s="78">
        <v>1.9736842099999999E-2</v>
      </c>
      <c r="D85" s="20">
        <v>160</v>
      </c>
      <c r="E85" s="21">
        <f t="shared" si="38"/>
        <v>3.2258064516129031E-2</v>
      </c>
      <c r="F85" s="22">
        <f>IF(ISNUMBER(D85), $B91 * E85, "")</f>
        <v>4838.7096774193551</v>
      </c>
      <c r="G85" s="30">
        <v>159</v>
      </c>
      <c r="H85" s="21">
        <f t="shared" si="39"/>
        <v>2.5806451612903226E-2</v>
      </c>
      <c r="I85" s="105">
        <f>IF(ISNUMBER(G85), $B91 * H85, "")</f>
        <v>3870.9677419354839</v>
      </c>
      <c r="J85" s="20">
        <v>162</v>
      </c>
      <c r="K85" s="21">
        <f t="shared" si="40"/>
        <v>4.5161290322580643E-2</v>
      </c>
      <c r="L85" s="22">
        <f>IF(ISNUMBER(J85), $B91 * K85, "")</f>
        <v>6774.1935483870966</v>
      </c>
      <c r="M85" s="30">
        <v>162</v>
      </c>
      <c r="N85" s="21">
        <f t="shared" si="41"/>
        <v>4.5161290322580643E-2</v>
      </c>
      <c r="O85" s="22">
        <f>IF(ISNUMBER(M85), $B91 * N85, "")</f>
        <v>6774.1935483870966</v>
      </c>
      <c r="Q85" s="191"/>
      <c r="R85" s="191"/>
      <c r="S85" s="191"/>
    </row>
    <row r="86" spans="1:19" ht="17.25" thickBot="1">
      <c r="A86" s="125" t="s">
        <v>235</v>
      </c>
      <c r="B86" s="129">
        <v>109</v>
      </c>
      <c r="C86" s="80">
        <v>1.8691588799999999E-2</v>
      </c>
      <c r="D86" s="106">
        <v>114</v>
      </c>
      <c r="E86" s="107">
        <f>IF(ISNUMBER(D86), (D86 - $B86) / $B86, "")</f>
        <v>4.5871559633027525E-2</v>
      </c>
      <c r="F86" s="108">
        <f>IF(ISNUMBER(D86), $B91 * E86, "")</f>
        <v>6880.7339449541287</v>
      </c>
      <c r="G86" s="109">
        <v>114</v>
      </c>
      <c r="H86" s="107">
        <f>IF(ISNUMBER(G86), (G86 - $B86) / $B86, "")</f>
        <v>4.5871559633027525E-2</v>
      </c>
      <c r="I86" s="110">
        <f>IF(ISNUMBER(G86), $B91 * H86, "")</f>
        <v>6880.7339449541287</v>
      </c>
      <c r="J86" s="106">
        <v>115</v>
      </c>
      <c r="K86" s="107">
        <f>IF(ISNUMBER(J86), (J86 - $B86) / $B86, "")</f>
        <v>5.5045871559633031E-2</v>
      </c>
      <c r="L86" s="108">
        <f>IF(ISNUMBER(J86), $B91 * K86, "")</f>
        <v>8256.880733944954</v>
      </c>
      <c r="M86" s="109">
        <v>116</v>
      </c>
      <c r="N86" s="107">
        <f>IF(ISNUMBER(M86), (M86 - $B86) / $B86, "")</f>
        <v>6.4220183486238536E-2</v>
      </c>
      <c r="O86" s="108">
        <f>IF(ISNUMBER(M86), $B91 * N86, "")</f>
        <v>9633.0275229357812</v>
      </c>
      <c r="Q86" s="196"/>
      <c r="R86" s="196"/>
      <c r="S86" s="196"/>
    </row>
    <row r="87" spans="1:19" ht="17.25" thickBot="1">
      <c r="A87" s="125" t="s">
        <v>51</v>
      </c>
      <c r="B87" s="126">
        <v>227</v>
      </c>
      <c r="C87" s="77">
        <v>1.79372197E-2</v>
      </c>
      <c r="D87" s="15">
        <v>240</v>
      </c>
      <c r="E87" s="32">
        <f t="shared" ref="E87:E90" si="42">IF(ISNUMBER(D87), (D87 - $B87) / $B87, "")</f>
        <v>5.7268722466960353E-2</v>
      </c>
      <c r="F87" s="18">
        <f>IF(ISNUMBER(D87), $B91 * E87, "")</f>
        <v>8590.3083700440529</v>
      </c>
      <c r="G87" s="31">
        <v>236</v>
      </c>
      <c r="H87" s="32">
        <f t="shared" ref="H87:H90" si="43">IF(ISNUMBER(G87), (G87 - $B87) / $B87, "")</f>
        <v>3.9647577092511016E-2</v>
      </c>
      <c r="I87" s="101">
        <f>IF(ISNUMBER(G87), $B91 * H87, "")</f>
        <v>5947.136563876652</v>
      </c>
      <c r="J87" s="15">
        <v>241</v>
      </c>
      <c r="K87" s="32">
        <f t="shared" ref="K87:K90" si="44">IF(ISNUMBER(J87), (J87 - $B87) / $B87, "")</f>
        <v>6.1674008810572688E-2</v>
      </c>
      <c r="L87" s="18">
        <f>IF(ISNUMBER(J87), $B91 * K87, "")</f>
        <v>9251.1013215859039</v>
      </c>
      <c r="M87" s="31">
        <v>236</v>
      </c>
      <c r="N87" s="32">
        <f t="shared" ref="N87:N90" si="45">IF(ISNUMBER(M87), (M87 - $B87) / $B87, "")</f>
        <v>3.9647577092511016E-2</v>
      </c>
      <c r="O87" s="18">
        <f>IF(ISNUMBER(M87), $B91 * N87, "")</f>
        <v>5947.136563876652</v>
      </c>
      <c r="Q87" s="196"/>
      <c r="R87" s="196"/>
      <c r="S87" s="196"/>
    </row>
    <row r="88" spans="1:19" ht="17.25" thickBot="1">
      <c r="A88" s="125" t="s">
        <v>195</v>
      </c>
      <c r="B88" s="126">
        <v>125</v>
      </c>
      <c r="C88" s="77">
        <v>1.6260162599999999E-2</v>
      </c>
      <c r="D88" s="15">
        <v>130</v>
      </c>
      <c r="E88" s="32">
        <f t="shared" si="42"/>
        <v>0.04</v>
      </c>
      <c r="F88" s="18">
        <f>IF(ISNUMBER(D88), $B91 * E88, "")</f>
        <v>6000</v>
      </c>
      <c r="G88" s="31">
        <v>130</v>
      </c>
      <c r="H88" s="32">
        <f t="shared" si="43"/>
        <v>0.04</v>
      </c>
      <c r="I88" s="101">
        <f>IF(ISNUMBER(G88), $B91 * H88, "")</f>
        <v>6000</v>
      </c>
      <c r="J88" s="15">
        <v>130</v>
      </c>
      <c r="K88" s="32">
        <f t="shared" si="44"/>
        <v>0.04</v>
      </c>
      <c r="L88" s="18">
        <f>IF(ISNUMBER(J88), $B91 * K88, "")</f>
        <v>6000</v>
      </c>
      <c r="M88" s="31">
        <v>128</v>
      </c>
      <c r="N88" s="32">
        <f t="shared" si="45"/>
        <v>2.4E-2</v>
      </c>
      <c r="O88" s="18">
        <f>IF(ISNUMBER(M88), $B91 * N88, "")</f>
        <v>3600</v>
      </c>
      <c r="Q88" s="196"/>
      <c r="R88" s="196"/>
      <c r="S88" s="196"/>
    </row>
    <row r="89" spans="1:19">
      <c r="A89" s="125" t="s">
        <v>56</v>
      </c>
      <c r="B89" s="126">
        <v>126</v>
      </c>
      <c r="C89" s="77">
        <v>1.6129032299999999E-2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129</v>
      </c>
      <c r="H89" s="32">
        <f t="shared" si="43"/>
        <v>2.3809523809523808E-2</v>
      </c>
      <c r="I89" s="101">
        <f>IF(ISNUMBER(G89), $B91 * H89, "")</f>
        <v>3571.4285714285711</v>
      </c>
      <c r="J89" s="15">
        <v>131</v>
      </c>
      <c r="K89" s="32">
        <f t="shared" si="44"/>
        <v>3.968253968253968E-2</v>
      </c>
      <c r="L89" s="18">
        <f>IF(ISNUMBER(J89), $B91 * K89, "")</f>
        <v>5952.3809523809523</v>
      </c>
      <c r="M89" s="31">
        <v>130</v>
      </c>
      <c r="N89" s="32">
        <f t="shared" si="45"/>
        <v>3.1746031746031744E-2</v>
      </c>
      <c r="O89" s="18">
        <f>IF(ISNUMBER(M89), $B91 * N89, "")</f>
        <v>4761.9047619047615</v>
      </c>
      <c r="Q89" s="218"/>
      <c r="R89" s="219"/>
      <c r="S89" s="220"/>
    </row>
    <row r="90" spans="1:19" ht="17.25" thickBot="1">
      <c r="A90" s="130" t="s">
        <v>215</v>
      </c>
      <c r="B90" s="131">
        <v>140</v>
      </c>
      <c r="C90" s="79">
        <v>1.44927536E-2</v>
      </c>
      <c r="D90" s="24">
        <v>147</v>
      </c>
      <c r="E90" s="25">
        <f t="shared" si="42"/>
        <v>0.05</v>
      </c>
      <c r="F90" s="104">
        <f>IF(ISNUMBER(D90), $B91 * E90, "")</f>
        <v>7500</v>
      </c>
      <c r="G90" s="102">
        <v>146</v>
      </c>
      <c r="H90" s="25">
        <f t="shared" si="43"/>
        <v>4.2857142857142858E-2</v>
      </c>
      <c r="I90" s="103">
        <f>IF(ISNUMBER(G90), $B91 * H90, "")</f>
        <v>6428.5714285714284</v>
      </c>
      <c r="J90" s="24">
        <v>148</v>
      </c>
      <c r="K90" s="25">
        <f t="shared" si="44"/>
        <v>5.7142857142857141E-2</v>
      </c>
      <c r="L90" s="104">
        <f>IF(ISNUMBER(J90), $B91 * K90, "")</f>
        <v>8571.4285714285706</v>
      </c>
      <c r="M90" s="102">
        <v>144</v>
      </c>
      <c r="N90" s="25">
        <f t="shared" si="45"/>
        <v>2.8571428571428571E-2</v>
      </c>
      <c r="O90" s="104">
        <f>IF(ISNUMBER(M90), $B91 * N90, "")</f>
        <v>4285.7142857142853</v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4.2748226178891742E-2</v>
      </c>
      <c r="F91" s="28">
        <f>SUM(F71:F90)</f>
        <v>128244.67853667523</v>
      </c>
      <c r="G91" s="26" t="s">
        <v>266</v>
      </c>
      <c r="H91" s="27">
        <f>IF(COUNT(H71:H90), SUM(H71:H90) / COUNT(H71:H90), 0)</f>
        <v>3.4744204868456655E-2</v>
      </c>
      <c r="I91" s="28">
        <f>SUM(I71:I90)</f>
        <v>104232.61460536998</v>
      </c>
      <c r="J91" s="26" t="s">
        <v>266</v>
      </c>
      <c r="K91" s="27">
        <f>IF(COUNT(K71:K90), SUM(K71:K90) / COUNT(K71:K90), 0)</f>
        <v>5.1760985396622175E-2</v>
      </c>
      <c r="L91" s="28">
        <f>SUM(L71:L90)</f>
        <v>155282.95618986653</v>
      </c>
      <c r="M91" s="26" t="s">
        <v>266</v>
      </c>
      <c r="N91" s="27">
        <f>IF(COUNT(N71:N90), SUM(N71:N90) / COUNT(N71:N90), 0)</f>
        <v>3.9844142119917797E-2</v>
      </c>
      <c r="O91" s="28">
        <f>SUM(O71:O90)</f>
        <v>119532.4263597534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2022-03-01(화) 오전 00:00</v>
      </c>
      <c r="C96" s="234"/>
      <c r="D96" s="193" t="str">
        <f>TEXT($G$1, "[$-ko-KR]yyyy-mm-dd(ddd) ") &amp; "오후 14:00"</f>
        <v>2022-03-01(화) 오후 14:00</v>
      </c>
      <c r="E96" s="194"/>
      <c r="F96" s="195"/>
      <c r="G96" s="193" t="str">
        <f>TEXT($G$1, "[$-ko-KR]yyyy-mm-dd(ddd) ") &amp; "오후 19:00"</f>
        <v>2022-03-01(화) 오후 19:00</v>
      </c>
      <c r="H96" s="194"/>
      <c r="I96" s="195"/>
      <c r="J96" s="193" t="str">
        <f>TEXT($G$1, "[$-ko-KR]yyyy-mm-dd(ddd) ") &amp; "오후 21:00"</f>
        <v>2022-03-01(화) 오후 21:00</v>
      </c>
      <c r="K96" s="194"/>
      <c r="L96" s="195"/>
      <c r="M96" s="193" t="str">
        <f>TEXT($G$1+1, "[$-ko-KR]yyyy-mm-dd(ddd) ") &amp; "오전 00:00"</f>
        <v>2022-03-02(수)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154</v>
      </c>
      <c r="B98" s="124">
        <v>15450</v>
      </c>
      <c r="C98" s="76">
        <v>0.11956521740000001</v>
      </c>
      <c r="D98" s="13">
        <v>20900</v>
      </c>
      <c r="E98" s="14">
        <f>IF(ISNUMBER(D98), (D98 - $B98) / $B98, "")</f>
        <v>0.35275080906148865</v>
      </c>
      <c r="F98" s="16">
        <f>IF(ISNUMBER(D98), $B118 * E98, "")</f>
        <v>52912.621359223296</v>
      </c>
      <c r="G98" s="29">
        <v>20290</v>
      </c>
      <c r="H98" s="14">
        <f>IF(ISNUMBER(G98), (G98 - $B98) / $B98, "")</f>
        <v>0.31326860841423948</v>
      </c>
      <c r="I98" s="100">
        <f>IF(ISNUMBER(G98), $B118 * H98, "")</f>
        <v>46990.291262135921</v>
      </c>
      <c r="J98" s="13">
        <v>20690</v>
      </c>
      <c r="K98" s="14">
        <f>IF(ISNUMBER(J98), (J98 - $B98) / $B98, "")</f>
        <v>0.33915857605177996</v>
      </c>
      <c r="L98" s="16">
        <f>IF(ISNUMBER(J98), $B118 * K98, "")</f>
        <v>50873.786407766995</v>
      </c>
      <c r="M98" s="29">
        <v>21220</v>
      </c>
      <c r="N98" s="14">
        <f>IF(ISNUMBER(M98), (M98 - $B98) / $B98, "")</f>
        <v>0.37346278317152104</v>
      </c>
      <c r="O98" s="16">
        <f>IF(ISNUMBER(M98), $B118 * N98, "")</f>
        <v>56019.417475728158</v>
      </c>
      <c r="Q98" s="191"/>
      <c r="R98" s="191"/>
      <c r="S98" s="191"/>
    </row>
    <row r="99" spans="1:19" ht="17.25" thickBot="1">
      <c r="A99" s="125" t="s">
        <v>325</v>
      </c>
      <c r="B99" s="126">
        <v>115750</v>
      </c>
      <c r="C99" s="77">
        <v>9.8197343500000006E-2</v>
      </c>
      <c r="D99" s="15">
        <v>117800</v>
      </c>
      <c r="E99" s="32">
        <f t="shared" ref="E99:E102" si="46">IF(ISNUMBER(D99), (D99 - $B99) / $B99, "")</f>
        <v>1.7710583153347732E-2</v>
      </c>
      <c r="F99" s="18">
        <f>IF(ISNUMBER(D99), $B118 * E99, "")</f>
        <v>2656.5874730021596</v>
      </c>
      <c r="G99" s="31">
        <v>116250</v>
      </c>
      <c r="H99" s="32">
        <f t="shared" ref="H99:H102" si="47">IF(ISNUMBER(G99), (G99 - $B99) / $B99, "")</f>
        <v>4.3196544276457886E-3</v>
      </c>
      <c r="I99" s="101">
        <f>IF(ISNUMBER(G99), $B118 * H99, "")</f>
        <v>647.94816414686829</v>
      </c>
      <c r="J99" s="15">
        <v>119250</v>
      </c>
      <c r="K99" s="32">
        <f t="shared" ref="K99:K102" si="48">IF(ISNUMBER(J99), (J99 - $B99) / $B99, "")</f>
        <v>3.0237580993520519E-2</v>
      </c>
      <c r="L99" s="18">
        <f>IF(ISNUMBER(J99), $B118 * K99, "")</f>
        <v>4535.6371490280781</v>
      </c>
      <c r="M99" s="31">
        <v>123550</v>
      </c>
      <c r="N99" s="32">
        <f t="shared" ref="N99:N102" si="49">IF(ISNUMBER(M99), (M99 - $B99) / $B99, "")</f>
        <v>6.7386609071274292E-2</v>
      </c>
      <c r="O99" s="18">
        <f>IF(ISNUMBER(M99), $B118 * N99, "")</f>
        <v>10107.991360691143</v>
      </c>
      <c r="Q99" s="191"/>
      <c r="R99" s="191"/>
      <c r="S99" s="191"/>
    </row>
    <row r="100" spans="1:19" ht="17.25" thickBot="1">
      <c r="A100" s="125" t="s">
        <v>85</v>
      </c>
      <c r="B100" s="126">
        <v>225</v>
      </c>
      <c r="C100" s="77">
        <v>9.7560975600000002E-2</v>
      </c>
      <c r="D100" s="15">
        <v>231</v>
      </c>
      <c r="E100" s="32">
        <f t="shared" si="46"/>
        <v>2.6666666666666668E-2</v>
      </c>
      <c r="F100" s="18">
        <f>IF(ISNUMBER(D100), $B118 * E100, "")</f>
        <v>4000.0000000000005</v>
      </c>
      <c r="G100" s="31">
        <v>227</v>
      </c>
      <c r="H100" s="32">
        <f t="shared" si="47"/>
        <v>8.8888888888888889E-3</v>
      </c>
      <c r="I100" s="101">
        <f>IF(ISNUMBER(G100), $B118 * H100, "")</f>
        <v>1333.3333333333333</v>
      </c>
      <c r="J100" s="15">
        <v>232</v>
      </c>
      <c r="K100" s="32">
        <f t="shared" si="48"/>
        <v>3.111111111111111E-2</v>
      </c>
      <c r="L100" s="18">
        <f>IF(ISNUMBER(J100), $B118 * K100, "")</f>
        <v>4666.666666666667</v>
      </c>
      <c r="M100" s="31">
        <v>241</v>
      </c>
      <c r="N100" s="32">
        <f t="shared" si="49"/>
        <v>7.1111111111111111E-2</v>
      </c>
      <c r="O100" s="18">
        <f>IF(ISNUMBER(M100), $B118 * N100, "")</f>
        <v>10666.666666666666</v>
      </c>
      <c r="Q100" s="196"/>
      <c r="R100" s="196"/>
      <c r="S100" s="196"/>
    </row>
    <row r="101" spans="1:19" ht="17.25" thickBot="1">
      <c r="A101" s="125" t="s">
        <v>81</v>
      </c>
      <c r="B101" s="126">
        <v>1130</v>
      </c>
      <c r="C101" s="77">
        <v>6.6037735799999997E-2</v>
      </c>
      <c r="D101" s="15">
        <v>1180</v>
      </c>
      <c r="E101" s="32">
        <f t="shared" si="46"/>
        <v>4.4247787610619468E-2</v>
      </c>
      <c r="F101" s="18">
        <f>IF(ISNUMBER(D101), $B118 * E101, "")</f>
        <v>6637.1681415929206</v>
      </c>
      <c r="G101" s="31">
        <v>1165</v>
      </c>
      <c r="H101" s="32">
        <f t="shared" si="47"/>
        <v>3.0973451327433628E-2</v>
      </c>
      <c r="I101" s="101">
        <f>IF(ISNUMBER(G101), $B118 * H101, "")</f>
        <v>4646.0176991150438</v>
      </c>
      <c r="J101" s="15">
        <v>1180</v>
      </c>
      <c r="K101" s="32">
        <f t="shared" si="48"/>
        <v>4.4247787610619468E-2</v>
      </c>
      <c r="L101" s="18">
        <f>IF(ISNUMBER(J101), $B118 * K101, "")</f>
        <v>6637.1681415929206</v>
      </c>
      <c r="M101" s="31">
        <v>1170</v>
      </c>
      <c r="N101" s="32">
        <f t="shared" si="49"/>
        <v>3.5398230088495575E-2</v>
      </c>
      <c r="O101" s="18">
        <f>IF(ISNUMBER(M101), $B118 * N101, "")</f>
        <v>5309.7345132743358</v>
      </c>
      <c r="Q101" s="196"/>
      <c r="R101" s="196"/>
      <c r="S101" s="196"/>
    </row>
    <row r="102" spans="1:19" ht="17.25" thickBot="1">
      <c r="A102" s="127" t="s">
        <v>327</v>
      </c>
      <c r="B102" s="128">
        <v>698</v>
      </c>
      <c r="C102" s="78">
        <v>6.2404870600000002E-2</v>
      </c>
      <c r="D102" s="20">
        <v>721</v>
      </c>
      <c r="E102" s="21">
        <f t="shared" si="46"/>
        <v>3.2951289398280799E-2</v>
      </c>
      <c r="F102" s="22">
        <f>IF(ISNUMBER(D102), $B118 * E102, "")</f>
        <v>4942.6934097421199</v>
      </c>
      <c r="G102" s="30">
        <v>729</v>
      </c>
      <c r="H102" s="21">
        <f t="shared" si="47"/>
        <v>4.4412607449856735E-2</v>
      </c>
      <c r="I102" s="105">
        <f>IF(ISNUMBER(G102), $B118 * H102, "")</f>
        <v>6661.8911174785098</v>
      </c>
      <c r="J102" s="20">
        <v>730</v>
      </c>
      <c r="K102" s="21">
        <f t="shared" si="48"/>
        <v>4.5845272206303724E-2</v>
      </c>
      <c r="L102" s="22">
        <f>IF(ISNUMBER(J102), $B118 * K102, "")</f>
        <v>6876.7908309455588</v>
      </c>
      <c r="M102" s="30">
        <v>794</v>
      </c>
      <c r="N102" s="21">
        <f t="shared" si="49"/>
        <v>0.13753581661891118</v>
      </c>
      <c r="O102" s="22">
        <f>IF(ISNUMBER(M102), $B118 * N102, "")</f>
        <v>20630.372492836676</v>
      </c>
      <c r="Q102" s="196"/>
      <c r="R102" s="196"/>
      <c r="S102" s="196"/>
    </row>
    <row r="103" spans="1:19" ht="17.25" thickBot="1">
      <c r="A103" s="125" t="s">
        <v>73</v>
      </c>
      <c r="B103" s="129">
        <v>34900</v>
      </c>
      <c r="C103" s="80">
        <v>5.7896332199999997E-2</v>
      </c>
      <c r="D103" s="106">
        <v>38320</v>
      </c>
      <c r="E103" s="107">
        <f>IF(ISNUMBER(D103), (D103 - $B103) / $B103, "")</f>
        <v>9.7994269340974216E-2</v>
      </c>
      <c r="F103" s="108">
        <f>IF(ISNUMBER(D103), $B118 * E103, "")</f>
        <v>14699.140401146133</v>
      </c>
      <c r="G103" s="109">
        <v>37730</v>
      </c>
      <c r="H103" s="107">
        <f>IF(ISNUMBER(G103), (G103 - $B103) / $B103, "")</f>
        <v>8.1088825214899712E-2</v>
      </c>
      <c r="I103" s="110">
        <f>IF(ISNUMBER(G103), $B118 * H103, "")</f>
        <v>12163.323782234957</v>
      </c>
      <c r="J103" s="106">
        <v>38520</v>
      </c>
      <c r="K103" s="107">
        <f>IF(ISNUMBER(J103), (J103 - $B103) / $B103, "")</f>
        <v>0.10372492836676218</v>
      </c>
      <c r="L103" s="108">
        <f>IF(ISNUMBER(J103), $B118 * K103, "")</f>
        <v>15558.739255014327</v>
      </c>
      <c r="M103" s="109">
        <v>36880</v>
      </c>
      <c r="N103" s="107">
        <f>IF(ISNUMBER(M103), (M103 - $B103) / $B103, "")</f>
        <v>5.6733524355300859E-2</v>
      </c>
      <c r="O103" s="108">
        <f>IF(ISNUMBER(M103), $B118 * N103, "")</f>
        <v>8510.0286532951286</v>
      </c>
      <c r="Q103" s="196"/>
      <c r="R103" s="196"/>
      <c r="S103" s="196"/>
    </row>
    <row r="104" spans="1:19" ht="17.25" thickBot="1">
      <c r="A104" s="125" t="s">
        <v>77</v>
      </c>
      <c r="B104" s="126">
        <v>394700</v>
      </c>
      <c r="C104" s="77">
        <v>5.7184947100000001E-2</v>
      </c>
      <c r="D104" s="15">
        <v>400100</v>
      </c>
      <c r="E104" s="32">
        <f t="shared" ref="E104:E107" si="50">IF(ISNUMBER(D104), (D104 - $B104) / $B104, "")</f>
        <v>1.3681276919179123E-2</v>
      </c>
      <c r="F104" s="18">
        <f>IF(ISNUMBER(D104), $B118 * E104, "")</f>
        <v>2052.1915378768686</v>
      </c>
      <c r="G104" s="31">
        <v>393650</v>
      </c>
      <c r="H104" s="32">
        <f t="shared" ref="H104:H107" si="51">IF(ISNUMBER(G104), (G104 - $B104) / $B104, "")</f>
        <v>-2.6602482898403852E-3</v>
      </c>
      <c r="I104" s="101">
        <f>IF(ISNUMBER(G104), $B118 * H104, "")</f>
        <v>-399.03724347605777</v>
      </c>
      <c r="J104" s="15">
        <v>400750</v>
      </c>
      <c r="K104" s="32">
        <f t="shared" ref="K104:K107" si="52">IF(ISNUMBER(J104), (J104 - $B104) / $B104, "")</f>
        <v>1.5328097289080314E-2</v>
      </c>
      <c r="L104" s="18">
        <f>IF(ISNUMBER(J104), $B118 * K104, "")</f>
        <v>2299.2145933620473</v>
      </c>
      <c r="M104" s="31">
        <v>392600</v>
      </c>
      <c r="N104" s="32">
        <f t="shared" ref="N104:N107" si="53">IF(ISNUMBER(M104), (M104 - $B104) / $B104, "")</f>
        <v>-5.3204965796807705E-3</v>
      </c>
      <c r="O104" s="18">
        <f>IF(ISNUMBER(M104), $B118 * N104, "")</f>
        <v>-798.07448695211554</v>
      </c>
      <c r="Q104" s="196"/>
      <c r="R104" s="196"/>
      <c r="S104" s="196"/>
    </row>
    <row r="105" spans="1:19" ht="17.25" thickBot="1">
      <c r="A105" s="125" t="s">
        <v>329</v>
      </c>
      <c r="B105" s="126">
        <v>97590</v>
      </c>
      <c r="C105" s="77">
        <v>5.6969565700000002E-2</v>
      </c>
      <c r="D105" s="15">
        <v>105900</v>
      </c>
      <c r="E105" s="32">
        <f t="shared" si="50"/>
        <v>8.5152167230249001E-2</v>
      </c>
      <c r="F105" s="18">
        <f>IF(ISNUMBER(D105), $B118 * E105, "")</f>
        <v>12772.82508453735</v>
      </c>
      <c r="G105" s="31">
        <v>103000</v>
      </c>
      <c r="H105" s="32">
        <f t="shared" si="51"/>
        <v>5.5436007787683164E-2</v>
      </c>
      <c r="I105" s="101">
        <f>IF(ISNUMBER(G105), $B118 * H105, "")</f>
        <v>8315.4011681524753</v>
      </c>
      <c r="J105" s="15">
        <v>105450</v>
      </c>
      <c r="K105" s="32">
        <f t="shared" si="52"/>
        <v>8.0541039040885332E-2</v>
      </c>
      <c r="L105" s="18">
        <f>IF(ISNUMBER(J105), $B118 * K105, "")</f>
        <v>12081.1558561328</v>
      </c>
      <c r="M105" s="31">
        <v>104550</v>
      </c>
      <c r="N105" s="32">
        <f t="shared" si="53"/>
        <v>7.1318782662158006E-2</v>
      </c>
      <c r="O105" s="18">
        <f>IF(ISNUMBER(M105), $B118 * N105, "")</f>
        <v>10697.817399323701</v>
      </c>
      <c r="Q105" s="196"/>
      <c r="R105" s="196"/>
      <c r="S105" s="196"/>
    </row>
    <row r="106" spans="1:19" ht="17.25" thickBot="1">
      <c r="A106" s="125" t="s">
        <v>211</v>
      </c>
      <c r="B106" s="126">
        <v>8.01</v>
      </c>
      <c r="C106" s="77">
        <v>5.6728232199999999E-2</v>
      </c>
      <c r="D106" s="15">
        <v>7.84</v>
      </c>
      <c r="E106" s="32">
        <f t="shared" si="50"/>
        <v>-2.1223470661672902E-2</v>
      </c>
      <c r="F106" s="18">
        <f>IF(ISNUMBER(D106), $B118 * E106, "")</f>
        <v>-3183.5205992509354</v>
      </c>
      <c r="G106" s="31">
        <v>7.82</v>
      </c>
      <c r="H106" s="32">
        <f t="shared" si="51"/>
        <v>-2.3720349563046132E-2</v>
      </c>
      <c r="I106" s="101">
        <f>IF(ISNUMBER(G106), $B118 * H106, "")</f>
        <v>-3558.0524344569199</v>
      </c>
      <c r="J106" s="15">
        <v>7.9</v>
      </c>
      <c r="K106" s="32">
        <f t="shared" si="52"/>
        <v>-1.3732833957552988E-2</v>
      </c>
      <c r="L106" s="18">
        <f>IF(ISNUMBER(J106), $B118 * K106, "")</f>
        <v>-2059.9250936329481</v>
      </c>
      <c r="M106" s="31">
        <v>7.82</v>
      </c>
      <c r="N106" s="32">
        <f t="shared" si="53"/>
        <v>-2.3720349563046132E-2</v>
      </c>
      <c r="O106" s="18">
        <f>IF(ISNUMBER(M106), $B118 * N106, "")</f>
        <v>-3558.0524344569199</v>
      </c>
      <c r="Q106" s="33"/>
      <c r="R106" s="33"/>
    </row>
    <row r="107" spans="1:19" ht="17.25" thickBot="1">
      <c r="A107" s="130" t="s">
        <v>193</v>
      </c>
      <c r="B107" s="131">
        <v>7445</v>
      </c>
      <c r="C107" s="79">
        <v>5.4532577899999997E-2</v>
      </c>
      <c r="D107" s="24">
        <v>7870</v>
      </c>
      <c r="E107" s="25">
        <f t="shared" si="50"/>
        <v>5.7085292142377432E-2</v>
      </c>
      <c r="F107" s="104">
        <f>IF(ISNUMBER(D107), $B118 * E107, "")</f>
        <v>8562.793821356614</v>
      </c>
      <c r="G107" s="102">
        <v>7875</v>
      </c>
      <c r="H107" s="25">
        <f t="shared" si="51"/>
        <v>5.7756883814640697E-2</v>
      </c>
      <c r="I107" s="103">
        <f>IF(ISNUMBER(G107), $B118 * H107, "")</f>
        <v>8663.5325721961053</v>
      </c>
      <c r="J107" s="24">
        <v>8015</v>
      </c>
      <c r="K107" s="25">
        <f t="shared" si="52"/>
        <v>7.6561450638012091E-2</v>
      </c>
      <c r="L107" s="104">
        <f>IF(ISNUMBER(J107), $B118 * K107, "")</f>
        <v>11484.217595701813</v>
      </c>
      <c r="M107" s="102">
        <v>7780</v>
      </c>
      <c r="N107" s="25">
        <f t="shared" si="53"/>
        <v>4.4996642041638682E-2</v>
      </c>
      <c r="O107" s="104">
        <f>IF(ISNUMBER(M107), $B118 * N107, "")</f>
        <v>6749.4963062458019</v>
      </c>
      <c r="Q107" s="205"/>
      <c r="R107" s="206"/>
      <c r="S107" s="207"/>
    </row>
    <row r="108" spans="1:19">
      <c r="A108" s="123" t="s">
        <v>331</v>
      </c>
      <c r="B108" s="124">
        <v>1035</v>
      </c>
      <c r="C108" s="76">
        <v>5.3971486800000003E-2</v>
      </c>
      <c r="D108" s="13">
        <v>1045</v>
      </c>
      <c r="E108" s="14">
        <f>IF(ISNUMBER(D108), (D108 - $B108) / $B108, "")</f>
        <v>9.6618357487922701E-3</v>
      </c>
      <c r="F108" s="16">
        <f>IF(ISNUMBER(D108), $B118 * E108, "")</f>
        <v>1449.2753623188405</v>
      </c>
      <c r="G108" s="29">
        <v>1030</v>
      </c>
      <c r="H108" s="14">
        <f>IF(ISNUMBER(G108), (G108 - $B108) / $B108, "")</f>
        <v>-4.830917874396135E-3</v>
      </c>
      <c r="I108" s="100">
        <f>IF(ISNUMBER(G108), $B118 * H108, "")</f>
        <v>-724.63768115942025</v>
      </c>
      <c r="J108" s="13">
        <v>1050</v>
      </c>
      <c r="K108" s="14">
        <f>IF(ISNUMBER(J108), (J108 - $B108) / $B108, "")</f>
        <v>1.4492753623188406E-2</v>
      </c>
      <c r="L108" s="16">
        <f>IF(ISNUMBER(J108), $B118 * K108, "")</f>
        <v>2173.913043478261</v>
      </c>
      <c r="M108" s="29">
        <v>1010</v>
      </c>
      <c r="N108" s="14">
        <f>IF(ISNUMBER(M108), (M108 - $B108) / $B108, "")</f>
        <v>-2.4154589371980676E-2</v>
      </c>
      <c r="O108" s="16">
        <f>IF(ISNUMBER(M108), $B118 * N108, "")</f>
        <v>-3623.1884057971015</v>
      </c>
      <c r="Q108" s="208"/>
      <c r="R108" s="209"/>
      <c r="S108" s="210"/>
    </row>
    <row r="109" spans="1:19" ht="17.25" thickBot="1">
      <c r="A109" s="125" t="s">
        <v>333</v>
      </c>
      <c r="B109" s="126">
        <v>170350</v>
      </c>
      <c r="C109" s="77">
        <v>5.1218759599999997E-2</v>
      </c>
      <c r="D109" s="15">
        <v>172700</v>
      </c>
      <c r="E109" s="32">
        <f t="shared" ref="E109:E112" si="54">IF(ISNUMBER(D109), (D109 - $B109) / $B109, "")</f>
        <v>1.3795127678309363E-2</v>
      </c>
      <c r="F109" s="18">
        <f>IF(ISNUMBER(D109), $B118 * E109, "")</f>
        <v>2069.2691517464045</v>
      </c>
      <c r="G109" s="31">
        <v>171000</v>
      </c>
      <c r="H109" s="32">
        <f t="shared" ref="H109:H112" si="55">IF(ISNUMBER(G109), (G109 - $B109) / $B109, "")</f>
        <v>3.8156736131493983E-3</v>
      </c>
      <c r="I109" s="101">
        <f>IF(ISNUMBER(G109), $B118 * H109, "")</f>
        <v>572.3510419724098</v>
      </c>
      <c r="J109" s="15">
        <v>174600</v>
      </c>
      <c r="K109" s="32">
        <f t="shared" ref="K109:K112" si="56">IF(ISNUMBER(J109), (J109 - $B109) / $B109, "")</f>
        <v>2.4948635162899913E-2</v>
      </c>
      <c r="L109" s="18">
        <f>IF(ISNUMBER(J109), $B118 * K109, "")</f>
        <v>3742.2952744349868</v>
      </c>
      <c r="M109" s="31">
        <v>171750</v>
      </c>
      <c r="N109" s="32">
        <f t="shared" ref="N109:N112" si="57">IF(ISNUMBER(M109), (M109 - $B109) / $B109, "")</f>
        <v>8.2183739360140885E-3</v>
      </c>
      <c r="O109" s="18">
        <f>IF(ISNUMBER(M109), $B118 * N109, "")</f>
        <v>1232.7560904021132</v>
      </c>
      <c r="Q109" s="211"/>
      <c r="R109" s="212"/>
      <c r="S109" s="213"/>
    </row>
    <row r="110" spans="1:19" ht="17.25" thickBot="1">
      <c r="A110" s="125" t="s">
        <v>49</v>
      </c>
      <c r="B110" s="126">
        <v>48642000</v>
      </c>
      <c r="C110" s="77">
        <v>4.9268734600000003E-2</v>
      </c>
      <c r="D110" s="15">
        <v>52377000</v>
      </c>
      <c r="E110" s="32">
        <f t="shared" si="54"/>
        <v>7.6785494017515721E-2</v>
      </c>
      <c r="F110" s="18">
        <f>IF(ISNUMBER(D110), $B118 * E110, "")</f>
        <v>11517.824102627359</v>
      </c>
      <c r="G110" s="31">
        <v>52330000</v>
      </c>
      <c r="H110" s="32">
        <f t="shared" si="55"/>
        <v>7.5819250853172163E-2</v>
      </c>
      <c r="I110" s="101">
        <f>IF(ISNUMBER(G110), $B118 * H110, "")</f>
        <v>11372.887627975824</v>
      </c>
      <c r="J110" s="15">
        <v>53679000</v>
      </c>
      <c r="K110" s="32">
        <f t="shared" si="56"/>
        <v>0.10355248550635253</v>
      </c>
      <c r="L110" s="18">
        <f>IF(ISNUMBER(J110), $B118 * K110, "")</f>
        <v>15532.87282595288</v>
      </c>
      <c r="M110" s="31">
        <v>53299000</v>
      </c>
      <c r="N110" s="32">
        <f t="shared" si="57"/>
        <v>9.5740306730808772E-2</v>
      </c>
      <c r="O110" s="18">
        <f>IF(ISNUMBER(M110), $B118 * N110, "")</f>
        <v>14361.046009621316</v>
      </c>
      <c r="Q110" s="196"/>
      <c r="R110" s="196"/>
      <c r="S110" s="196"/>
    </row>
    <row r="111" spans="1:19" ht="17.25" thickBot="1">
      <c r="A111" s="125" t="s">
        <v>118</v>
      </c>
      <c r="B111" s="126">
        <v>17.3</v>
      </c>
      <c r="C111" s="77">
        <v>4.8484848499999997E-2</v>
      </c>
      <c r="D111" s="15">
        <v>18.5</v>
      </c>
      <c r="E111" s="32">
        <f t="shared" si="54"/>
        <v>6.9364161849710934E-2</v>
      </c>
      <c r="F111" s="18">
        <f>IF(ISNUMBER(D111), $B118 * E111, "")</f>
        <v>10404.62427745664</v>
      </c>
      <c r="G111" s="31">
        <v>18.399999999999999</v>
      </c>
      <c r="H111" s="32">
        <f t="shared" si="55"/>
        <v>6.3583815028901605E-2</v>
      </c>
      <c r="I111" s="101">
        <f>IF(ISNUMBER(G111), $B118 * H111, "")</f>
        <v>9537.5722543352404</v>
      </c>
      <c r="J111" s="15">
        <v>18.8</v>
      </c>
      <c r="K111" s="32">
        <f t="shared" si="56"/>
        <v>8.6705202312138727E-2</v>
      </c>
      <c r="L111" s="18">
        <f>IF(ISNUMBER(J111), $B118 * K111, "")</f>
        <v>13005.780346820809</v>
      </c>
      <c r="M111" s="31">
        <v>18.2</v>
      </c>
      <c r="N111" s="32">
        <f t="shared" si="57"/>
        <v>5.2023121387283155E-2</v>
      </c>
      <c r="O111" s="18">
        <f>IF(ISNUMBER(M111), $B118 * N111, "")</f>
        <v>7803.4682080924731</v>
      </c>
      <c r="Q111" s="191"/>
      <c r="R111" s="191"/>
      <c r="S111" s="191"/>
    </row>
    <row r="112" spans="1:19" ht="17.25" thickBot="1">
      <c r="A112" s="127" t="s">
        <v>93</v>
      </c>
      <c r="B112" s="128">
        <v>3372000</v>
      </c>
      <c r="C112" s="78">
        <v>4.8181535599999999E-2</v>
      </c>
      <c r="D112" s="20">
        <v>3534000</v>
      </c>
      <c r="E112" s="21">
        <f t="shared" si="54"/>
        <v>4.8042704626334518E-2</v>
      </c>
      <c r="F112" s="22">
        <f>IF(ISNUMBER(D112), $B118 * E112, "")</f>
        <v>7206.4056939501779</v>
      </c>
      <c r="G112" s="30">
        <v>3490000</v>
      </c>
      <c r="H112" s="21">
        <f t="shared" si="55"/>
        <v>3.4994068801897982E-2</v>
      </c>
      <c r="I112" s="105">
        <f>IF(ISNUMBER(G112), $B118 * H112, "")</f>
        <v>5249.1103202846971</v>
      </c>
      <c r="J112" s="20">
        <v>3557000</v>
      </c>
      <c r="K112" s="21">
        <f t="shared" si="56"/>
        <v>5.4863582443653615E-2</v>
      </c>
      <c r="L112" s="22">
        <f>IF(ISNUMBER(J112), $B118 * K112, "")</f>
        <v>8229.537366548042</v>
      </c>
      <c r="M112" s="30">
        <v>3596000</v>
      </c>
      <c r="N112" s="21">
        <f t="shared" si="57"/>
        <v>6.6429418742585997E-2</v>
      </c>
      <c r="O112" s="22">
        <f>IF(ISNUMBER(M112), $B118 * N112, "")</f>
        <v>9964.4128113878996</v>
      </c>
      <c r="Q112" s="191"/>
      <c r="R112" s="191"/>
      <c r="S112" s="191"/>
    </row>
    <row r="113" spans="1:19" ht="17.25" thickBot="1">
      <c r="A113" s="125" t="s">
        <v>103</v>
      </c>
      <c r="B113" s="129">
        <v>672</v>
      </c>
      <c r="C113" s="80">
        <v>4.6728972000000001E-2</v>
      </c>
      <c r="D113" s="106">
        <v>694</v>
      </c>
      <c r="E113" s="107">
        <f>IF(ISNUMBER(D113), (D113 - $B113) / $B113, "")</f>
        <v>3.273809523809524E-2</v>
      </c>
      <c r="F113" s="108">
        <f>IF(ISNUMBER(D113), $B118 * E113, "")</f>
        <v>4910.7142857142862</v>
      </c>
      <c r="G113" s="109">
        <v>686</v>
      </c>
      <c r="H113" s="107">
        <f>IF(ISNUMBER(G113), (G113 - $B113) / $B113, "")</f>
        <v>2.0833333333333332E-2</v>
      </c>
      <c r="I113" s="110">
        <f>IF(ISNUMBER(G113), $B118 * H113, "")</f>
        <v>3125</v>
      </c>
      <c r="J113" s="106">
        <v>700</v>
      </c>
      <c r="K113" s="107">
        <f>IF(ISNUMBER(J113), (J113 - $B113) / $B113, "")</f>
        <v>4.1666666666666664E-2</v>
      </c>
      <c r="L113" s="108">
        <f>IF(ISNUMBER(J113), $B118 * K113, "")</f>
        <v>6250</v>
      </c>
      <c r="M113" s="109">
        <v>674</v>
      </c>
      <c r="N113" s="107">
        <f>IF(ISNUMBER(M113), (M113 - $B113) / $B113, "")</f>
        <v>2.976190476190476E-3</v>
      </c>
      <c r="O113" s="108">
        <f>IF(ISNUMBER(M113), $B118 * N113, "")</f>
        <v>446.42857142857139</v>
      </c>
      <c r="Q113" s="196"/>
      <c r="R113" s="196"/>
      <c r="S113" s="196"/>
    </row>
    <row r="114" spans="1:19" ht="17.25" thickBot="1">
      <c r="A114" s="125" t="s">
        <v>79</v>
      </c>
      <c r="B114" s="126">
        <v>860</v>
      </c>
      <c r="C114" s="77">
        <v>4.6228710499999999E-2</v>
      </c>
      <c r="D114" s="15">
        <v>902</v>
      </c>
      <c r="E114" s="32">
        <f t="shared" ref="E114:E117" si="58">IF(ISNUMBER(D114), (D114 - $B114) / $B114, "")</f>
        <v>4.8837209302325581E-2</v>
      </c>
      <c r="F114" s="18">
        <f>IF(ISNUMBER(D114), $B118 * E114, "")</f>
        <v>7325.5813953488368</v>
      </c>
      <c r="G114" s="31">
        <v>892</v>
      </c>
      <c r="H114" s="32">
        <f t="shared" ref="H114:H117" si="59">IF(ISNUMBER(G114), (G114 - $B114) / $B114, "")</f>
        <v>3.7209302325581395E-2</v>
      </c>
      <c r="I114" s="101">
        <f>IF(ISNUMBER(G114), $B118 * H114, "")</f>
        <v>5581.395348837209</v>
      </c>
      <c r="J114" s="15">
        <v>915</v>
      </c>
      <c r="K114" s="32">
        <f t="shared" ref="K114:K117" si="60">IF(ISNUMBER(J114), (J114 - $B114) / $B114, "")</f>
        <v>6.3953488372093026E-2</v>
      </c>
      <c r="L114" s="18">
        <f>IF(ISNUMBER(J114), $B118 * K114, "")</f>
        <v>9593.0232558139542</v>
      </c>
      <c r="M114" s="31">
        <v>897</v>
      </c>
      <c r="N114" s="32">
        <f t="shared" ref="N114:N117" si="61">IF(ISNUMBER(M114), (M114 - $B114) / $B114, "")</f>
        <v>4.3023255813953491E-2</v>
      </c>
      <c r="O114" s="18">
        <f>IF(ISNUMBER(M114), $B118 * N114, "")</f>
        <v>6453.4883720930238</v>
      </c>
      <c r="Q114" s="196"/>
      <c r="R114" s="196"/>
      <c r="S114" s="196"/>
    </row>
    <row r="115" spans="1:19" ht="17.25" thickBot="1">
      <c r="A115" s="125" t="s">
        <v>142</v>
      </c>
      <c r="B115" s="126">
        <v>1645</v>
      </c>
      <c r="C115" s="77">
        <v>4.4444444399999998E-2</v>
      </c>
      <c r="D115" s="15">
        <v>1715</v>
      </c>
      <c r="E115" s="32">
        <f t="shared" si="58"/>
        <v>4.2553191489361701E-2</v>
      </c>
      <c r="F115" s="18">
        <f>IF(ISNUMBER(D115), $B118 * E115, "")</f>
        <v>6382.9787234042551</v>
      </c>
      <c r="G115" s="31">
        <v>1705</v>
      </c>
      <c r="H115" s="32">
        <f t="shared" si="59"/>
        <v>3.64741641337386E-2</v>
      </c>
      <c r="I115" s="101">
        <f>IF(ISNUMBER(G115), $B118 * H115, "")</f>
        <v>5471.1246200607902</v>
      </c>
      <c r="J115" s="15">
        <v>1735</v>
      </c>
      <c r="K115" s="32">
        <f t="shared" si="60"/>
        <v>5.4711246200607903E-2</v>
      </c>
      <c r="L115" s="18">
        <f>IF(ISNUMBER(J115), $B118 * K115, "")</f>
        <v>8206.6869300911858</v>
      </c>
      <c r="M115" s="31">
        <v>1690</v>
      </c>
      <c r="N115" s="32">
        <f t="shared" si="61"/>
        <v>2.7355623100303952E-2</v>
      </c>
      <c r="O115" s="18">
        <f>IF(ISNUMBER(M115), $B118 * N115, "")</f>
        <v>4103.3434650455929</v>
      </c>
      <c r="Q115" s="196"/>
      <c r="R115" s="196"/>
      <c r="S115" s="196"/>
    </row>
    <row r="116" spans="1:19">
      <c r="A116" s="125" t="s">
        <v>152</v>
      </c>
      <c r="B116" s="126">
        <v>1770</v>
      </c>
      <c r="C116" s="77">
        <v>4.4247787599999998E-2</v>
      </c>
      <c r="D116" s="15">
        <v>1880</v>
      </c>
      <c r="E116" s="32">
        <f t="shared" si="58"/>
        <v>6.2146892655367235E-2</v>
      </c>
      <c r="F116" s="18">
        <f>IF(ISNUMBER(D116), $B118 * E116, "")</f>
        <v>9322.033898305086</v>
      </c>
      <c r="G116" s="31">
        <v>1860</v>
      </c>
      <c r="H116" s="32">
        <f t="shared" si="59"/>
        <v>5.0847457627118647E-2</v>
      </c>
      <c r="I116" s="101">
        <f>IF(ISNUMBER(G116), $B118 * H116, "")</f>
        <v>7627.1186440677975</v>
      </c>
      <c r="J116" s="15">
        <v>1900</v>
      </c>
      <c r="K116" s="32">
        <f t="shared" si="60"/>
        <v>7.3446327683615822E-2</v>
      </c>
      <c r="L116" s="18">
        <f>IF(ISNUMBER(J116), $B118 * K116, "")</f>
        <v>11016.949152542373</v>
      </c>
      <c r="M116" s="31">
        <v>1885</v>
      </c>
      <c r="N116" s="32">
        <f t="shared" si="61"/>
        <v>6.4971751412429377E-2</v>
      </c>
      <c r="O116" s="18">
        <f>IF(ISNUMBER(M116), $B118 * N116, "")</f>
        <v>9745.7627118644068</v>
      </c>
      <c r="Q116" s="218"/>
      <c r="R116" s="219"/>
      <c r="S116" s="220"/>
    </row>
    <row r="117" spans="1:19" ht="17.25" thickBot="1">
      <c r="A117" s="130" t="s">
        <v>97</v>
      </c>
      <c r="B117" s="131">
        <v>2.3999999999999998E-3</v>
      </c>
      <c r="C117" s="79">
        <v>4.3478260900000003E-2</v>
      </c>
      <c r="D117" s="24">
        <v>2.5000000000000001E-3</v>
      </c>
      <c r="E117" s="25">
        <f t="shared" si="58"/>
        <v>4.1666666666666782E-2</v>
      </c>
      <c r="F117" s="104">
        <f>IF(ISNUMBER(D117), $B118 * E117, "")</f>
        <v>6250.0000000000173</v>
      </c>
      <c r="G117" s="102">
        <v>2.3999999999999998E-3</v>
      </c>
      <c r="H117" s="25">
        <f t="shared" si="59"/>
        <v>0</v>
      </c>
      <c r="I117" s="103">
        <f>IF(ISNUMBER(G117), $B118 * H117, "")</f>
        <v>0</v>
      </c>
      <c r="J117" s="24">
        <v>2.5000000000000001E-3</v>
      </c>
      <c r="K117" s="25">
        <f t="shared" si="60"/>
        <v>4.1666666666666782E-2</v>
      </c>
      <c r="L117" s="104">
        <f>IF(ISNUMBER(J117), $B118 * K117, "")</f>
        <v>6250.0000000000173</v>
      </c>
      <c r="M117" s="102">
        <v>2.3999999999999998E-3</v>
      </c>
      <c r="N117" s="25">
        <f t="shared" si="61"/>
        <v>0</v>
      </c>
      <c r="O117" s="104">
        <f>IF(ISNUMBER(M117), $B118 * N117, "")</f>
        <v>0</v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5.7630402506699485E-2</v>
      </c>
      <c r="F118" s="28">
        <f>SUM(F98:F117)</f>
        <v>172891.20752009848</v>
      </c>
      <c r="G118" s="26" t="s">
        <v>266</v>
      </c>
      <c r="H118" s="27">
        <f>IF(COUNT(H98:H117), SUM(H98:H117) / COUNT(H98:H117), 0)</f>
        <v>4.4425523865744929E-2</v>
      </c>
      <c r="I118" s="28">
        <f>SUM(I98:I117)</f>
        <v>133276.57159723475</v>
      </c>
      <c r="J118" s="26" t="s">
        <v>266</v>
      </c>
      <c r="K118" s="27">
        <f>IF(COUNT(K98:K117), SUM(K98:K117) / COUNT(K98:K117), 0)</f>
        <v>6.5651503199420258E-2</v>
      </c>
      <c r="L118" s="28">
        <f>SUM(L98:L117)</f>
        <v>196954.50959826075</v>
      </c>
      <c r="M118" s="26" t="s">
        <v>266</v>
      </c>
      <c r="N118" s="27">
        <f>IF(COUNT(N98:N117), SUM(N98:N117) / COUNT(N98:N117), 0)</f>
        <v>5.8274305260263601E-2</v>
      </c>
      <c r="O118" s="28">
        <f>SUM(O98:O117)</f>
        <v>174822.91578079088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2022-03-01(화) 오전 00:00</v>
      </c>
      <c r="C123" s="234"/>
      <c r="D123" s="193" t="str">
        <f>TEXT($G$1, "[$-ko-KR]yyyy-mm-dd(ddd) ") &amp; "오후 14:00"</f>
        <v>2022-03-01(화) 오후 14:00</v>
      </c>
      <c r="E123" s="194"/>
      <c r="F123" s="195"/>
      <c r="G123" s="193" t="str">
        <f>TEXT($G$1, "[$-ko-KR]yyyy-mm-dd(ddd) ") &amp; "오후 19:00"</f>
        <v>2022-03-01(화) 오후 19:00</v>
      </c>
      <c r="H123" s="194"/>
      <c r="I123" s="195"/>
      <c r="J123" s="193" t="str">
        <f>TEXT($G$1, "[$-ko-KR]yyyy-mm-dd(ddd) ") &amp; "오후 21:00"</f>
        <v>2022-03-01(화) 오후 21:00</v>
      </c>
      <c r="K123" s="194"/>
      <c r="L123" s="195"/>
      <c r="M123" s="193" t="str">
        <f>TEXT($G$1+1, "[$-ko-KR]yyyy-mm-dd(ddd) ") &amp; "오전 00:00"</f>
        <v>2022-03-02(수)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245</v>
      </c>
      <c r="B125" s="124">
        <v>56.7</v>
      </c>
      <c r="C125" s="76">
        <v>3.65630713E-2</v>
      </c>
      <c r="D125" s="13">
        <v>65.2</v>
      </c>
      <c r="E125" s="14">
        <f>IF(ISNUMBER(D125), (D125 - $B125) / $B125, "")</f>
        <v>0.14991181657848324</v>
      </c>
      <c r="F125" s="16">
        <f>IF(ISNUMBER(D125), $B145 * E125, "")</f>
        <v>22486.772486772486</v>
      </c>
      <c r="G125" s="29">
        <v>64.5</v>
      </c>
      <c r="H125" s="14">
        <f>IF(ISNUMBER(G125), (G125 - $B125) / $B125, "")</f>
        <v>0.1375661375661375</v>
      </c>
      <c r="I125" s="100">
        <f>IF(ISNUMBER(G125), $B145 * H125, "")</f>
        <v>20634.920634920625</v>
      </c>
      <c r="J125" s="13">
        <v>65.3</v>
      </c>
      <c r="K125" s="14">
        <f>IF(ISNUMBER(J125), (J125 - $B125) / $B125, "")</f>
        <v>0.15167548500881822</v>
      </c>
      <c r="L125" s="16">
        <f>IF(ISNUMBER(J125), $B145 * K125, "")</f>
        <v>22751.322751322732</v>
      </c>
      <c r="M125" s="29">
        <v>59.3</v>
      </c>
      <c r="N125" s="14">
        <f>IF(ISNUMBER(M125), (M125 - $B125) / $B125, "")</f>
        <v>4.5855379188712422E-2</v>
      </c>
      <c r="O125" s="16">
        <f>IF(ISNUMBER(M125), $B145 * N125, "")</f>
        <v>6878.3068783068629</v>
      </c>
      <c r="Q125" s="191"/>
      <c r="R125" s="191"/>
      <c r="S125" s="191"/>
    </row>
    <row r="126" spans="1:19" ht="17.25" thickBot="1">
      <c r="A126" s="125" t="s">
        <v>124</v>
      </c>
      <c r="B126" s="126">
        <v>58.2</v>
      </c>
      <c r="C126" s="77">
        <v>3.55871886E-2</v>
      </c>
      <c r="D126" s="15">
        <v>63.6</v>
      </c>
      <c r="E126" s="32">
        <f t="shared" ref="E126:E129" si="62">IF(ISNUMBER(D126), (D126 - $B126) / $B126, "")</f>
        <v>9.2783505154639151E-2</v>
      </c>
      <c r="F126" s="18">
        <f>IF(ISNUMBER(D126), $B145 * E126, "")</f>
        <v>13917.525773195872</v>
      </c>
      <c r="G126" s="31">
        <v>63.1</v>
      </c>
      <c r="H126" s="32">
        <f t="shared" ref="H126:H129" si="63">IF(ISNUMBER(G126), (G126 - $B126) / $B126, "")</f>
        <v>8.419243986254292E-2</v>
      </c>
      <c r="I126" s="101">
        <f>IF(ISNUMBER(G126), $B145 * H126, "")</f>
        <v>12628.865979381439</v>
      </c>
      <c r="J126" s="15">
        <v>64.599999999999994</v>
      </c>
      <c r="K126" s="32">
        <f t="shared" ref="K126:K129" si="64">IF(ISNUMBER(J126), (J126 - $B126) / $B126, "")</f>
        <v>0.10996563573883146</v>
      </c>
      <c r="L126" s="18">
        <f>IF(ISNUMBER(J126), $B145 * K126, "")</f>
        <v>16494.845360824718</v>
      </c>
      <c r="M126" s="31">
        <v>63.2</v>
      </c>
      <c r="N126" s="32">
        <f t="shared" ref="N126:N129" si="65">IF(ISNUMBER(M126), (M126 - $B126) / $B126, "")</f>
        <v>8.5910652920962199E-2</v>
      </c>
      <c r="O126" s="18">
        <f>IF(ISNUMBER(M126), $B145 * N126, "")</f>
        <v>12886.59793814433</v>
      </c>
      <c r="Q126" s="191"/>
      <c r="R126" s="191"/>
      <c r="S126" s="191"/>
    </row>
    <row r="127" spans="1:19" ht="17.25" thickBot="1">
      <c r="A127" s="125" t="s">
        <v>140</v>
      </c>
      <c r="B127" s="126">
        <v>80.599999999999994</v>
      </c>
      <c r="C127" s="77">
        <v>3.4659820299999998E-2</v>
      </c>
      <c r="D127" s="15">
        <v>92.1</v>
      </c>
      <c r="E127" s="32">
        <f t="shared" si="62"/>
        <v>0.14267990074441689</v>
      </c>
      <c r="F127" s="18">
        <f>IF(ISNUMBER(D127), $B145 * E127, "")</f>
        <v>21401.985111662532</v>
      </c>
      <c r="G127" s="31">
        <v>90.5</v>
      </c>
      <c r="H127" s="32">
        <f t="shared" si="63"/>
        <v>0.12282878411910678</v>
      </c>
      <c r="I127" s="101">
        <f>IF(ISNUMBER(G127), $B145 * H127, "")</f>
        <v>18424.317617866018</v>
      </c>
      <c r="J127" s="15">
        <v>91.7</v>
      </c>
      <c r="K127" s="32">
        <f t="shared" si="64"/>
        <v>0.13771712158808944</v>
      </c>
      <c r="L127" s="18">
        <f>IF(ISNUMBER(J127), $B145 * K127, "")</f>
        <v>20657.568238213415</v>
      </c>
      <c r="M127" s="31">
        <v>89.9</v>
      </c>
      <c r="N127" s="32">
        <f t="shared" si="65"/>
        <v>0.11538461538461553</v>
      </c>
      <c r="O127" s="18">
        <f>IF(ISNUMBER(M127), $B145 * N127, "")</f>
        <v>17307.69230769233</v>
      </c>
      <c r="Q127" s="196"/>
      <c r="R127" s="196"/>
      <c r="S127" s="196"/>
    </row>
    <row r="128" spans="1:19" ht="17.25" thickBot="1">
      <c r="A128" s="125" t="s">
        <v>158</v>
      </c>
      <c r="B128" s="126">
        <v>65.2</v>
      </c>
      <c r="C128" s="77">
        <v>3.3280507100000002E-2</v>
      </c>
      <c r="D128" s="15">
        <v>70.099999999999994</v>
      </c>
      <c r="E128" s="32">
        <f t="shared" si="62"/>
        <v>7.5153374233128706E-2</v>
      </c>
      <c r="F128" s="18">
        <f>IF(ISNUMBER(D128), $B145 * E128, "")</f>
        <v>11273.006134969306</v>
      </c>
      <c r="G128" s="31">
        <v>68.900000000000006</v>
      </c>
      <c r="H128" s="32">
        <f t="shared" si="63"/>
        <v>5.6748466257668752E-2</v>
      </c>
      <c r="I128" s="101">
        <f>IF(ISNUMBER(G128), $B145 * H128, "")</f>
        <v>8512.2699386503136</v>
      </c>
      <c r="J128" s="15">
        <v>70.099999999999994</v>
      </c>
      <c r="K128" s="32">
        <f t="shared" si="64"/>
        <v>7.5153374233128706E-2</v>
      </c>
      <c r="L128" s="18">
        <f>IF(ISNUMBER(J128), $B145 * K128, "")</f>
        <v>11273.006134969306</v>
      </c>
      <c r="M128" s="31">
        <v>68</v>
      </c>
      <c r="N128" s="32">
        <f t="shared" si="65"/>
        <v>4.2944785276073573E-2</v>
      </c>
      <c r="O128" s="18">
        <f>IF(ISNUMBER(M128), $B145 * N128, "")</f>
        <v>6441.7177914110362</v>
      </c>
      <c r="Q128" s="196"/>
      <c r="R128" s="196"/>
      <c r="S128" s="196"/>
    </row>
    <row r="129" spans="1:19" ht="17.25" thickBot="1">
      <c r="A129" s="127" t="s">
        <v>128</v>
      </c>
      <c r="B129" s="128">
        <v>49.6</v>
      </c>
      <c r="C129" s="78">
        <v>3.1185031200000001E-2</v>
      </c>
      <c r="D129" s="20">
        <v>54.2</v>
      </c>
      <c r="E129" s="21">
        <f t="shared" si="62"/>
        <v>9.2741935483870996E-2</v>
      </c>
      <c r="F129" s="22">
        <f>IF(ISNUMBER(D129), $B145 * E129, "")</f>
        <v>13911.290322580649</v>
      </c>
      <c r="G129" s="30">
        <v>52.9</v>
      </c>
      <c r="H129" s="21">
        <f t="shared" si="63"/>
        <v>6.653225806451607E-2</v>
      </c>
      <c r="I129" s="105">
        <f>IF(ISNUMBER(G129), $B145 * H129, "")</f>
        <v>9979.8387096774113</v>
      </c>
      <c r="J129" s="20">
        <v>54.2</v>
      </c>
      <c r="K129" s="21">
        <f t="shared" si="64"/>
        <v>9.2741935483870996E-2</v>
      </c>
      <c r="L129" s="22">
        <f>IF(ISNUMBER(J129), $B145 * K129, "")</f>
        <v>13911.290322580649</v>
      </c>
      <c r="M129" s="30">
        <v>52.2</v>
      </c>
      <c r="N129" s="21">
        <f t="shared" si="65"/>
        <v>5.2419354838709707E-2</v>
      </c>
      <c r="O129" s="22">
        <f>IF(ISNUMBER(M129), $B145 * N129, "")</f>
        <v>7862.9032258064562</v>
      </c>
      <c r="Q129" s="196"/>
      <c r="R129" s="196"/>
      <c r="S129" s="196"/>
    </row>
    <row r="130" spans="1:19" ht="17.25" thickBot="1">
      <c r="A130" s="125" t="s">
        <v>341</v>
      </c>
      <c r="B130" s="129">
        <v>9.1999999999999998E-2</v>
      </c>
      <c r="C130" s="80">
        <v>3.0235162400000001E-2</v>
      </c>
      <c r="D130" s="106">
        <v>9.4799999999999995E-2</v>
      </c>
      <c r="E130" s="107">
        <f>IF(ISNUMBER(D130), (D130 - $B130) / $B130, "")</f>
        <v>3.0434782608695619E-2</v>
      </c>
      <c r="F130" s="108">
        <f>IF(ISNUMBER(D130), $B145 * E130, "")</f>
        <v>4565.2173913043425</v>
      </c>
      <c r="G130" s="109">
        <v>9.4399999999999998E-2</v>
      </c>
      <c r="H130" s="107">
        <f>IF(ISNUMBER(G130), (G130 - $B130) / $B130, "")</f>
        <v>2.6086956521739126E-2</v>
      </c>
      <c r="I130" s="110">
        <f>IF(ISNUMBER(G130), $B145 * H130, "")</f>
        <v>3913.0434782608691</v>
      </c>
      <c r="J130" s="106">
        <v>9.6100000000000005E-2</v>
      </c>
      <c r="K130" s="107">
        <f>IF(ISNUMBER(J130), (J130 - $B130) / $B130, "")</f>
        <v>4.4565217391304417E-2</v>
      </c>
      <c r="L130" s="108">
        <f>IF(ISNUMBER(J130), $B145 * K130, "")</f>
        <v>6684.7826086956629</v>
      </c>
      <c r="M130" s="109">
        <v>9.2899999999999996E-2</v>
      </c>
      <c r="N130" s="107">
        <f>IF(ISNUMBER(M130), (M130 - $B130) / $B130, "")</f>
        <v>9.7826086956521521E-3</v>
      </c>
      <c r="O130" s="108">
        <f>IF(ISNUMBER(M130), $B145 * N130, "")</f>
        <v>1467.3913043478228</v>
      </c>
      <c r="Q130" s="196"/>
      <c r="R130" s="196"/>
      <c r="S130" s="196"/>
    </row>
    <row r="131" spans="1:19" ht="17.25" thickBot="1">
      <c r="A131" s="125" t="s">
        <v>203</v>
      </c>
      <c r="B131" s="126">
        <v>7.92</v>
      </c>
      <c r="C131" s="77">
        <v>2.85714286E-2</v>
      </c>
      <c r="D131" s="15">
        <v>8.23</v>
      </c>
      <c r="E131" s="32">
        <f t="shared" ref="E131:E134" si="66">IF(ISNUMBER(D131), (D131 - $B131) / $B131, "")</f>
        <v>3.9141414141414206E-2</v>
      </c>
      <c r="F131" s="18">
        <f>IF(ISNUMBER(D131), $B145 * E131, "")</f>
        <v>5871.212121212131</v>
      </c>
      <c r="G131" s="31">
        <v>8.19</v>
      </c>
      <c r="H131" s="32">
        <f t="shared" ref="H131:H134" si="67">IF(ISNUMBER(G131), (G131 - $B131) / $B131, "")</f>
        <v>3.409090909090904E-2</v>
      </c>
      <c r="I131" s="101">
        <f>IF(ISNUMBER(G131), $B145 * H131, "")</f>
        <v>5113.6363636363558</v>
      </c>
      <c r="J131" s="15">
        <v>8.1999999999999993</v>
      </c>
      <c r="K131" s="32">
        <f t="shared" ref="K131:K134" si="68">IF(ISNUMBER(J131), (J131 - $B131) / $B131, "")</f>
        <v>3.5353535353535276E-2</v>
      </c>
      <c r="L131" s="18">
        <f>IF(ISNUMBER(J131), $B145 * K131, "")</f>
        <v>5303.0303030302912</v>
      </c>
      <c r="M131" s="31">
        <v>7.94</v>
      </c>
      <c r="N131" s="32">
        <f t="shared" ref="N131:N134" si="69">IF(ISNUMBER(M131), (M131 - $B131) / $B131, "")</f>
        <v>2.5252525252525836E-3</v>
      </c>
      <c r="O131" s="18">
        <f>IF(ISNUMBER(M131), $B145 * N131, "")</f>
        <v>378.78787878788756</v>
      </c>
      <c r="Q131" s="196"/>
      <c r="R131" s="196"/>
      <c r="S131" s="196"/>
    </row>
    <row r="132" spans="1:19" ht="17.25" thickBot="1">
      <c r="A132" s="125" t="s">
        <v>144</v>
      </c>
      <c r="B132" s="126">
        <v>11</v>
      </c>
      <c r="C132" s="77">
        <v>2.8037383200000002E-2</v>
      </c>
      <c r="D132" s="15">
        <v>11.7</v>
      </c>
      <c r="E132" s="32">
        <f t="shared" si="66"/>
        <v>6.3636363636363574E-2</v>
      </c>
      <c r="F132" s="18">
        <f>IF(ISNUMBER(D132), $B145 * E132, "")</f>
        <v>9545.4545454545369</v>
      </c>
      <c r="G132" s="31">
        <v>11.6</v>
      </c>
      <c r="H132" s="32">
        <f t="shared" si="67"/>
        <v>5.4545454545454515E-2</v>
      </c>
      <c r="I132" s="101">
        <f>IF(ISNUMBER(G132), $B145 * H132, "")</f>
        <v>8181.8181818181774</v>
      </c>
      <c r="J132" s="15">
        <v>11.8</v>
      </c>
      <c r="K132" s="32">
        <f t="shared" si="68"/>
        <v>7.2727272727272793E-2</v>
      </c>
      <c r="L132" s="18">
        <f>IF(ISNUMBER(J132), $B145 * K132, "")</f>
        <v>10909.090909090919</v>
      </c>
      <c r="M132" s="31">
        <v>11.6</v>
      </c>
      <c r="N132" s="32">
        <f t="shared" si="69"/>
        <v>5.4545454545454515E-2</v>
      </c>
      <c r="O132" s="18">
        <f>IF(ISNUMBER(M132), $B145 * N132, "")</f>
        <v>8181.8181818181774</v>
      </c>
      <c r="Q132" s="196"/>
      <c r="R132" s="196"/>
      <c r="S132" s="196"/>
    </row>
    <row r="133" spans="1:19" ht="17.25" thickBot="1">
      <c r="A133" s="125" t="s">
        <v>126</v>
      </c>
      <c r="B133" s="126">
        <v>80.900000000000006</v>
      </c>
      <c r="C133" s="77">
        <v>2.0176544800000001E-2</v>
      </c>
      <c r="D133" s="15">
        <v>83.4</v>
      </c>
      <c r="E133" s="32">
        <f t="shared" si="66"/>
        <v>3.0902348578491962E-2</v>
      </c>
      <c r="F133" s="18">
        <f>IF(ISNUMBER(D133), $B145 * E133, "")</f>
        <v>4635.3522867737947</v>
      </c>
      <c r="G133" s="31">
        <v>85</v>
      </c>
      <c r="H133" s="32">
        <f t="shared" si="67"/>
        <v>5.0679851668726753E-2</v>
      </c>
      <c r="I133" s="101">
        <f>IF(ISNUMBER(G133), $B145 * H133, "")</f>
        <v>7601.9777503090127</v>
      </c>
      <c r="J133" s="15">
        <v>85.4</v>
      </c>
      <c r="K133" s="32">
        <f t="shared" si="68"/>
        <v>5.5624227441285534E-2</v>
      </c>
      <c r="L133" s="18">
        <f>IF(ISNUMBER(J133), $B145 * K133, "")</f>
        <v>8343.6341161928303</v>
      </c>
      <c r="M133" s="31">
        <v>85.9</v>
      </c>
      <c r="N133" s="32">
        <f t="shared" si="69"/>
        <v>6.1804697156983925E-2</v>
      </c>
      <c r="O133" s="18">
        <f>IF(ISNUMBER(M133), $B145 * N133, "")</f>
        <v>9270.7045735475895</v>
      </c>
      <c r="Q133" s="33"/>
      <c r="R133" s="33"/>
    </row>
    <row r="134" spans="1:19" ht="17.25" thickBot="1">
      <c r="A134" s="130" t="s">
        <v>185</v>
      </c>
      <c r="B134" s="131">
        <v>10.3</v>
      </c>
      <c r="C134" s="79">
        <v>1.9801980199999999E-2</v>
      </c>
      <c r="D134" s="24">
        <v>10.6</v>
      </c>
      <c r="E134" s="25">
        <f t="shared" si="66"/>
        <v>2.9126213592232903E-2</v>
      </c>
      <c r="F134" s="104">
        <f>IF(ISNUMBER(D134), $B145 * E134, "")</f>
        <v>4368.9320388349352</v>
      </c>
      <c r="G134" s="102">
        <v>10.6</v>
      </c>
      <c r="H134" s="25">
        <f t="shared" si="67"/>
        <v>2.9126213592232903E-2</v>
      </c>
      <c r="I134" s="103">
        <f>IF(ISNUMBER(G134), $B145 * H134, "")</f>
        <v>4368.9320388349352</v>
      </c>
      <c r="J134" s="24">
        <v>10.7</v>
      </c>
      <c r="K134" s="25">
        <f t="shared" si="68"/>
        <v>3.8834951456310537E-2</v>
      </c>
      <c r="L134" s="104">
        <f>IF(ISNUMBER(J134), $B145 * K134, "")</f>
        <v>5825.2427184465805</v>
      </c>
      <c r="M134" s="102">
        <v>10.6</v>
      </c>
      <c r="N134" s="25">
        <f t="shared" si="69"/>
        <v>2.9126213592232903E-2</v>
      </c>
      <c r="O134" s="104">
        <f>IF(ISNUMBER(M134), $B145 * N134, "")</f>
        <v>4368.9320388349352</v>
      </c>
      <c r="Q134" s="205"/>
      <c r="R134" s="206"/>
      <c r="S134" s="207"/>
    </row>
    <row r="135" spans="1:19">
      <c r="A135" s="123" t="s">
        <v>229</v>
      </c>
      <c r="B135" s="124">
        <v>51.9</v>
      </c>
      <c r="C135" s="76">
        <v>1.9646365400000001E-2</v>
      </c>
      <c r="D135" s="13">
        <v>54.1</v>
      </c>
      <c r="E135" s="14">
        <f>IF(ISNUMBER(D135), (D135 - $B135) / $B135, "")</f>
        <v>4.2389210019267876E-2</v>
      </c>
      <c r="F135" s="16">
        <f>IF(ISNUMBER(D135), $B145 * E135, "")</f>
        <v>6358.3815028901818</v>
      </c>
      <c r="G135" s="29">
        <v>53.9</v>
      </c>
      <c r="H135" s="14">
        <f>IF(ISNUMBER(G135), (G135 - $B135) / $B135, "")</f>
        <v>3.8535645472061661E-2</v>
      </c>
      <c r="I135" s="100">
        <f>IF(ISNUMBER(G135), $B145 * H135, "")</f>
        <v>5780.346820809249</v>
      </c>
      <c r="J135" s="13">
        <v>54.3</v>
      </c>
      <c r="K135" s="14">
        <f>IF(ISNUMBER(J135), (J135 - $B135) / $B135, "")</f>
        <v>4.6242774566473965E-2</v>
      </c>
      <c r="L135" s="16">
        <f>IF(ISNUMBER(J135), $B145 * K135, "")</f>
        <v>6936.4161849710945</v>
      </c>
      <c r="M135" s="29">
        <v>53.2</v>
      </c>
      <c r="N135" s="14">
        <f>IF(ISNUMBER(M135), (M135 - $B135) / $B135, "")</f>
        <v>2.5048169556840159E-2</v>
      </c>
      <c r="O135" s="16">
        <f>IF(ISNUMBER(M135), $B145 * N135, "")</f>
        <v>3757.2254335260241</v>
      </c>
      <c r="Q135" s="208"/>
      <c r="R135" s="209"/>
      <c r="S135" s="210"/>
    </row>
    <row r="136" spans="1:19" ht="17.25" thickBot="1">
      <c r="A136" s="125" t="s">
        <v>174</v>
      </c>
      <c r="B136" s="126">
        <v>10.6</v>
      </c>
      <c r="C136" s="77">
        <v>1.9230769200000001E-2</v>
      </c>
      <c r="D136" s="15">
        <v>11</v>
      </c>
      <c r="E136" s="32">
        <f t="shared" ref="E136:E139" si="70">IF(ISNUMBER(D136), (D136 - $B136) / $B136, "")</f>
        <v>3.7735849056603807E-2</v>
      </c>
      <c r="F136" s="18">
        <f>IF(ISNUMBER(D136), $B145 * E136, "")</f>
        <v>5660.3773584905712</v>
      </c>
      <c r="G136" s="31">
        <v>10.9</v>
      </c>
      <c r="H136" s="32">
        <f t="shared" ref="H136:H139" si="71">IF(ISNUMBER(G136), (G136 - $B136) / $B136, "")</f>
        <v>2.8301886792452897E-2</v>
      </c>
      <c r="I136" s="101">
        <f>IF(ISNUMBER(G136), $B145 * H136, "")</f>
        <v>4245.2830188679345</v>
      </c>
      <c r="J136" s="15">
        <v>11</v>
      </c>
      <c r="K136" s="32">
        <f t="shared" ref="K136:K139" si="72">IF(ISNUMBER(J136), (J136 - $B136) / $B136, "")</f>
        <v>3.7735849056603807E-2</v>
      </c>
      <c r="L136" s="18">
        <f>IF(ISNUMBER(J136), $B145 * K136, "")</f>
        <v>5660.3773584905712</v>
      </c>
      <c r="M136" s="31">
        <v>11.1</v>
      </c>
      <c r="N136" s="32">
        <f t="shared" ref="N136:N139" si="73">IF(ISNUMBER(M136), (M136 - $B136) / $B136, "")</f>
        <v>4.716981132075472E-2</v>
      </c>
      <c r="O136" s="18">
        <f>IF(ISNUMBER(M136), $B145 * N136, "")</f>
        <v>7075.4716981132078</v>
      </c>
      <c r="Q136" s="211"/>
      <c r="R136" s="212"/>
      <c r="S136" s="213"/>
    </row>
    <row r="137" spans="1:19" ht="17.25" thickBot="1">
      <c r="A137" s="125" t="s">
        <v>148</v>
      </c>
      <c r="B137" s="126">
        <v>72.8</v>
      </c>
      <c r="C137" s="77">
        <v>1.67597765E-2</v>
      </c>
      <c r="D137" s="15">
        <v>74.7</v>
      </c>
      <c r="E137" s="32">
        <f t="shared" si="70"/>
        <v>2.609890109890118E-2</v>
      </c>
      <c r="F137" s="18">
        <f>IF(ISNUMBER(D137), $B145 * E137, "")</f>
        <v>3914.8351648351768</v>
      </c>
      <c r="G137" s="31">
        <v>74.8</v>
      </c>
      <c r="H137" s="32">
        <f t="shared" si="71"/>
        <v>2.7472527472527472E-2</v>
      </c>
      <c r="I137" s="101">
        <f>IF(ISNUMBER(G137), $B145 * H137, "")</f>
        <v>4120.8791208791208</v>
      </c>
      <c r="J137" s="15">
        <v>75.5</v>
      </c>
      <c r="K137" s="32">
        <f t="shared" si="72"/>
        <v>3.708791208791213E-2</v>
      </c>
      <c r="L137" s="18">
        <f>IF(ISNUMBER(J137), $B145 * K137, "")</f>
        <v>5563.1868131868196</v>
      </c>
      <c r="M137" s="31">
        <v>74.8</v>
      </c>
      <c r="N137" s="32">
        <f t="shared" si="73"/>
        <v>2.7472527472527472E-2</v>
      </c>
      <c r="O137" s="18">
        <f>IF(ISNUMBER(M137), $B145 * N137, "")</f>
        <v>4120.8791208791208</v>
      </c>
      <c r="Q137" s="196"/>
      <c r="R137" s="196"/>
      <c r="S137" s="196"/>
    </row>
    <row r="138" spans="1:19" ht="17.25" thickBot="1">
      <c r="A138" s="125" t="s">
        <v>146</v>
      </c>
      <c r="B138" s="126">
        <v>8.6</v>
      </c>
      <c r="C138" s="77">
        <v>1.6548463400000001E-2</v>
      </c>
      <c r="D138" s="15">
        <v>8.9600000000000009</v>
      </c>
      <c r="E138" s="32">
        <f t="shared" si="70"/>
        <v>4.1860465116279215E-2</v>
      </c>
      <c r="F138" s="18">
        <f>IF(ISNUMBER(D138), $B145 * E138, "")</f>
        <v>6279.0697674418825</v>
      </c>
      <c r="G138" s="31">
        <v>8.9</v>
      </c>
      <c r="H138" s="32">
        <f t="shared" si="71"/>
        <v>3.4883720930232641E-2</v>
      </c>
      <c r="I138" s="101">
        <f>IF(ISNUMBER(G138), $B145 * H138, "")</f>
        <v>5232.5581395348963</v>
      </c>
      <c r="J138" s="15">
        <v>8.99</v>
      </c>
      <c r="K138" s="32">
        <f t="shared" si="72"/>
        <v>4.5348837209302391E-2</v>
      </c>
      <c r="L138" s="18">
        <f>IF(ISNUMBER(J138), $B145 * K138, "")</f>
        <v>6802.3255813953583</v>
      </c>
      <c r="M138" s="31">
        <v>8.83</v>
      </c>
      <c r="N138" s="32">
        <f t="shared" si="73"/>
        <v>2.674418604651168E-2</v>
      </c>
      <c r="O138" s="18">
        <f>IF(ISNUMBER(M138), $B145 * N138, "")</f>
        <v>4011.627906976752</v>
      </c>
      <c r="Q138" s="191"/>
      <c r="R138" s="191"/>
      <c r="S138" s="191"/>
    </row>
    <row r="139" spans="1:19" ht="17.25" thickBot="1">
      <c r="A139" s="127" t="s">
        <v>346</v>
      </c>
      <c r="B139" s="128">
        <v>9.51</v>
      </c>
      <c r="C139" s="78">
        <v>9.5541401000000005E-3</v>
      </c>
      <c r="D139" s="20">
        <v>10.1</v>
      </c>
      <c r="E139" s="21">
        <f t="shared" si="70"/>
        <v>6.2039957939011556E-2</v>
      </c>
      <c r="F139" s="22">
        <f>IF(ISNUMBER(D139), $B145 * E139, "")</f>
        <v>9305.9936908517338</v>
      </c>
      <c r="G139" s="30">
        <v>9.93</v>
      </c>
      <c r="H139" s="21">
        <f t="shared" si="71"/>
        <v>4.4164037854889586E-2</v>
      </c>
      <c r="I139" s="105">
        <f>IF(ISNUMBER(G139), $B145 * H139, "")</f>
        <v>6624.6056782334381</v>
      </c>
      <c r="J139" s="20">
        <v>9.99</v>
      </c>
      <c r="K139" s="21">
        <f t="shared" si="72"/>
        <v>5.0473186119873864E-2</v>
      </c>
      <c r="L139" s="22">
        <f>IF(ISNUMBER(J139), $B145 * K139, "")</f>
        <v>7570.9779179810794</v>
      </c>
      <c r="M139" s="30">
        <v>9.66</v>
      </c>
      <c r="N139" s="21">
        <f t="shared" si="73"/>
        <v>1.5772870662460605E-2</v>
      </c>
      <c r="O139" s="22">
        <f>IF(ISNUMBER(M139), $B145 * N139, "")</f>
        <v>2365.9305993690909</v>
      </c>
      <c r="Q139" s="191"/>
      <c r="R139" s="191"/>
      <c r="S139" s="191"/>
    </row>
    <row r="140" spans="1:19" ht="17.25" thickBot="1">
      <c r="A140" s="125" t="s">
        <v>189</v>
      </c>
      <c r="B140" s="129">
        <v>88</v>
      </c>
      <c r="C140" s="80">
        <v>9.1743119000000008E-3</v>
      </c>
      <c r="D140" s="106">
        <v>92.2</v>
      </c>
      <c r="E140" s="107">
        <f>IF(ISNUMBER(D140), (D140 - $B140) / $B140, "")</f>
        <v>4.7727272727272757E-2</v>
      </c>
      <c r="F140" s="108">
        <f>IF(ISNUMBER(D140), $B145 * E140, "")</f>
        <v>7159.0909090909136</v>
      </c>
      <c r="G140" s="109">
        <v>91.2</v>
      </c>
      <c r="H140" s="107">
        <f>IF(ISNUMBER(G140), (G140 - $B140) / $B140, "")</f>
        <v>3.6363636363636397E-2</v>
      </c>
      <c r="I140" s="110">
        <f>IF(ISNUMBER(G140), $B145 * H140, "")</f>
        <v>5454.5454545454595</v>
      </c>
      <c r="J140" s="106">
        <v>92</v>
      </c>
      <c r="K140" s="107">
        <f>IF(ISNUMBER(J140), (J140 - $B140) / $B140, "")</f>
        <v>4.5454545454545456E-2</v>
      </c>
      <c r="L140" s="108">
        <f>IF(ISNUMBER(J140), $B145 * K140, "")</f>
        <v>6818.181818181818</v>
      </c>
      <c r="M140" s="109">
        <v>90.4</v>
      </c>
      <c r="N140" s="107">
        <f>IF(ISNUMBER(M140), (M140 - $B140) / $B140, "")</f>
        <v>2.7272727272727337E-2</v>
      </c>
      <c r="O140" s="108">
        <f>IF(ISNUMBER(M140), $B145 * N140, "")</f>
        <v>4090.9090909091005</v>
      </c>
      <c r="Q140" s="196"/>
      <c r="R140" s="196"/>
      <c r="S140" s="196"/>
    </row>
    <row r="141" spans="1:19" ht="17.25" thickBot="1">
      <c r="A141" s="125" t="s">
        <v>199</v>
      </c>
      <c r="B141" s="126">
        <v>11.5</v>
      </c>
      <c r="C141" s="77">
        <v>8.7719297999999998E-3</v>
      </c>
      <c r="D141" s="15">
        <v>12</v>
      </c>
      <c r="E141" s="32">
        <f t="shared" ref="E141:E144" si="74">IF(ISNUMBER(D141), (D141 - $B141) / $B141, "")</f>
        <v>4.3478260869565216E-2</v>
      </c>
      <c r="F141" s="18">
        <f>IF(ISNUMBER(D141), $B145 * E141, "")</f>
        <v>6521.7391304347821</v>
      </c>
      <c r="G141" s="31">
        <v>11.8</v>
      </c>
      <c r="H141" s="32">
        <f t="shared" ref="H141:H144" si="75">IF(ISNUMBER(G141), (G141 - $B141) / $B141, "")</f>
        <v>2.6086956521739191E-2</v>
      </c>
      <c r="I141" s="101">
        <f>IF(ISNUMBER(G141), $B145 * H141, "")</f>
        <v>3913.0434782608786</v>
      </c>
      <c r="J141" s="15">
        <v>12</v>
      </c>
      <c r="K141" s="32">
        <f t="shared" ref="K141:K144" si="76">IF(ISNUMBER(J141), (J141 - $B141) / $B141, "")</f>
        <v>4.3478260869565216E-2</v>
      </c>
      <c r="L141" s="18">
        <f>IF(ISNUMBER(J141), $B145 * K141, "")</f>
        <v>6521.7391304347821</v>
      </c>
      <c r="M141" s="31">
        <v>11.9</v>
      </c>
      <c r="N141" s="32">
        <f t="shared" ref="N141:N144" si="77">IF(ISNUMBER(M141), (M141 - $B141) / $B141, "")</f>
        <v>3.4782608695652202E-2</v>
      </c>
      <c r="O141" s="18">
        <f>IF(ISNUMBER(M141), $B145 * N141, "")</f>
        <v>5217.3913043478306</v>
      </c>
      <c r="Q141" s="196"/>
      <c r="R141" s="196"/>
      <c r="S141" s="196"/>
    </row>
    <row r="142" spans="1:19" ht="17.25" thickBot="1">
      <c r="A142" s="125" t="s">
        <v>197</v>
      </c>
      <c r="B142" s="126">
        <v>47.8</v>
      </c>
      <c r="C142" s="77">
        <v>6.3157895000000002E-3</v>
      </c>
      <c r="D142" s="15">
        <v>49.7</v>
      </c>
      <c r="E142" s="32">
        <f t="shared" si="74"/>
        <v>3.9748953974895522E-2</v>
      </c>
      <c r="F142" s="18">
        <f>IF(ISNUMBER(D142), $B145 * E142, "")</f>
        <v>5962.3430962343282</v>
      </c>
      <c r="G142" s="31">
        <v>49.4</v>
      </c>
      <c r="H142" s="32">
        <f t="shared" si="75"/>
        <v>3.3472803347280367E-2</v>
      </c>
      <c r="I142" s="101">
        <f>IF(ISNUMBER(G142), $B145 * H142, "")</f>
        <v>5020.9205020920554</v>
      </c>
      <c r="J142" s="15">
        <v>50</v>
      </c>
      <c r="K142" s="32">
        <f t="shared" si="76"/>
        <v>4.6025104602510525E-2</v>
      </c>
      <c r="L142" s="18">
        <f>IF(ISNUMBER(J142), $B145 * K142, "")</f>
        <v>6903.7656903765783</v>
      </c>
      <c r="M142" s="31">
        <v>48.9</v>
      </c>
      <c r="N142" s="32">
        <f t="shared" si="77"/>
        <v>2.3012552301255262E-2</v>
      </c>
      <c r="O142" s="18">
        <f>IF(ISNUMBER(M142), $B145 * N142, "")</f>
        <v>3451.8828451882891</v>
      </c>
      <c r="Q142" s="196"/>
      <c r="R142" s="196"/>
      <c r="S142" s="196"/>
    </row>
    <row r="143" spans="1:19">
      <c r="A143" s="125" t="s">
        <v>71</v>
      </c>
      <c r="B143" s="126">
        <v>18.899999999999999</v>
      </c>
      <c r="C143" s="77">
        <v>-5.2631579E-3</v>
      </c>
      <c r="D143" s="15">
        <v>20</v>
      </c>
      <c r="E143" s="32">
        <f t="shared" si="74"/>
        <v>5.8201058201058281E-2</v>
      </c>
      <c r="F143" s="18">
        <f>IF(ISNUMBER(D143), $B145 * E143, "")</f>
        <v>8730.1587301587424</v>
      </c>
      <c r="G143" s="31">
        <v>19.899999999999999</v>
      </c>
      <c r="H143" s="32">
        <f t="shared" si="75"/>
        <v>5.2910052910052914E-2</v>
      </c>
      <c r="I143" s="101">
        <f>IF(ISNUMBER(G143), $B145 * H143, "")</f>
        <v>7936.5079365079373</v>
      </c>
      <c r="J143" s="15">
        <v>20</v>
      </c>
      <c r="K143" s="32">
        <f t="shared" si="76"/>
        <v>5.8201058201058281E-2</v>
      </c>
      <c r="L143" s="18">
        <f>IF(ISNUMBER(J143), $B145 * K143, "")</f>
        <v>8730.1587301587424</v>
      </c>
      <c r="M143" s="31">
        <v>20.9</v>
      </c>
      <c r="N143" s="32">
        <f t="shared" si="77"/>
        <v>0.10582010582010583</v>
      </c>
      <c r="O143" s="18">
        <f>IF(ISNUMBER(M143), $B145 * N143, "")</f>
        <v>15873.015873015875</v>
      </c>
      <c r="Q143" s="218"/>
      <c r="R143" s="219"/>
      <c r="S143" s="220"/>
    </row>
    <row r="144" spans="1:19" ht="17.25" thickBot="1">
      <c r="A144" s="130" t="s">
        <v>205</v>
      </c>
      <c r="B144" s="131">
        <v>11.6</v>
      </c>
      <c r="C144" s="79">
        <v>-2.5210084000000001E-2</v>
      </c>
      <c r="D144" s="24">
        <v>12.1</v>
      </c>
      <c r="E144" s="25">
        <f t="shared" si="74"/>
        <v>4.3103448275862072E-2</v>
      </c>
      <c r="F144" s="104">
        <f>IF(ISNUMBER(D144), $B145 * E144, "")</f>
        <v>6465.5172413793107</v>
      </c>
      <c r="G144" s="102">
        <v>12.2</v>
      </c>
      <c r="H144" s="25">
        <f t="shared" si="75"/>
        <v>5.1724137931034454E-2</v>
      </c>
      <c r="I144" s="103">
        <f>IF(ISNUMBER(G144), $B145 * H144, "")</f>
        <v>7758.6206896551685</v>
      </c>
      <c r="J144" s="24">
        <v>12.2</v>
      </c>
      <c r="K144" s="25">
        <f t="shared" si="76"/>
        <v>5.1724137931034454E-2</v>
      </c>
      <c r="L144" s="104">
        <f>IF(ISNUMBER(J144), $B145 * K144, "")</f>
        <v>7758.6206896551685</v>
      </c>
      <c r="M144" s="102">
        <v>11.9</v>
      </c>
      <c r="N144" s="25">
        <f t="shared" si="77"/>
        <v>2.5862068965517303E-2</v>
      </c>
      <c r="O144" s="104">
        <f>IF(ISNUMBER(M144), $B145 * N144, "")</f>
        <v>3879.3103448275956</v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5.9444751601522738E-2</v>
      </c>
      <c r="F145" s="28">
        <f>SUM(F125:F144)</f>
        <v>178334.25480456819</v>
      </c>
      <c r="G145" s="26" t="s">
        <v>266</v>
      </c>
      <c r="H145" s="27">
        <f>IF(COUNT(H125:H144), SUM(H125:H144) / COUNT(H125:H144), 0)</f>
        <v>5.1815643844247097E-2</v>
      </c>
      <c r="I145" s="28">
        <f>SUM(I125:I144)</f>
        <v>155446.93153274126</v>
      </c>
      <c r="J145" s="26" t="s">
        <v>266</v>
      </c>
      <c r="K145" s="27">
        <f>IF(COUNT(K125:K144), SUM(K125:K144) / COUNT(K125:K144), 0)</f>
        <v>6.3806521126066371E-2</v>
      </c>
      <c r="L145" s="28">
        <f>SUM(L125:L144)</f>
        <v>191419.56337819909</v>
      </c>
      <c r="M145" s="26" t="s">
        <v>266</v>
      </c>
      <c r="N145" s="27">
        <f>IF(COUNT(N125:N144), SUM(N125:N144) / COUNT(N125:N144), 0)</f>
        <v>4.2962832111950108E-2</v>
      </c>
      <c r="O145" s="28">
        <f>SUM(O125:O144)</f>
        <v>128888.49633585029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2022-03-01(화) 오전 00:00</v>
      </c>
      <c r="C150" s="234"/>
      <c r="D150" s="193" t="str">
        <f>TEXT($G$1, "[$-ko-KR]yyyy-mm-dd(ddd) ") &amp; "오후 14:00"</f>
        <v>2022-03-01(화) 오후 14:00</v>
      </c>
      <c r="E150" s="194"/>
      <c r="F150" s="195"/>
      <c r="G150" s="193" t="str">
        <f>TEXT($G$1, "[$-ko-KR]yyyy-mm-dd(ddd) ") &amp; "오후 19:00"</f>
        <v>2022-03-01(화) 오후 19:00</v>
      </c>
      <c r="H150" s="194"/>
      <c r="I150" s="195"/>
      <c r="J150" s="193" t="str">
        <f>TEXT($G$1, "[$-ko-KR]yyyy-mm-dd(ddd) ") &amp; "오후 21:00"</f>
        <v>2022-03-01(화) 오후 21:00</v>
      </c>
      <c r="K150" s="194"/>
      <c r="L150" s="195"/>
      <c r="M150" s="193" t="str">
        <f>TEXT($G$1+1, "[$-ko-KR]yyyy-mm-dd(ddd) ") &amp; "오전 00:00"</f>
        <v>2022-03-02(수)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120</v>
      </c>
      <c r="B152" s="124">
        <v>338</v>
      </c>
      <c r="C152" s="76">
        <v>2.4242424200000001E-2</v>
      </c>
      <c r="D152" s="13">
        <v>363</v>
      </c>
      <c r="E152" s="14">
        <f>IF(ISNUMBER(D152), (D152 - $B152) / $B152, "")</f>
        <v>7.3964497041420121E-2</v>
      </c>
      <c r="F152" s="16">
        <f>IF(ISNUMBER(D152), $B172 * E152, "")</f>
        <v>11094.674556213018</v>
      </c>
      <c r="G152" s="29">
        <v>361</v>
      </c>
      <c r="H152" s="14">
        <f>IF(ISNUMBER(G152), (G152 - $B152) / $B152, "")</f>
        <v>6.8047337278106509E-2</v>
      </c>
      <c r="I152" s="100">
        <f>IF(ISNUMBER(G152), $B172 * H152, "")</f>
        <v>10207.100591715976</v>
      </c>
      <c r="J152" s="13">
        <v>371</v>
      </c>
      <c r="K152" s="14">
        <f>IF(ISNUMBER(J152), (J152 - $B152) / $B152, "")</f>
        <v>9.7633136094674555E-2</v>
      </c>
      <c r="L152" s="16">
        <f>IF(ISNUMBER(J152), $B172 * K152, "")</f>
        <v>14644.970414201183</v>
      </c>
      <c r="M152" s="29">
        <v>355</v>
      </c>
      <c r="N152" s="14">
        <f>IF(ISNUMBER(M152), (M152 - $B152) / $B152, "")</f>
        <v>5.0295857988165681E-2</v>
      </c>
      <c r="O152" s="16">
        <f>IF(ISNUMBER(M152), $B172 * N152, "")</f>
        <v>7544.3786982248521</v>
      </c>
      <c r="Q152" s="191"/>
      <c r="R152" s="191"/>
      <c r="S152" s="191"/>
    </row>
    <row r="153" spans="1:19" ht="17.25" thickBot="1">
      <c r="A153" s="125" t="s">
        <v>261</v>
      </c>
      <c r="B153" s="126">
        <v>155</v>
      </c>
      <c r="C153" s="77">
        <v>1.9736842099999999E-2</v>
      </c>
      <c r="D153" s="15">
        <v>160</v>
      </c>
      <c r="E153" s="32">
        <f t="shared" ref="E153:E156" si="78">IF(ISNUMBER(D153), (D153 - $B153) / $B153, "")</f>
        <v>3.2258064516129031E-2</v>
      </c>
      <c r="F153" s="18">
        <f>IF(ISNUMBER(D153), $B172 * E153, "")</f>
        <v>4838.7096774193551</v>
      </c>
      <c r="G153" s="31">
        <v>159</v>
      </c>
      <c r="H153" s="32">
        <f t="shared" ref="H153:H156" si="79">IF(ISNUMBER(G153), (G153 - $B153) / $B153, "")</f>
        <v>2.5806451612903226E-2</v>
      </c>
      <c r="I153" s="101">
        <f>IF(ISNUMBER(G153), $B172 * H153, "")</f>
        <v>3870.9677419354839</v>
      </c>
      <c r="J153" s="15">
        <v>162</v>
      </c>
      <c r="K153" s="32">
        <f t="shared" ref="K153:K156" si="80">IF(ISNUMBER(J153), (J153 - $B153) / $B153, "")</f>
        <v>4.5161290322580643E-2</v>
      </c>
      <c r="L153" s="18">
        <f>IF(ISNUMBER(J153), $B172 * K153, "")</f>
        <v>6774.1935483870966</v>
      </c>
      <c r="M153" s="31">
        <v>162</v>
      </c>
      <c r="N153" s="32">
        <f t="shared" ref="N153:N156" si="81">IF(ISNUMBER(M153), (M153 - $B153) / $B153, "")</f>
        <v>4.5161290322580643E-2</v>
      </c>
      <c r="O153" s="18">
        <f>IF(ISNUMBER(M153), $B172 * N153, "")</f>
        <v>6774.1935483870966</v>
      </c>
      <c r="Q153" s="191"/>
      <c r="R153" s="191"/>
      <c r="S153" s="191"/>
    </row>
    <row r="154" spans="1:19" ht="17.25" thickBot="1">
      <c r="A154" s="125" t="s">
        <v>235</v>
      </c>
      <c r="B154" s="126">
        <v>109</v>
      </c>
      <c r="C154" s="77">
        <v>1.8691588799999999E-2</v>
      </c>
      <c r="D154" s="15">
        <v>114</v>
      </c>
      <c r="E154" s="32">
        <f t="shared" si="78"/>
        <v>4.5871559633027525E-2</v>
      </c>
      <c r="F154" s="18">
        <f>IF(ISNUMBER(D154), $B172 * E154, "")</f>
        <v>6880.7339449541287</v>
      </c>
      <c r="G154" s="31">
        <v>114</v>
      </c>
      <c r="H154" s="32">
        <f t="shared" si="79"/>
        <v>4.5871559633027525E-2</v>
      </c>
      <c r="I154" s="101">
        <f>IF(ISNUMBER(G154), $B172 * H154, "")</f>
        <v>6880.7339449541287</v>
      </c>
      <c r="J154" s="15">
        <v>115</v>
      </c>
      <c r="K154" s="32">
        <f t="shared" si="80"/>
        <v>5.5045871559633031E-2</v>
      </c>
      <c r="L154" s="18">
        <f>IF(ISNUMBER(J154), $B172 * K154, "")</f>
        <v>8256.880733944954</v>
      </c>
      <c r="M154" s="31">
        <v>116</v>
      </c>
      <c r="N154" s="32">
        <f t="shared" si="81"/>
        <v>6.4220183486238536E-2</v>
      </c>
      <c r="O154" s="18">
        <f>IF(ISNUMBER(M154), $B172 * N154, "")</f>
        <v>9633.0275229357812</v>
      </c>
      <c r="Q154" s="196"/>
      <c r="R154" s="196"/>
      <c r="S154" s="196"/>
    </row>
    <row r="155" spans="1:19" ht="17.25" thickBot="1">
      <c r="A155" s="125" t="s">
        <v>51</v>
      </c>
      <c r="B155" s="126">
        <v>227</v>
      </c>
      <c r="C155" s="77">
        <v>1.79372197E-2</v>
      </c>
      <c r="D155" s="15">
        <v>240</v>
      </c>
      <c r="E155" s="32">
        <f t="shared" si="78"/>
        <v>5.7268722466960353E-2</v>
      </c>
      <c r="F155" s="18">
        <f>IF(ISNUMBER(D155), $B172 * E155, "")</f>
        <v>8590.3083700440529</v>
      </c>
      <c r="G155" s="31">
        <v>236</v>
      </c>
      <c r="H155" s="32">
        <f t="shared" si="79"/>
        <v>3.9647577092511016E-2</v>
      </c>
      <c r="I155" s="101">
        <f>IF(ISNUMBER(G155), $B172 * H155, "")</f>
        <v>5947.136563876652</v>
      </c>
      <c r="J155" s="15">
        <v>241</v>
      </c>
      <c r="K155" s="32">
        <f t="shared" si="80"/>
        <v>6.1674008810572688E-2</v>
      </c>
      <c r="L155" s="18">
        <f>IF(ISNUMBER(J155), $B172 * K155, "")</f>
        <v>9251.1013215859039</v>
      </c>
      <c r="M155" s="31">
        <v>236</v>
      </c>
      <c r="N155" s="32">
        <f t="shared" si="81"/>
        <v>3.9647577092511016E-2</v>
      </c>
      <c r="O155" s="18">
        <f>IF(ISNUMBER(M155), $B172 * N155, "")</f>
        <v>5947.136563876652</v>
      </c>
      <c r="Q155" s="196"/>
      <c r="R155" s="196"/>
      <c r="S155" s="196"/>
    </row>
    <row r="156" spans="1:19" ht="17.25" thickBot="1">
      <c r="A156" s="127" t="s">
        <v>195</v>
      </c>
      <c r="B156" s="128">
        <v>125</v>
      </c>
      <c r="C156" s="78">
        <v>1.6260162599999999E-2</v>
      </c>
      <c r="D156" s="20">
        <v>130</v>
      </c>
      <c r="E156" s="21">
        <f t="shared" si="78"/>
        <v>0.04</v>
      </c>
      <c r="F156" s="22">
        <f>IF(ISNUMBER(D156), $B172 * E156, "")</f>
        <v>6000</v>
      </c>
      <c r="G156" s="30">
        <v>130</v>
      </c>
      <c r="H156" s="21">
        <f t="shared" si="79"/>
        <v>0.04</v>
      </c>
      <c r="I156" s="105">
        <f>IF(ISNUMBER(G156), $B172 * H156, "")</f>
        <v>6000</v>
      </c>
      <c r="J156" s="20">
        <v>130</v>
      </c>
      <c r="K156" s="21">
        <f t="shared" si="80"/>
        <v>0.04</v>
      </c>
      <c r="L156" s="22">
        <f>IF(ISNUMBER(J156), $B172 * K156, "")</f>
        <v>6000</v>
      </c>
      <c r="M156" s="30">
        <v>128</v>
      </c>
      <c r="N156" s="21">
        <f t="shared" si="81"/>
        <v>2.4E-2</v>
      </c>
      <c r="O156" s="22">
        <f>IF(ISNUMBER(M156), $B172 * N156, "")</f>
        <v>3600</v>
      </c>
      <c r="Q156" s="196"/>
      <c r="R156" s="196"/>
      <c r="S156" s="196"/>
    </row>
    <row r="157" spans="1:19" ht="17.25" thickBot="1">
      <c r="A157" s="125" t="s">
        <v>56</v>
      </c>
      <c r="B157" s="129">
        <v>126</v>
      </c>
      <c r="C157" s="80">
        <v>1.6129032299999999E-2</v>
      </c>
      <c r="D157" s="106">
        <v>130</v>
      </c>
      <c r="E157" s="107">
        <f>IF(ISNUMBER(D157), (D157 - $B157) / $B157, "")</f>
        <v>3.1746031746031744E-2</v>
      </c>
      <c r="F157" s="108">
        <f>IF(ISNUMBER(D157), $B172 * E157, "")</f>
        <v>4761.9047619047615</v>
      </c>
      <c r="G157" s="109">
        <v>129</v>
      </c>
      <c r="H157" s="107">
        <f>IF(ISNUMBER(G157), (G157 - $B157) / $B157, "")</f>
        <v>2.3809523809523808E-2</v>
      </c>
      <c r="I157" s="110">
        <f>IF(ISNUMBER(G157), $B172 * H157, "")</f>
        <v>3571.4285714285711</v>
      </c>
      <c r="J157" s="106">
        <v>131</v>
      </c>
      <c r="K157" s="107">
        <f>IF(ISNUMBER(J157), (J157 - $B157) / $B157, "")</f>
        <v>3.968253968253968E-2</v>
      </c>
      <c r="L157" s="108">
        <f>IF(ISNUMBER(J157), $B172 * K157, "")</f>
        <v>5952.3809523809523</v>
      </c>
      <c r="M157" s="109">
        <v>130</v>
      </c>
      <c r="N157" s="107">
        <f>IF(ISNUMBER(M157), (M157 - $B157) / $B157, "")</f>
        <v>3.1746031746031744E-2</v>
      </c>
      <c r="O157" s="108">
        <f>IF(ISNUMBER(M157), $B172 * N157, "")</f>
        <v>4761.9047619047615</v>
      </c>
      <c r="Q157" s="196"/>
      <c r="R157" s="196"/>
      <c r="S157" s="196"/>
    </row>
    <row r="158" spans="1:19" ht="17.25" thickBot="1">
      <c r="A158" s="125" t="s">
        <v>215</v>
      </c>
      <c r="B158" s="126">
        <v>140</v>
      </c>
      <c r="C158" s="77">
        <v>1.44927536E-2</v>
      </c>
      <c r="D158" s="15">
        <v>147</v>
      </c>
      <c r="E158" s="32">
        <f t="shared" ref="E158:E161" si="82">IF(ISNUMBER(D158), (D158 - $B158) / $B158, "")</f>
        <v>0.05</v>
      </c>
      <c r="F158" s="18">
        <f>IF(ISNUMBER(D158), $B172 * E158, "")</f>
        <v>7500</v>
      </c>
      <c r="G158" s="31">
        <v>146</v>
      </c>
      <c r="H158" s="32">
        <f t="shared" ref="H158:H161" si="83">IF(ISNUMBER(G158), (G158 - $B158) / $B158, "")</f>
        <v>4.2857142857142858E-2</v>
      </c>
      <c r="I158" s="101">
        <f>IF(ISNUMBER(G158), $B172 * H158, "")</f>
        <v>6428.5714285714284</v>
      </c>
      <c r="J158" s="15">
        <v>148</v>
      </c>
      <c r="K158" s="32">
        <f t="shared" ref="K158:K161" si="84">IF(ISNUMBER(J158), (J158 - $B158) / $B158, "")</f>
        <v>5.7142857142857141E-2</v>
      </c>
      <c r="L158" s="18">
        <f>IF(ISNUMBER(J158), $B172 * K158, "")</f>
        <v>8571.4285714285706</v>
      </c>
      <c r="M158" s="31">
        <v>144</v>
      </c>
      <c r="N158" s="32">
        <f t="shared" ref="N158:N161" si="85">IF(ISNUMBER(M158), (M158 - $B158) / $B158, "")</f>
        <v>2.8571428571428571E-2</v>
      </c>
      <c r="O158" s="18">
        <f>IF(ISNUMBER(M158), $B172 * N158, "")</f>
        <v>4285.7142857142853</v>
      </c>
      <c r="Q158" s="196"/>
      <c r="R158" s="196"/>
      <c r="S158" s="196"/>
    </row>
    <row r="159" spans="1:19" ht="17.25" thickBot="1">
      <c r="A159" s="125" t="s">
        <v>201</v>
      </c>
      <c r="B159" s="126">
        <v>462</v>
      </c>
      <c r="C159" s="77">
        <v>1.0940919E-2</v>
      </c>
      <c r="D159" s="15">
        <v>597</v>
      </c>
      <c r="E159" s="32">
        <f t="shared" si="82"/>
        <v>0.29220779220779219</v>
      </c>
      <c r="F159" s="18">
        <f>IF(ISNUMBER(D159), $B172 * E159, "")</f>
        <v>43831.168831168827</v>
      </c>
      <c r="G159" s="31">
        <v>595</v>
      </c>
      <c r="H159" s="32">
        <f t="shared" si="83"/>
        <v>0.2878787878787879</v>
      </c>
      <c r="I159" s="101">
        <f>IF(ISNUMBER(G159), $B172 * H159, "")</f>
        <v>43181.818181818184</v>
      </c>
      <c r="J159" s="15">
        <v>609</v>
      </c>
      <c r="K159" s="32">
        <f t="shared" si="84"/>
        <v>0.31818181818181818</v>
      </c>
      <c r="L159" s="18">
        <f>IF(ISNUMBER(J159), $B172 * K159, "")</f>
        <v>47727.272727272728</v>
      </c>
      <c r="M159" s="31">
        <v>533</v>
      </c>
      <c r="N159" s="32">
        <f t="shared" si="85"/>
        <v>0.15367965367965367</v>
      </c>
      <c r="O159" s="18">
        <f>IF(ISNUMBER(M159), $B172 * N159, "")</f>
        <v>23051.948051948049</v>
      </c>
      <c r="Q159" s="196"/>
      <c r="R159" s="196"/>
      <c r="S159" s="196"/>
    </row>
    <row r="160" spans="1:19" ht="17.25" thickBot="1">
      <c r="A160" s="125" t="s">
        <v>213</v>
      </c>
      <c r="B160" s="126">
        <v>287</v>
      </c>
      <c r="C160" s="77">
        <v>1.0563380299999999E-2</v>
      </c>
      <c r="D160" s="15">
        <v>296</v>
      </c>
      <c r="E160" s="32">
        <f t="shared" si="82"/>
        <v>3.1358885017421602E-2</v>
      </c>
      <c r="F160" s="18">
        <f>IF(ISNUMBER(D160), $B172 * E160, "")</f>
        <v>4703.8327526132407</v>
      </c>
      <c r="G160" s="31">
        <v>296</v>
      </c>
      <c r="H160" s="32">
        <f t="shared" si="83"/>
        <v>3.1358885017421602E-2</v>
      </c>
      <c r="I160" s="101">
        <f>IF(ISNUMBER(G160), $B172 * H160, "")</f>
        <v>4703.8327526132407</v>
      </c>
      <c r="J160" s="15">
        <v>299</v>
      </c>
      <c r="K160" s="32">
        <f t="shared" si="84"/>
        <v>4.1811846689895474E-2</v>
      </c>
      <c r="L160" s="18">
        <f>IF(ISNUMBER(J160), $B172 * K160, "")</f>
        <v>6271.7770034843206</v>
      </c>
      <c r="M160" s="31">
        <v>289</v>
      </c>
      <c r="N160" s="32">
        <f t="shared" si="85"/>
        <v>6.9686411149825784E-3</v>
      </c>
      <c r="O160" s="18">
        <f>IF(ISNUMBER(M160), $B172 * N160, "")</f>
        <v>1045.2961672473868</v>
      </c>
      <c r="Q160" s="33"/>
      <c r="R160" s="33"/>
    </row>
    <row r="161" spans="1:19" ht="17.25" thickBot="1">
      <c r="A161" s="130" t="s">
        <v>231</v>
      </c>
      <c r="B161" s="131">
        <v>392</v>
      </c>
      <c r="C161" s="79">
        <v>1.03092784E-2</v>
      </c>
      <c r="D161" s="24">
        <v>416</v>
      </c>
      <c r="E161" s="25">
        <f t="shared" si="82"/>
        <v>6.1224489795918366E-2</v>
      </c>
      <c r="F161" s="104">
        <f>IF(ISNUMBER(D161), $B172 * E161, "")</f>
        <v>9183.6734693877552</v>
      </c>
      <c r="G161" s="102">
        <v>408</v>
      </c>
      <c r="H161" s="25">
        <f t="shared" si="83"/>
        <v>4.0816326530612242E-2</v>
      </c>
      <c r="I161" s="103">
        <f>IF(ISNUMBER(G161), $B172 * H161, "")</f>
        <v>6122.4489795918362</v>
      </c>
      <c r="J161" s="24">
        <v>411</v>
      </c>
      <c r="K161" s="25">
        <f t="shared" si="84"/>
        <v>4.8469387755102039E-2</v>
      </c>
      <c r="L161" s="104">
        <f>IF(ISNUMBER(J161), $B172 * K161, "")</f>
        <v>7270.408163265306</v>
      </c>
      <c r="M161" s="102">
        <v>402</v>
      </c>
      <c r="N161" s="25">
        <f t="shared" si="85"/>
        <v>2.5510204081632654E-2</v>
      </c>
      <c r="O161" s="104">
        <f>IF(ISNUMBER(M161), $B172 * N161, "")</f>
        <v>3826.5306122448978</v>
      </c>
      <c r="Q161" s="205"/>
      <c r="R161" s="206"/>
      <c r="S161" s="207"/>
    </row>
    <row r="162" spans="1:19">
      <c r="A162" s="123" t="s">
        <v>223</v>
      </c>
      <c r="B162" s="124">
        <v>924</v>
      </c>
      <c r="C162" s="76">
        <v>9.8360656000000008E-3</v>
      </c>
      <c r="D162" s="13">
        <v>988</v>
      </c>
      <c r="E162" s="14">
        <f>IF(ISNUMBER(D162), (D162 - $B162) / $B162, "")</f>
        <v>6.9264069264069264E-2</v>
      </c>
      <c r="F162" s="16">
        <f>IF(ISNUMBER(D162), $B172 * E162, "")</f>
        <v>10389.61038961039</v>
      </c>
      <c r="G162" s="29">
        <v>976</v>
      </c>
      <c r="H162" s="14">
        <f>IF(ISNUMBER(G162), (G162 - $B162) / $B162, "")</f>
        <v>5.627705627705628E-2</v>
      </c>
      <c r="I162" s="100">
        <f>IF(ISNUMBER(G162), $B172 * H162, "")</f>
        <v>8441.5584415584417</v>
      </c>
      <c r="J162" s="13">
        <v>997</v>
      </c>
      <c r="K162" s="14">
        <f>IF(ISNUMBER(J162), (J162 - $B162) / $B162, "")</f>
        <v>7.9004329004329008E-2</v>
      </c>
      <c r="L162" s="16">
        <f>IF(ISNUMBER(J162), $B172 * K162, "")</f>
        <v>11850.649350649352</v>
      </c>
      <c r="M162" s="29">
        <v>964</v>
      </c>
      <c r="N162" s="14">
        <f>IF(ISNUMBER(M162), (M162 - $B162) / $B162, "")</f>
        <v>4.3290043290043288E-2</v>
      </c>
      <c r="O162" s="16">
        <f>IF(ISNUMBER(M162), $B172 * N162, "")</f>
        <v>6493.5064935064929</v>
      </c>
      <c r="Q162" s="208"/>
      <c r="R162" s="209"/>
      <c r="S162" s="210"/>
    </row>
    <row r="163" spans="1:19" ht="17.25" thickBot="1">
      <c r="A163" s="125" t="s">
        <v>217</v>
      </c>
      <c r="B163" s="126">
        <v>203</v>
      </c>
      <c r="C163" s="77">
        <v>4.9504950000000001E-3</v>
      </c>
      <c r="D163" s="15">
        <v>215</v>
      </c>
      <c r="E163" s="32">
        <f t="shared" ref="E163:E166" si="86">IF(ISNUMBER(D163), (D163 - $B163) / $B163, "")</f>
        <v>5.9113300492610835E-2</v>
      </c>
      <c r="F163" s="18">
        <f>IF(ISNUMBER(D163), $B172 * E163, "")</f>
        <v>8866.995073891625</v>
      </c>
      <c r="G163" s="31">
        <v>214</v>
      </c>
      <c r="H163" s="32">
        <f t="shared" ref="H163:H166" si="87">IF(ISNUMBER(G163), (G163 - $B163) / $B163, "")</f>
        <v>5.4187192118226604E-2</v>
      </c>
      <c r="I163" s="101">
        <f>IF(ISNUMBER(G163), $B172 * H163, "")</f>
        <v>8128.0788177339909</v>
      </c>
      <c r="J163" s="15">
        <v>216</v>
      </c>
      <c r="K163" s="32">
        <f t="shared" ref="K163:K166" si="88">IF(ISNUMBER(J163), (J163 - $B163) / $B163, "")</f>
        <v>6.4039408866995079E-2</v>
      </c>
      <c r="L163" s="18">
        <f>IF(ISNUMBER(J163), $B172 * K163, "")</f>
        <v>9605.9113300492627</v>
      </c>
      <c r="M163" s="31">
        <v>207</v>
      </c>
      <c r="N163" s="32">
        <f t="shared" ref="N163:N166" si="89">IF(ISNUMBER(M163), (M163 - $B163) / $B163, "")</f>
        <v>1.9704433497536946E-2</v>
      </c>
      <c r="O163" s="18">
        <f>IF(ISNUMBER(M163), $B172 * N163, "")</f>
        <v>2955.6650246305421</v>
      </c>
      <c r="Q163" s="211"/>
      <c r="R163" s="212"/>
      <c r="S163" s="213"/>
    </row>
    <row r="164" spans="1:19" ht="17.25" thickBot="1">
      <c r="A164" s="125" t="s">
        <v>170</v>
      </c>
      <c r="B164" s="126">
        <v>638</v>
      </c>
      <c r="C164" s="77">
        <v>4.7244093999999999E-3</v>
      </c>
      <c r="D164" s="15">
        <v>697</v>
      </c>
      <c r="E164" s="32">
        <f t="shared" si="86"/>
        <v>9.2476489028213163E-2</v>
      </c>
      <c r="F164" s="18">
        <f>IF(ISNUMBER(D164), $B172 * E164, "")</f>
        <v>13871.473354231974</v>
      </c>
      <c r="G164" s="31">
        <v>693</v>
      </c>
      <c r="H164" s="32">
        <f t="shared" si="87"/>
        <v>8.6206896551724144E-2</v>
      </c>
      <c r="I164" s="101">
        <f>IF(ISNUMBER(G164), $B172 * H164, "")</f>
        <v>12931.034482758621</v>
      </c>
      <c r="J164" s="15">
        <v>702</v>
      </c>
      <c r="K164" s="32">
        <f t="shared" si="88"/>
        <v>0.10031347962382445</v>
      </c>
      <c r="L164" s="18">
        <f>IF(ISNUMBER(J164), $B172 * K164, "")</f>
        <v>15047.021943573667</v>
      </c>
      <c r="M164" s="31">
        <v>669</v>
      </c>
      <c r="N164" s="32">
        <f t="shared" si="89"/>
        <v>4.8589341692789965E-2</v>
      </c>
      <c r="O164" s="18">
        <f>IF(ISNUMBER(M164), $B172 * N164, "")</f>
        <v>7288.4012539184951</v>
      </c>
      <c r="Q164" s="196"/>
      <c r="R164" s="196"/>
      <c r="S164" s="196"/>
    </row>
    <row r="165" spans="1:19" ht="17.25" thickBot="1">
      <c r="A165" s="125" t="s">
        <v>221</v>
      </c>
      <c r="B165" s="126">
        <v>931</v>
      </c>
      <c r="C165" s="77">
        <v>3.2327585999999998E-3</v>
      </c>
      <c r="D165" s="15">
        <v>965</v>
      </c>
      <c r="E165" s="32">
        <f t="shared" si="86"/>
        <v>3.6519871106337275E-2</v>
      </c>
      <c r="F165" s="18">
        <f>IF(ISNUMBER(D165), $B172 * E165, "")</f>
        <v>5477.9806659505912</v>
      </c>
      <c r="G165" s="31">
        <v>956</v>
      </c>
      <c r="H165" s="32">
        <f t="shared" si="87"/>
        <v>2.6852846401718582E-2</v>
      </c>
      <c r="I165" s="101">
        <f>IF(ISNUMBER(G165), $B172 * H165, "")</f>
        <v>4027.9269602577874</v>
      </c>
      <c r="J165" s="15">
        <v>972</v>
      </c>
      <c r="K165" s="32">
        <f t="shared" si="88"/>
        <v>4.4038668098818477E-2</v>
      </c>
      <c r="L165" s="18">
        <f>IF(ISNUMBER(J165), $B172 * K165, "")</f>
        <v>6605.8002148227715</v>
      </c>
      <c r="M165" s="31">
        <v>943</v>
      </c>
      <c r="N165" s="32">
        <f t="shared" si="89"/>
        <v>1.288936627282492E-2</v>
      </c>
      <c r="O165" s="18">
        <f>IF(ISNUMBER(M165), $B172 * N165, "")</f>
        <v>1933.404940923738</v>
      </c>
      <c r="Q165" s="191"/>
      <c r="R165" s="191"/>
      <c r="S165" s="191"/>
    </row>
    <row r="166" spans="1:19" ht="17.25" thickBot="1">
      <c r="A166" s="127" t="s">
        <v>247</v>
      </c>
      <c r="B166" s="128">
        <v>723</v>
      </c>
      <c r="C166" s="78">
        <v>2.7739251E-3</v>
      </c>
      <c r="D166" s="20">
        <v>758</v>
      </c>
      <c r="E166" s="21">
        <f t="shared" si="86"/>
        <v>4.8409405255878286E-2</v>
      </c>
      <c r="F166" s="22">
        <f>IF(ISNUMBER(D166), $B172 * E166, "")</f>
        <v>7261.4107883817433</v>
      </c>
      <c r="G166" s="30">
        <v>753</v>
      </c>
      <c r="H166" s="21">
        <f t="shared" si="87"/>
        <v>4.1493775933609957E-2</v>
      </c>
      <c r="I166" s="105">
        <f>IF(ISNUMBER(G166), $B172 * H166, "")</f>
        <v>6224.0663900414938</v>
      </c>
      <c r="J166" s="20">
        <v>759</v>
      </c>
      <c r="K166" s="21">
        <f t="shared" si="88"/>
        <v>4.9792531120331947E-2</v>
      </c>
      <c r="L166" s="22">
        <f>IF(ISNUMBER(J166), $B172 * K166, "")</f>
        <v>7468.8796680497917</v>
      </c>
      <c r="M166" s="30">
        <v>774</v>
      </c>
      <c r="N166" s="21">
        <f t="shared" si="89"/>
        <v>7.0539419087136929E-2</v>
      </c>
      <c r="O166" s="22">
        <f>IF(ISNUMBER(M166), $B172 * N166, "")</f>
        <v>10580.91286307054</v>
      </c>
      <c r="Q166" s="191"/>
      <c r="R166" s="191"/>
      <c r="S166" s="191"/>
    </row>
    <row r="167" spans="1:19" ht="17.25" thickBot="1">
      <c r="A167" s="125" t="s">
        <v>160</v>
      </c>
      <c r="B167" s="129">
        <v>412</v>
      </c>
      <c r="C167" s="80">
        <v>-2.4213074999999999E-3</v>
      </c>
      <c r="D167" s="106">
        <v>422</v>
      </c>
      <c r="E167" s="107">
        <f>IF(ISNUMBER(D167), (D167 - $B167) / $B167, "")</f>
        <v>2.4271844660194174E-2</v>
      </c>
      <c r="F167" s="108">
        <f>IF(ISNUMBER(D167), $B172 * E167, "")</f>
        <v>3640.7766990291261</v>
      </c>
      <c r="G167" s="109">
        <v>421</v>
      </c>
      <c r="H167" s="107">
        <f>IF(ISNUMBER(G167), (G167 - $B167) / $B167, "")</f>
        <v>2.1844660194174758E-2</v>
      </c>
      <c r="I167" s="110">
        <f>IF(ISNUMBER(G167), $B172 * H167, "")</f>
        <v>3276.6990291262136</v>
      </c>
      <c r="J167" s="106">
        <v>424</v>
      </c>
      <c r="K167" s="107">
        <f>IF(ISNUMBER(J167), (J167 - $B167) / $B167, "")</f>
        <v>2.9126213592233011E-2</v>
      </c>
      <c r="L167" s="108">
        <f>IF(ISNUMBER(J167), $B172 * K167, "")</f>
        <v>4368.9320388349515</v>
      </c>
      <c r="M167" s="109">
        <v>413</v>
      </c>
      <c r="N167" s="107">
        <f>IF(ISNUMBER(M167), (M167 - $B167) / $B167, "")</f>
        <v>2.4271844660194173E-3</v>
      </c>
      <c r="O167" s="108">
        <f>IF(ISNUMBER(M167), $B172 * N167, "")</f>
        <v>364.07766990291259</v>
      </c>
      <c r="Q167" s="196"/>
      <c r="R167" s="196"/>
      <c r="S167" s="196"/>
    </row>
    <row r="168" spans="1:19" ht="17.25" thickBot="1">
      <c r="A168" s="125" t="s">
        <v>180</v>
      </c>
      <c r="B168" s="126">
        <v>916</v>
      </c>
      <c r="C168" s="77">
        <v>-2.4494142699999999E-2</v>
      </c>
      <c r="D168" s="15">
        <v>963</v>
      </c>
      <c r="E168" s="32">
        <f t="shared" ref="E168:E171" si="90">IF(ISNUMBER(D168), (D168 - $B168) / $B168, "")</f>
        <v>5.1310043668122272E-2</v>
      </c>
      <c r="F168" s="18">
        <f>IF(ISNUMBER(D168), $B172 * E168, "")</f>
        <v>7696.5065502183406</v>
      </c>
      <c r="G168" s="31">
        <v>950</v>
      </c>
      <c r="H168" s="32">
        <f t="shared" ref="H168:H171" si="91">IF(ISNUMBER(G168), (G168 - $B168) / $B168, "")</f>
        <v>3.7117903930131008E-2</v>
      </c>
      <c r="I168" s="101">
        <f>IF(ISNUMBER(G168), $B172 * H168, "")</f>
        <v>5567.6855895196513</v>
      </c>
      <c r="J168" s="15">
        <v>964</v>
      </c>
      <c r="K168" s="32">
        <f t="shared" ref="K168:K171" si="92">IF(ISNUMBER(J168), (J168 - $B168) / $B168, "")</f>
        <v>5.2401746724890827E-2</v>
      </c>
      <c r="L168" s="18">
        <f>IF(ISNUMBER(J168), $B172 * K168, "")</f>
        <v>7860.2620087336245</v>
      </c>
      <c r="M168" s="31">
        <v>931</v>
      </c>
      <c r="N168" s="32">
        <f t="shared" ref="N168:N171" si="93">IF(ISNUMBER(M168), (M168 - $B168) / $B168, "")</f>
        <v>1.6375545851528384E-2</v>
      </c>
      <c r="O168" s="18">
        <f>IF(ISNUMBER(M168), $B172 * N168, "")</f>
        <v>2456.3318777292575</v>
      </c>
      <c r="Q168" s="196"/>
      <c r="R168" s="196"/>
      <c r="S168" s="196"/>
    </row>
    <row r="169" spans="1:19" ht="17.25" thickBot="1">
      <c r="A169" s="125" t="s">
        <v>101</v>
      </c>
      <c r="B169" s="126">
        <v>643</v>
      </c>
      <c r="C169" s="77">
        <v>-3.4534534499999998E-2</v>
      </c>
      <c r="D169" s="15">
        <v>687</v>
      </c>
      <c r="E169" s="32">
        <f t="shared" si="90"/>
        <v>6.8429237947122856E-2</v>
      </c>
      <c r="F169" s="18">
        <f>IF(ISNUMBER(D169), $B172 * E169, "")</f>
        <v>10264.385692068428</v>
      </c>
      <c r="G169" s="31">
        <v>678</v>
      </c>
      <c r="H169" s="32">
        <f t="shared" si="91"/>
        <v>5.4432348367029551E-2</v>
      </c>
      <c r="I169" s="101">
        <f>IF(ISNUMBER(G169), $B172 * H169, "")</f>
        <v>8164.852255054433</v>
      </c>
      <c r="J169" s="15">
        <v>690</v>
      </c>
      <c r="K169" s="32">
        <f t="shared" si="92"/>
        <v>7.3094867807153963E-2</v>
      </c>
      <c r="L169" s="18">
        <f>IF(ISNUMBER(J169), $B172 * K169, "")</f>
        <v>10964.230171073094</v>
      </c>
      <c r="M169" s="31">
        <v>685</v>
      </c>
      <c r="N169" s="32">
        <f t="shared" si="93"/>
        <v>6.5318818040435461E-2</v>
      </c>
      <c r="O169" s="18">
        <f>IF(ISNUMBER(M169), $B172 * N169, "")</f>
        <v>9797.8227060653189</v>
      </c>
      <c r="Q169" s="196"/>
      <c r="R169" s="196"/>
      <c r="S169" s="196"/>
    </row>
    <row r="170" spans="1:19">
      <c r="A170" s="125" t="s">
        <v>187</v>
      </c>
      <c r="B170" s="126">
        <v>247</v>
      </c>
      <c r="C170" s="77">
        <v>-4.2635658899999998E-2</v>
      </c>
      <c r="D170" s="15">
        <v>254</v>
      </c>
      <c r="E170" s="32">
        <f t="shared" si="90"/>
        <v>2.8340080971659919E-2</v>
      </c>
      <c r="F170" s="18">
        <f>IF(ISNUMBER(D170), $B172 * E170, "")</f>
        <v>4251.0121457489877</v>
      </c>
      <c r="G170" s="31">
        <v>255</v>
      </c>
      <c r="H170" s="32">
        <f t="shared" si="91"/>
        <v>3.2388663967611336E-2</v>
      </c>
      <c r="I170" s="101">
        <f>IF(ISNUMBER(G170), $B172 * H170, "")</f>
        <v>4858.2995951417006</v>
      </c>
      <c r="J170" s="15">
        <v>257</v>
      </c>
      <c r="K170" s="32">
        <f t="shared" si="92"/>
        <v>4.048582995951417E-2</v>
      </c>
      <c r="L170" s="18">
        <f>IF(ISNUMBER(J170), $B172 * K170, "")</f>
        <v>6072.8744939271255</v>
      </c>
      <c r="M170" s="31">
        <v>246</v>
      </c>
      <c r="N170" s="32">
        <f t="shared" si="93"/>
        <v>-4.048582995951417E-3</v>
      </c>
      <c r="O170" s="18">
        <f>IF(ISNUMBER(M170), $B172 * N170, "")</f>
        <v>-607.28744939271257</v>
      </c>
      <c r="Q170" s="218"/>
      <c r="R170" s="219"/>
      <c r="S170" s="220"/>
    </row>
    <row r="171" spans="1:19" ht="17.25" thickBot="1">
      <c r="A171" s="130" t="s">
        <v>237</v>
      </c>
      <c r="B171" s="131">
        <v>521</v>
      </c>
      <c r="C171" s="79">
        <v>-5.7866184399999999E-2</v>
      </c>
      <c r="D171" s="24">
        <v>558</v>
      </c>
      <c r="E171" s="25">
        <f t="shared" si="90"/>
        <v>7.1017274472168906E-2</v>
      </c>
      <c r="F171" s="104">
        <f>IF(ISNUMBER(D171), $B172 * E171, "")</f>
        <v>10652.591170825335</v>
      </c>
      <c r="G171" s="102">
        <v>549</v>
      </c>
      <c r="H171" s="25">
        <f t="shared" si="91"/>
        <v>5.3742802303262956E-2</v>
      </c>
      <c r="I171" s="103">
        <f>IF(ISNUMBER(G171), $B172 * H171, "")</f>
        <v>8061.4203454894432</v>
      </c>
      <c r="J171" s="24">
        <v>556</v>
      </c>
      <c r="K171" s="25">
        <f t="shared" si="92"/>
        <v>6.71785028790787E-2</v>
      </c>
      <c r="L171" s="104">
        <f>IF(ISNUMBER(J171), $B172 * K171, "")</f>
        <v>10076.775431861804</v>
      </c>
      <c r="M171" s="102">
        <v>531</v>
      </c>
      <c r="N171" s="25">
        <f t="shared" si="93"/>
        <v>1.9193857965451054E-2</v>
      </c>
      <c r="O171" s="104">
        <f>IF(ISNUMBER(M171), $B172 * N171, "")</f>
        <v>2879.0786948176583</v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6.3252582964553883E-2</v>
      </c>
      <c r="F172" s="28">
        <f>SUM(F152:F171)</f>
        <v>189757.74889366163</v>
      </c>
      <c r="G172" s="26" t="s">
        <v>266</v>
      </c>
      <c r="H172" s="27">
        <f>IF(COUNT(H152:H171), SUM(H152:H171) / COUNT(H152:H171), 0)</f>
        <v>5.5531886887729101E-2</v>
      </c>
      <c r="I172" s="28">
        <f>SUM(I152:I171)</f>
        <v>166595.66066318724</v>
      </c>
      <c r="J172" s="26" t="s">
        <v>266</v>
      </c>
      <c r="K172" s="27">
        <f>IF(COUNT(K152:K171), SUM(K152:K171) / COUNT(K152:K171), 0)</f>
        <v>7.0213916695842149E-2</v>
      </c>
      <c r="L172" s="28">
        <f>SUM(L152:L171)</f>
        <v>210641.75008752648</v>
      </c>
      <c r="M172" s="26" t="s">
        <v>266</v>
      </c>
      <c r="N172" s="27">
        <f>IF(COUNT(N152:N171), SUM(N152:N171) / COUNT(N152:N171), 0)</f>
        <v>3.8204014762551988E-2</v>
      </c>
      <c r="O172" s="28">
        <f>SUM(O152:O171)</f>
        <v>114612.04428765597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2022-03-01(화) 오전 00:00</v>
      </c>
      <c r="C177" s="234"/>
      <c r="D177" s="193" t="str">
        <f>TEXT($G$1, "[$-ko-KR]yyyy-mm-dd(ddd) ") &amp; "오후 14:00"</f>
        <v>2022-03-01(화) 오후 14:00</v>
      </c>
      <c r="E177" s="194"/>
      <c r="F177" s="195"/>
      <c r="G177" s="193" t="str">
        <f>TEXT($G$1, "[$-ko-KR]yyyy-mm-dd(ddd) ") &amp; "오후 19:00"</f>
        <v>2022-03-01(화) 오후 19:00</v>
      </c>
      <c r="H177" s="194"/>
      <c r="I177" s="195"/>
      <c r="J177" s="193" t="str">
        <f>TEXT($G$1, "[$-ko-KR]yyyy-mm-dd(ddd) ") &amp; "오후 21:00"</f>
        <v>2022-03-01(화) 오후 21:00</v>
      </c>
      <c r="K177" s="194"/>
      <c r="L177" s="195"/>
      <c r="M177" s="193" t="str">
        <f>TEXT($G$1+1, "[$-ko-KR]yyyy-mm-dd(ddd) ") &amp; "오전 00:00"</f>
        <v>2022-03-02(수)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217</v>
      </c>
      <c r="B179" s="124">
        <v>203</v>
      </c>
      <c r="C179" s="76">
        <v>4.9504950000000001E-3</v>
      </c>
      <c r="D179" s="13">
        <v>215</v>
      </c>
      <c r="E179" s="14">
        <f>IF(ISNUMBER(D179), (D179 - $B179) / $B179, "")</f>
        <v>5.9113300492610835E-2</v>
      </c>
      <c r="F179" s="16">
        <f>IF(ISNUMBER(D179), $B199 * E179, "")</f>
        <v>8866.995073891625</v>
      </c>
      <c r="G179" s="29">
        <v>214</v>
      </c>
      <c r="H179" s="14">
        <f>IF(ISNUMBER(G179), (G179 - $B179) / $B179, "")</f>
        <v>5.4187192118226604E-2</v>
      </c>
      <c r="I179" s="100">
        <f>IF(ISNUMBER(G179), $B199 * H179, "")</f>
        <v>8128.0788177339909</v>
      </c>
      <c r="J179" s="13">
        <v>216</v>
      </c>
      <c r="K179" s="14">
        <f>IF(ISNUMBER(J179), (J179 - $B179) / $B179, "")</f>
        <v>6.4039408866995079E-2</v>
      </c>
      <c r="L179" s="16">
        <f>IF(ISNUMBER(J179), $B199 * K179, "")</f>
        <v>9605.9113300492627</v>
      </c>
      <c r="M179" s="29">
        <v>207</v>
      </c>
      <c r="N179" s="14">
        <f>IF(ISNUMBER(M179), (M179 - $B179) / $B179, "")</f>
        <v>1.9704433497536946E-2</v>
      </c>
      <c r="O179" s="16">
        <f>IF(ISNUMBER(M179), $B199 * N179, "")</f>
        <v>2955.6650246305421</v>
      </c>
      <c r="Q179" s="191"/>
      <c r="R179" s="191"/>
      <c r="S179" s="191"/>
    </row>
    <row r="180" spans="1:19" ht="17.25" thickBot="1">
      <c r="A180" s="125" t="s">
        <v>170</v>
      </c>
      <c r="B180" s="126">
        <v>638</v>
      </c>
      <c r="C180" s="77">
        <v>4.7244093999999999E-3</v>
      </c>
      <c r="D180" s="15">
        <v>697</v>
      </c>
      <c r="E180" s="32">
        <f t="shared" ref="E180:E183" si="94">IF(ISNUMBER(D180), (D180 - $B180) / $B180, "")</f>
        <v>9.2476489028213163E-2</v>
      </c>
      <c r="F180" s="18">
        <f>IF(ISNUMBER(D180), $B199 * E180, "")</f>
        <v>13871.473354231974</v>
      </c>
      <c r="G180" s="31">
        <v>693</v>
      </c>
      <c r="H180" s="32">
        <f t="shared" ref="H180:H183" si="95">IF(ISNUMBER(G180), (G180 - $B180) / $B180, "")</f>
        <v>8.6206896551724144E-2</v>
      </c>
      <c r="I180" s="101">
        <f>IF(ISNUMBER(G180), $B199 * H180, "")</f>
        <v>12931.034482758621</v>
      </c>
      <c r="J180" s="15">
        <v>702</v>
      </c>
      <c r="K180" s="32">
        <f t="shared" ref="K180:K183" si="96">IF(ISNUMBER(J180), (J180 - $B180) / $B180, "")</f>
        <v>0.10031347962382445</v>
      </c>
      <c r="L180" s="18">
        <f>IF(ISNUMBER(J180), $B199 * K180, "")</f>
        <v>15047.021943573667</v>
      </c>
      <c r="M180" s="31">
        <v>669</v>
      </c>
      <c r="N180" s="32">
        <f t="shared" ref="N180:N183" si="97">IF(ISNUMBER(M180), (M180 - $B180) / $B180, "")</f>
        <v>4.8589341692789965E-2</v>
      </c>
      <c r="O180" s="18">
        <f>IF(ISNUMBER(M180), $B199 * N180, "")</f>
        <v>7288.4012539184951</v>
      </c>
      <c r="Q180" s="191"/>
      <c r="R180" s="191"/>
      <c r="S180" s="191"/>
    </row>
    <row r="181" spans="1:19" ht="17.25" thickBot="1">
      <c r="A181" s="125" t="s">
        <v>166</v>
      </c>
      <c r="B181" s="126">
        <v>17080</v>
      </c>
      <c r="C181" s="77">
        <v>4.7058823999999999E-3</v>
      </c>
      <c r="D181" s="15">
        <v>17950</v>
      </c>
      <c r="E181" s="32">
        <f t="shared" si="94"/>
        <v>5.0936768149882905E-2</v>
      </c>
      <c r="F181" s="18">
        <f>IF(ISNUMBER(D181), $B199 * E181, "")</f>
        <v>7640.515222482436</v>
      </c>
      <c r="G181" s="31">
        <v>17830</v>
      </c>
      <c r="H181" s="32">
        <f t="shared" si="95"/>
        <v>4.3911007025761124E-2</v>
      </c>
      <c r="I181" s="101">
        <f>IF(ISNUMBER(G181), $B199 * H181, "")</f>
        <v>6586.6510538641687</v>
      </c>
      <c r="J181" s="15">
        <v>18140</v>
      </c>
      <c r="K181" s="32">
        <f t="shared" si="96"/>
        <v>6.2060889929742388E-2</v>
      </c>
      <c r="L181" s="18">
        <f>IF(ISNUMBER(J181), $B199 * K181, "")</f>
        <v>9309.1334894613574</v>
      </c>
      <c r="M181" s="31">
        <v>17950</v>
      </c>
      <c r="N181" s="32">
        <f t="shared" si="97"/>
        <v>5.0936768149882905E-2</v>
      </c>
      <c r="O181" s="18">
        <f>IF(ISNUMBER(M181), $B199 * N181, "")</f>
        <v>7640.515222482436</v>
      </c>
      <c r="Q181" s="196"/>
      <c r="R181" s="196"/>
      <c r="S181" s="196"/>
    </row>
    <row r="182" spans="1:19" ht="17.25" thickBot="1">
      <c r="A182" s="125" t="s">
        <v>221</v>
      </c>
      <c r="B182" s="126">
        <v>931</v>
      </c>
      <c r="C182" s="77">
        <v>3.2327585999999998E-3</v>
      </c>
      <c r="D182" s="15">
        <v>965</v>
      </c>
      <c r="E182" s="32">
        <f t="shared" si="94"/>
        <v>3.6519871106337275E-2</v>
      </c>
      <c r="F182" s="18">
        <f>IF(ISNUMBER(D182), $B199 * E182, "")</f>
        <v>5477.9806659505912</v>
      </c>
      <c r="G182" s="31">
        <v>956</v>
      </c>
      <c r="H182" s="32">
        <f t="shared" si="95"/>
        <v>2.6852846401718582E-2</v>
      </c>
      <c r="I182" s="101">
        <f>IF(ISNUMBER(G182), $B199 * H182, "")</f>
        <v>4027.9269602577874</v>
      </c>
      <c r="J182" s="15">
        <v>972</v>
      </c>
      <c r="K182" s="32">
        <f t="shared" si="96"/>
        <v>4.4038668098818477E-2</v>
      </c>
      <c r="L182" s="18">
        <f>IF(ISNUMBER(J182), $B199 * K182, "")</f>
        <v>6605.8002148227715</v>
      </c>
      <c r="M182" s="31">
        <v>943</v>
      </c>
      <c r="N182" s="32">
        <f t="shared" si="97"/>
        <v>1.288936627282492E-2</v>
      </c>
      <c r="O182" s="18">
        <f>IF(ISNUMBER(M182), $B199 * N182, "")</f>
        <v>1933.404940923738</v>
      </c>
      <c r="Q182" s="196"/>
      <c r="R182" s="196"/>
      <c r="S182" s="196"/>
    </row>
    <row r="183" spans="1:19" ht="17.25" thickBot="1">
      <c r="A183" s="127" t="s">
        <v>247</v>
      </c>
      <c r="B183" s="128">
        <v>723</v>
      </c>
      <c r="C183" s="78">
        <v>2.7739251E-3</v>
      </c>
      <c r="D183" s="20">
        <v>758</v>
      </c>
      <c r="E183" s="21">
        <f t="shared" si="94"/>
        <v>4.8409405255878286E-2</v>
      </c>
      <c r="F183" s="22">
        <f>IF(ISNUMBER(D183), $B199 * E183, "")</f>
        <v>7261.4107883817433</v>
      </c>
      <c r="G183" s="30">
        <v>753</v>
      </c>
      <c r="H183" s="21">
        <f t="shared" si="95"/>
        <v>4.1493775933609957E-2</v>
      </c>
      <c r="I183" s="105">
        <f>IF(ISNUMBER(G183), $B199 * H183, "")</f>
        <v>6224.0663900414938</v>
      </c>
      <c r="J183" s="20">
        <v>759</v>
      </c>
      <c r="K183" s="21">
        <f t="shared" si="96"/>
        <v>4.9792531120331947E-2</v>
      </c>
      <c r="L183" s="22">
        <f>IF(ISNUMBER(J183), $B199 * K183, "")</f>
        <v>7468.8796680497917</v>
      </c>
      <c r="M183" s="30">
        <v>774</v>
      </c>
      <c r="N183" s="21">
        <f t="shared" si="97"/>
        <v>7.0539419087136929E-2</v>
      </c>
      <c r="O183" s="22">
        <f>IF(ISNUMBER(M183), $B199 * N183, "")</f>
        <v>10580.91286307054</v>
      </c>
      <c r="Q183" s="196"/>
      <c r="R183" s="196"/>
      <c r="S183" s="196"/>
    </row>
    <row r="184" spans="1:19" ht="17.25" thickBot="1">
      <c r="A184" s="125" t="s">
        <v>130</v>
      </c>
      <c r="B184" s="129">
        <v>21500</v>
      </c>
      <c r="C184" s="80">
        <v>-1.3934046E-3</v>
      </c>
      <c r="D184" s="106">
        <v>22610</v>
      </c>
      <c r="E184" s="107">
        <f>IF(ISNUMBER(D184), (D184 - $B184) / $B184, "")</f>
        <v>5.1627906976744187E-2</v>
      </c>
      <c r="F184" s="108">
        <f>IF(ISNUMBER(D184), $B199 * E184, "")</f>
        <v>7744.1860465116279</v>
      </c>
      <c r="G184" s="109">
        <v>22500</v>
      </c>
      <c r="H184" s="107">
        <f>IF(ISNUMBER(G184), (G184 - $B184) / $B184, "")</f>
        <v>4.6511627906976744E-2</v>
      </c>
      <c r="I184" s="110">
        <f>IF(ISNUMBER(G184), $B199 * H184, "")</f>
        <v>6976.7441860465115</v>
      </c>
      <c r="J184" s="106">
        <v>22990</v>
      </c>
      <c r="K184" s="107">
        <f>IF(ISNUMBER(J184), (J184 - $B184) / $B184, "")</f>
        <v>6.9302325581395346E-2</v>
      </c>
      <c r="L184" s="108">
        <f>IF(ISNUMBER(J184), $B199 * K184, "")</f>
        <v>10395.348837209302</v>
      </c>
      <c r="M184" s="109">
        <v>22670</v>
      </c>
      <c r="N184" s="107">
        <f>IF(ISNUMBER(M184), (M184 - $B184) / $B184, "")</f>
        <v>5.4418604651162793E-2</v>
      </c>
      <c r="O184" s="108">
        <f>IF(ISNUMBER(M184), $B199 * N184, "")</f>
        <v>8162.7906976744189</v>
      </c>
      <c r="Q184" s="196"/>
      <c r="R184" s="196"/>
      <c r="S184" s="196"/>
    </row>
    <row r="185" spans="1:19" ht="17.25" thickBot="1">
      <c r="A185" s="125" t="s">
        <v>160</v>
      </c>
      <c r="B185" s="126">
        <v>412</v>
      </c>
      <c r="C185" s="77">
        <v>-2.4213074999999999E-3</v>
      </c>
      <c r="D185" s="15">
        <v>422</v>
      </c>
      <c r="E185" s="32">
        <f t="shared" ref="E185:E188" si="98">IF(ISNUMBER(D185), (D185 - $B185) / $B185, "")</f>
        <v>2.4271844660194174E-2</v>
      </c>
      <c r="F185" s="18">
        <f>IF(ISNUMBER(D185), $B199 * E185, "")</f>
        <v>3640.7766990291261</v>
      </c>
      <c r="G185" s="31">
        <v>421</v>
      </c>
      <c r="H185" s="32">
        <f t="shared" ref="H185:H188" si="99">IF(ISNUMBER(G185), (G185 - $B185) / $B185, "")</f>
        <v>2.1844660194174758E-2</v>
      </c>
      <c r="I185" s="101">
        <f>IF(ISNUMBER(G185), $B199 * H185, "")</f>
        <v>3276.6990291262136</v>
      </c>
      <c r="J185" s="15">
        <v>424</v>
      </c>
      <c r="K185" s="32">
        <f t="shared" ref="K185:K188" si="100">IF(ISNUMBER(J185), (J185 - $B185) / $B185, "")</f>
        <v>2.9126213592233011E-2</v>
      </c>
      <c r="L185" s="18">
        <f>IF(ISNUMBER(J185), $B199 * K185, "")</f>
        <v>4368.9320388349515</v>
      </c>
      <c r="M185" s="31">
        <v>413</v>
      </c>
      <c r="N185" s="32">
        <f t="shared" ref="N185:N188" si="101">IF(ISNUMBER(M185), (M185 - $B185) / $B185, "")</f>
        <v>2.4271844660194173E-3</v>
      </c>
      <c r="O185" s="18">
        <f>IF(ISNUMBER(M185), $B199 * N185, "")</f>
        <v>364.07766990291259</v>
      </c>
      <c r="Q185" s="196"/>
      <c r="R185" s="196"/>
      <c r="S185" s="196"/>
    </row>
    <row r="186" spans="1:19" ht="17.25" thickBot="1">
      <c r="A186" s="125" t="s">
        <v>71</v>
      </c>
      <c r="B186" s="126">
        <v>18.899999999999999</v>
      </c>
      <c r="C186" s="77">
        <v>-5.2631579E-3</v>
      </c>
      <c r="D186" s="15">
        <v>20</v>
      </c>
      <c r="E186" s="32">
        <f t="shared" si="98"/>
        <v>5.8201058201058281E-2</v>
      </c>
      <c r="F186" s="18">
        <f>IF(ISNUMBER(D186), $B199 * E186, "")</f>
        <v>8730.1587301587424</v>
      </c>
      <c r="G186" s="31">
        <v>19.899999999999999</v>
      </c>
      <c r="H186" s="32">
        <f t="shared" si="99"/>
        <v>5.2910052910052914E-2</v>
      </c>
      <c r="I186" s="101">
        <f>IF(ISNUMBER(G186), $B199 * H186, "")</f>
        <v>7936.5079365079373</v>
      </c>
      <c r="J186" s="15">
        <v>20</v>
      </c>
      <c r="K186" s="32">
        <f t="shared" si="100"/>
        <v>5.8201058201058281E-2</v>
      </c>
      <c r="L186" s="18">
        <f>IF(ISNUMBER(J186), $B199 * K186, "")</f>
        <v>8730.1587301587424</v>
      </c>
      <c r="M186" s="31">
        <v>20.9</v>
      </c>
      <c r="N186" s="32">
        <f t="shared" si="101"/>
        <v>0.10582010582010583</v>
      </c>
      <c r="O186" s="18">
        <f>IF(ISNUMBER(M186), $B199 * N186, "")</f>
        <v>15873.015873015875</v>
      </c>
      <c r="Q186" s="196"/>
      <c r="R186" s="196"/>
      <c r="S186" s="196"/>
    </row>
    <row r="187" spans="1:19" ht="17.25" thickBot="1">
      <c r="A187" s="125" t="s">
        <v>182</v>
      </c>
      <c r="B187" s="126">
        <v>4550</v>
      </c>
      <c r="C187" s="77">
        <v>-7.6335878000000001E-3</v>
      </c>
      <c r="D187" s="15">
        <v>4770</v>
      </c>
      <c r="E187" s="32">
        <f t="shared" si="98"/>
        <v>4.8351648351648353E-2</v>
      </c>
      <c r="F187" s="18">
        <f>IF(ISNUMBER(D187), $B199 * E187, "")</f>
        <v>7252.7472527472528</v>
      </c>
      <c r="G187" s="31">
        <v>4745</v>
      </c>
      <c r="H187" s="32">
        <f t="shared" si="99"/>
        <v>4.2857142857142858E-2</v>
      </c>
      <c r="I187" s="101">
        <f>IF(ISNUMBER(G187), $B199 * H187, "")</f>
        <v>6428.5714285714284</v>
      </c>
      <c r="J187" s="15">
        <v>4795</v>
      </c>
      <c r="K187" s="32">
        <f t="shared" si="100"/>
        <v>5.3846153846153849E-2</v>
      </c>
      <c r="L187" s="18">
        <f>IF(ISNUMBER(J187), $B199 * K187, "")</f>
        <v>8076.9230769230771</v>
      </c>
      <c r="M187" s="31">
        <v>4800</v>
      </c>
      <c r="N187" s="32">
        <f t="shared" si="101"/>
        <v>5.4945054945054944E-2</v>
      </c>
      <c r="O187" s="18">
        <f>IF(ISNUMBER(M187), $B199 * N187, "")</f>
        <v>8241.7582417582416</v>
      </c>
      <c r="Q187" s="33"/>
      <c r="R187" s="33"/>
    </row>
    <row r="188" spans="1:19" ht="17.25" thickBot="1">
      <c r="A188" s="130" t="s">
        <v>178</v>
      </c>
      <c r="B188" s="131">
        <v>48600</v>
      </c>
      <c r="C188" s="79">
        <v>-8.3656397E-3</v>
      </c>
      <c r="D188" s="24">
        <v>49060</v>
      </c>
      <c r="E188" s="25">
        <f t="shared" si="98"/>
        <v>9.4650205761316868E-3</v>
      </c>
      <c r="F188" s="104">
        <f>IF(ISNUMBER(D188), $B199 * E188, "")</f>
        <v>1419.7530864197531</v>
      </c>
      <c r="G188" s="102">
        <v>48900</v>
      </c>
      <c r="H188" s="25">
        <f t="shared" si="99"/>
        <v>6.1728395061728392E-3</v>
      </c>
      <c r="I188" s="103">
        <f>IF(ISNUMBER(G188), $B199 * H188, "")</f>
        <v>925.92592592592587</v>
      </c>
      <c r="J188" s="24">
        <v>48940</v>
      </c>
      <c r="K188" s="25">
        <f t="shared" si="100"/>
        <v>6.9958847736625515E-3</v>
      </c>
      <c r="L188" s="104">
        <f>IF(ISNUMBER(J188), $B199 * K188, "")</f>
        <v>1049.3827160493827</v>
      </c>
      <c r="M188" s="102">
        <v>47450</v>
      </c>
      <c r="N188" s="25">
        <f t="shared" si="101"/>
        <v>-2.3662551440329218E-2</v>
      </c>
      <c r="O188" s="104">
        <f>IF(ISNUMBER(M188), $B199 * N188, "")</f>
        <v>-3549.3827160493829</v>
      </c>
      <c r="Q188" s="205"/>
      <c r="R188" s="206"/>
      <c r="S188" s="207"/>
    </row>
    <row r="189" spans="1:19">
      <c r="A189" s="123" t="s">
        <v>243</v>
      </c>
      <c r="B189" s="124">
        <v>1180</v>
      </c>
      <c r="C189" s="76">
        <v>-8.4033613000000004E-3</v>
      </c>
      <c r="D189" s="13">
        <v>1240</v>
      </c>
      <c r="E189" s="14">
        <f>IF(ISNUMBER(D189), (D189 - $B189) / $B189, "")</f>
        <v>5.0847457627118647E-2</v>
      </c>
      <c r="F189" s="16">
        <f>IF(ISNUMBER(D189), $B199 * E189, "")</f>
        <v>7627.1186440677975</v>
      </c>
      <c r="G189" s="29">
        <v>1235</v>
      </c>
      <c r="H189" s="14">
        <f>IF(ISNUMBER(G189), (G189 - $B189) / $B189, "")</f>
        <v>4.6610169491525424E-2</v>
      </c>
      <c r="I189" s="100">
        <f>IF(ISNUMBER(G189), $B199 * H189, "")</f>
        <v>6991.5254237288136</v>
      </c>
      <c r="J189" s="13">
        <v>1255</v>
      </c>
      <c r="K189" s="14">
        <f>IF(ISNUMBER(J189), (J189 - $B189) / $B189, "")</f>
        <v>6.3559322033898302E-2</v>
      </c>
      <c r="L189" s="16">
        <f>IF(ISNUMBER(J189), $B199 * K189, "")</f>
        <v>9533.8983050847455</v>
      </c>
      <c r="M189" s="29">
        <v>1225</v>
      </c>
      <c r="N189" s="14">
        <f>IF(ISNUMBER(M189), (M189 - $B189) / $B189, "")</f>
        <v>3.8135593220338986E-2</v>
      </c>
      <c r="O189" s="16">
        <f>IF(ISNUMBER(M189), $B199 * N189, "")</f>
        <v>5720.3389830508477</v>
      </c>
      <c r="Q189" s="208"/>
      <c r="R189" s="209"/>
      <c r="S189" s="210"/>
    </row>
    <row r="190" spans="1:19" ht="17.25" thickBot="1">
      <c r="A190" s="125" t="s">
        <v>219</v>
      </c>
      <c r="B190" s="126">
        <v>2750</v>
      </c>
      <c r="C190" s="77">
        <v>-9.0090090000000001E-3</v>
      </c>
      <c r="D190" s="15">
        <v>2885</v>
      </c>
      <c r="E190" s="32">
        <f t="shared" ref="E190:E193" si="102">IF(ISNUMBER(D190), (D190 - $B190) / $B190, "")</f>
        <v>4.9090909090909088E-2</v>
      </c>
      <c r="F190" s="18">
        <f>IF(ISNUMBER(D190), $B199 * E190, "")</f>
        <v>7363.6363636363631</v>
      </c>
      <c r="G190" s="31">
        <v>2880</v>
      </c>
      <c r="H190" s="32">
        <f t="shared" ref="H190:H193" si="103">IF(ISNUMBER(G190), (G190 - $B190) / $B190, "")</f>
        <v>4.7272727272727272E-2</v>
      </c>
      <c r="I190" s="101">
        <f>IF(ISNUMBER(G190), $B199 * H190, "")</f>
        <v>7090.909090909091</v>
      </c>
      <c r="J190" s="15">
        <v>2900</v>
      </c>
      <c r="K190" s="32">
        <f t="shared" ref="K190:K193" si="104">IF(ISNUMBER(J190), (J190 - $B190) / $B190, "")</f>
        <v>5.4545454545454543E-2</v>
      </c>
      <c r="L190" s="18">
        <f>IF(ISNUMBER(J190), $B199 * K190, "")</f>
        <v>8181.8181818181811</v>
      </c>
      <c r="M190" s="31">
        <v>2855</v>
      </c>
      <c r="N190" s="32">
        <f t="shared" ref="N190:N193" si="105">IF(ISNUMBER(M190), (M190 - $B190) / $B190, "")</f>
        <v>3.8181818181818185E-2</v>
      </c>
      <c r="O190" s="18">
        <f>IF(ISNUMBER(M190), $B199 * N190, "")</f>
        <v>5727.2727272727279</v>
      </c>
      <c r="Q190" s="211"/>
      <c r="R190" s="212"/>
      <c r="S190" s="213"/>
    </row>
    <row r="191" spans="1:19" ht="17.25" thickBot="1">
      <c r="A191" s="125" t="s">
        <v>241</v>
      </c>
      <c r="B191" s="126">
        <v>5115</v>
      </c>
      <c r="C191" s="77">
        <v>-9.6805420999999999E-3</v>
      </c>
      <c r="D191" s="15">
        <v>5360</v>
      </c>
      <c r="E191" s="32">
        <f t="shared" si="102"/>
        <v>4.7898338220918865E-2</v>
      </c>
      <c r="F191" s="18">
        <f>IF(ISNUMBER(D191), $B199 * E191, "")</f>
        <v>7184.7507331378301</v>
      </c>
      <c r="G191" s="31">
        <v>5320</v>
      </c>
      <c r="H191" s="32">
        <f t="shared" si="103"/>
        <v>4.0078201368523948E-2</v>
      </c>
      <c r="I191" s="101">
        <f>IF(ISNUMBER(G191), $B199 * H191, "")</f>
        <v>6011.7302052785926</v>
      </c>
      <c r="J191" s="15">
        <v>5390</v>
      </c>
      <c r="K191" s="32">
        <f t="shared" si="104"/>
        <v>5.3763440860215055E-2</v>
      </c>
      <c r="L191" s="18">
        <f>IF(ISNUMBER(J191), $B199 * K191, "")</f>
        <v>8064.5161290322585</v>
      </c>
      <c r="M191" s="31">
        <v>5315</v>
      </c>
      <c r="N191" s="32">
        <f t="shared" si="105"/>
        <v>3.9100684261974585E-2</v>
      </c>
      <c r="O191" s="18">
        <f>IF(ISNUMBER(M191), $B199 * N191, "")</f>
        <v>5865.1026392961876</v>
      </c>
      <c r="Q191" s="196"/>
      <c r="R191" s="196"/>
      <c r="S191" s="196"/>
    </row>
    <row r="192" spans="1:19" ht="17.25" thickBot="1">
      <c r="A192" s="125" t="s">
        <v>138</v>
      </c>
      <c r="B192" s="126">
        <v>5825</v>
      </c>
      <c r="C192" s="77">
        <v>-1.27118644E-2</v>
      </c>
      <c r="D192" s="15">
        <v>6145</v>
      </c>
      <c r="E192" s="32">
        <f t="shared" si="102"/>
        <v>5.4935622317596564E-2</v>
      </c>
      <c r="F192" s="18">
        <f>IF(ISNUMBER(D192), $B199 * E192, "")</f>
        <v>8240.3433476394839</v>
      </c>
      <c r="G192" s="31">
        <v>6085</v>
      </c>
      <c r="H192" s="32">
        <f t="shared" si="103"/>
        <v>4.4635193133047209E-2</v>
      </c>
      <c r="I192" s="101">
        <f>IF(ISNUMBER(G192), $B199 * H192, "")</f>
        <v>6695.2789699570812</v>
      </c>
      <c r="J192" s="15">
        <v>6180</v>
      </c>
      <c r="K192" s="32">
        <f t="shared" si="104"/>
        <v>6.094420600858369E-2</v>
      </c>
      <c r="L192" s="18">
        <f>IF(ISNUMBER(J192), $B199 * K192, "")</f>
        <v>9141.6309012875536</v>
      </c>
      <c r="M192" s="31">
        <v>6045</v>
      </c>
      <c r="N192" s="32">
        <f t="shared" si="105"/>
        <v>3.7768240343347637E-2</v>
      </c>
      <c r="O192" s="18">
        <f>IF(ISNUMBER(M192), $B199 * N192, "")</f>
        <v>5665.2360515021455</v>
      </c>
      <c r="Q192" s="191"/>
      <c r="R192" s="191"/>
      <c r="S192" s="191"/>
    </row>
    <row r="193" spans="1:19" ht="17.25" thickBot="1">
      <c r="A193" s="127" t="s">
        <v>180</v>
      </c>
      <c r="B193" s="128">
        <v>916</v>
      </c>
      <c r="C193" s="78">
        <v>-2.4494142699999999E-2</v>
      </c>
      <c r="D193" s="20">
        <v>963</v>
      </c>
      <c r="E193" s="21">
        <f t="shared" si="102"/>
        <v>5.1310043668122272E-2</v>
      </c>
      <c r="F193" s="22">
        <f>IF(ISNUMBER(D193), $B199 * E193, "")</f>
        <v>7696.5065502183406</v>
      </c>
      <c r="G193" s="30">
        <v>950</v>
      </c>
      <c r="H193" s="21">
        <f t="shared" si="103"/>
        <v>3.7117903930131008E-2</v>
      </c>
      <c r="I193" s="105">
        <f>IF(ISNUMBER(G193), $B199 * H193, "")</f>
        <v>5567.6855895196513</v>
      </c>
      <c r="J193" s="20">
        <v>964</v>
      </c>
      <c r="K193" s="21">
        <f t="shared" si="104"/>
        <v>5.2401746724890827E-2</v>
      </c>
      <c r="L193" s="22">
        <f>IF(ISNUMBER(J193), $B199 * K193, "")</f>
        <v>7860.2620087336245</v>
      </c>
      <c r="M193" s="30">
        <v>931</v>
      </c>
      <c r="N193" s="21">
        <f t="shared" si="105"/>
        <v>1.6375545851528384E-2</v>
      </c>
      <c r="O193" s="22">
        <f>IF(ISNUMBER(M193), $B199 * N193, "")</f>
        <v>2456.3318777292575</v>
      </c>
      <c r="Q193" s="191"/>
      <c r="R193" s="191"/>
      <c r="S193" s="191"/>
    </row>
    <row r="194" spans="1:19" ht="17.25" thickBot="1">
      <c r="A194" s="125" t="s">
        <v>205</v>
      </c>
      <c r="B194" s="129">
        <v>11.6</v>
      </c>
      <c r="C194" s="80">
        <v>-2.5210084000000001E-2</v>
      </c>
      <c r="D194" s="106">
        <v>12.1</v>
      </c>
      <c r="E194" s="107">
        <f>IF(ISNUMBER(D194), (D194 - $B194) / $B194, "")</f>
        <v>4.3103448275862072E-2</v>
      </c>
      <c r="F194" s="108">
        <f>IF(ISNUMBER(D194), $B199 * E194, "")</f>
        <v>6465.5172413793107</v>
      </c>
      <c r="G194" s="109">
        <v>12.2</v>
      </c>
      <c r="H194" s="107">
        <f>IF(ISNUMBER(G194), (G194 - $B194) / $B194, "")</f>
        <v>5.1724137931034454E-2</v>
      </c>
      <c r="I194" s="110">
        <f>IF(ISNUMBER(G194), $B199 * H194, "")</f>
        <v>7758.6206896551685</v>
      </c>
      <c r="J194" s="106">
        <v>12.2</v>
      </c>
      <c r="K194" s="107">
        <f>IF(ISNUMBER(J194), (J194 - $B194) / $B194, "")</f>
        <v>5.1724137931034454E-2</v>
      </c>
      <c r="L194" s="108">
        <f>IF(ISNUMBER(J194), $B199 * K194, "")</f>
        <v>7758.6206896551685</v>
      </c>
      <c r="M194" s="109">
        <v>11.9</v>
      </c>
      <c r="N194" s="107">
        <f>IF(ISNUMBER(M194), (M194 - $B194) / $B194, "")</f>
        <v>2.5862068965517303E-2</v>
      </c>
      <c r="O194" s="108">
        <f>IF(ISNUMBER(M194), $B199 * N194, "")</f>
        <v>3879.3103448275956</v>
      </c>
      <c r="Q194" s="196"/>
      <c r="R194" s="196"/>
      <c r="S194" s="196"/>
    </row>
    <row r="195" spans="1:19" ht="17.25" thickBot="1">
      <c r="A195" s="125" t="s">
        <v>101</v>
      </c>
      <c r="B195" s="126">
        <v>643</v>
      </c>
      <c r="C195" s="77">
        <v>-3.4534534499999998E-2</v>
      </c>
      <c r="D195" s="15">
        <v>687</v>
      </c>
      <c r="E195" s="32">
        <f t="shared" ref="E195:E198" si="106">IF(ISNUMBER(D195), (D195 - $B195) / $B195, "")</f>
        <v>6.8429237947122856E-2</v>
      </c>
      <c r="F195" s="18">
        <f>IF(ISNUMBER(D195), $B199 * E195, "")</f>
        <v>10264.385692068428</v>
      </c>
      <c r="G195" s="31">
        <v>678</v>
      </c>
      <c r="H195" s="32">
        <f t="shared" ref="H195:H198" si="107">IF(ISNUMBER(G195), (G195 - $B195) / $B195, "")</f>
        <v>5.4432348367029551E-2</v>
      </c>
      <c r="I195" s="101">
        <f>IF(ISNUMBER(G195), $B199 * H195, "")</f>
        <v>8164.852255054433</v>
      </c>
      <c r="J195" s="15">
        <v>690</v>
      </c>
      <c r="K195" s="32">
        <f t="shared" ref="K195:K198" si="108">IF(ISNUMBER(J195), (J195 - $B195) / $B195, "")</f>
        <v>7.3094867807153963E-2</v>
      </c>
      <c r="L195" s="18">
        <f>IF(ISNUMBER(J195), $B199 * K195, "")</f>
        <v>10964.230171073094</v>
      </c>
      <c r="M195" s="31">
        <v>685</v>
      </c>
      <c r="N195" s="32">
        <f t="shared" ref="N195:N198" si="109">IF(ISNUMBER(M195), (M195 - $B195) / $B195, "")</f>
        <v>6.5318818040435461E-2</v>
      </c>
      <c r="O195" s="18">
        <f>IF(ISNUMBER(M195), $B199 * N195, "")</f>
        <v>9797.8227060653189</v>
      </c>
      <c r="Q195" s="196"/>
      <c r="R195" s="196"/>
      <c r="S195" s="196"/>
    </row>
    <row r="196" spans="1:19" ht="17.25" thickBot="1">
      <c r="A196" s="125" t="s">
        <v>187</v>
      </c>
      <c r="B196" s="126">
        <v>247</v>
      </c>
      <c r="C196" s="77">
        <v>-4.2635658899999998E-2</v>
      </c>
      <c r="D196" s="15">
        <v>254</v>
      </c>
      <c r="E196" s="32">
        <f t="shared" si="106"/>
        <v>2.8340080971659919E-2</v>
      </c>
      <c r="F196" s="18">
        <f>IF(ISNUMBER(D196), $B199 * E196, "")</f>
        <v>4251.0121457489877</v>
      </c>
      <c r="G196" s="31">
        <v>255</v>
      </c>
      <c r="H196" s="32">
        <f t="shared" si="107"/>
        <v>3.2388663967611336E-2</v>
      </c>
      <c r="I196" s="101">
        <f>IF(ISNUMBER(G196), $B199 * H196, "")</f>
        <v>4858.2995951417006</v>
      </c>
      <c r="J196" s="15">
        <v>257</v>
      </c>
      <c r="K196" s="32">
        <f t="shared" si="108"/>
        <v>4.048582995951417E-2</v>
      </c>
      <c r="L196" s="18">
        <f>IF(ISNUMBER(J196), $B199 * K196, "")</f>
        <v>6072.8744939271255</v>
      </c>
      <c r="M196" s="31">
        <v>246</v>
      </c>
      <c r="N196" s="32">
        <f t="shared" si="109"/>
        <v>-4.048582995951417E-3</v>
      </c>
      <c r="O196" s="18">
        <f>IF(ISNUMBER(M196), $B199 * N196, "")</f>
        <v>-607.28744939271257</v>
      </c>
      <c r="Q196" s="196"/>
      <c r="R196" s="196"/>
      <c r="S196" s="196"/>
    </row>
    <row r="197" spans="1:19">
      <c r="A197" s="125" t="s">
        <v>66</v>
      </c>
      <c r="B197" s="126">
        <v>2775</v>
      </c>
      <c r="C197" s="77">
        <v>-5.1282051299999999E-2</v>
      </c>
      <c r="D197" s="15">
        <v>2860</v>
      </c>
      <c r="E197" s="32">
        <f t="shared" si="106"/>
        <v>3.063063063063063E-2</v>
      </c>
      <c r="F197" s="18">
        <f>IF(ISNUMBER(D197), $B199 * E197, "")</f>
        <v>4594.5945945945941</v>
      </c>
      <c r="G197" s="31">
        <v>2845</v>
      </c>
      <c r="H197" s="32">
        <f t="shared" si="107"/>
        <v>2.5225225225225224E-2</v>
      </c>
      <c r="I197" s="101">
        <f>IF(ISNUMBER(G197), $B199 * H197, "")</f>
        <v>3783.7837837837837</v>
      </c>
      <c r="J197" s="15">
        <v>2870</v>
      </c>
      <c r="K197" s="32">
        <f t="shared" si="108"/>
        <v>3.4234234234234232E-2</v>
      </c>
      <c r="L197" s="18">
        <f>IF(ISNUMBER(J197), $B199 * K197, "")</f>
        <v>5135.135135135135</v>
      </c>
      <c r="M197" s="31">
        <v>2760</v>
      </c>
      <c r="N197" s="32">
        <f t="shared" si="109"/>
        <v>-5.4054054054054057E-3</v>
      </c>
      <c r="O197" s="18">
        <f>IF(ISNUMBER(M197), $B199 * N197, "")</f>
        <v>-810.81081081081084</v>
      </c>
      <c r="Q197" s="218"/>
      <c r="R197" s="219"/>
      <c r="S197" s="220"/>
    </row>
    <row r="198" spans="1:19" ht="17.25" thickBot="1">
      <c r="A198" s="130" t="s">
        <v>237</v>
      </c>
      <c r="B198" s="131">
        <v>521</v>
      </c>
      <c r="C198" s="79">
        <v>-5.7866184399999999E-2</v>
      </c>
      <c r="D198" s="24">
        <v>558</v>
      </c>
      <c r="E198" s="25">
        <f t="shared" si="106"/>
        <v>7.1017274472168906E-2</v>
      </c>
      <c r="F198" s="104">
        <f>IF(ISNUMBER(D198), $B199 * E198, "")</f>
        <v>10652.591170825335</v>
      </c>
      <c r="G198" s="102">
        <v>549</v>
      </c>
      <c r="H198" s="25">
        <f t="shared" si="107"/>
        <v>5.3742802303262956E-2</v>
      </c>
      <c r="I198" s="103">
        <f>IF(ISNUMBER(G198), $B199 * H198, "")</f>
        <v>8061.4203454894432</v>
      </c>
      <c r="J198" s="24">
        <v>556</v>
      </c>
      <c r="K198" s="25">
        <f t="shared" si="108"/>
        <v>6.71785028790787E-2</v>
      </c>
      <c r="L198" s="104">
        <f>IF(ISNUMBER(J198), $B199 * K198, "")</f>
        <v>10076.775431861804</v>
      </c>
      <c r="M198" s="102">
        <v>531</v>
      </c>
      <c r="N198" s="25">
        <f t="shared" si="109"/>
        <v>1.9193857965451054E-2</v>
      </c>
      <c r="O198" s="104">
        <f>IF(ISNUMBER(M198), $B199 * N198, "")</f>
        <v>2879.0786948176583</v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4.8748817801040442E-2</v>
      </c>
      <c r="F199" s="28">
        <f>SUM(F179:F198)</f>
        <v>146246.45340312133</v>
      </c>
      <c r="G199" s="26" t="s">
        <v>266</v>
      </c>
      <c r="H199" s="27">
        <f>IF(COUNT(H179:H198), SUM(H179:H198) / COUNT(H179:H198), 0)</f>
        <v>4.2808770719783944E-2</v>
      </c>
      <c r="I199" s="28">
        <f>SUM(I179:I198)</f>
        <v>128426.31215935184</v>
      </c>
      <c r="J199" s="26" t="s">
        <v>266</v>
      </c>
      <c r="K199" s="27">
        <f>IF(COUNT(K179:K198), SUM(K179:K198) / COUNT(K179:K198), 0)</f>
        <v>5.4482417830913676E-2</v>
      </c>
      <c r="L199" s="28">
        <f>SUM(L179:L198)</f>
        <v>163447.253492741</v>
      </c>
      <c r="M199" s="26" t="s">
        <v>266</v>
      </c>
      <c r="N199" s="27">
        <f>IF(COUNT(N179:N198), SUM(N179:N198) / COUNT(N179:N198), 0)</f>
        <v>3.3354518278562013E-2</v>
      </c>
      <c r="O199" s="28">
        <f>SUM(O179:O198)</f>
        <v>100063.55483568602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BEEEF-27CA-4BA2-9381-8E0A1DE1958F}">
  <sheetPr codeName="Sheet7"/>
  <dimension ref="A1:S199"/>
  <sheetViews>
    <sheetView topLeftCell="A48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44622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-83,643 KRW (-2.79%)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-87,066 KRW (-2.90%)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-39,609 KRW (-1.32%)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-21,548 KRW (-0.72%)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2022-03-02(수) 오전 00:00</v>
      </c>
      <c r="C15" s="237"/>
      <c r="D15" s="193" t="str">
        <f>TEXT($G$1, "[$-ko-KR]yyyy-mm-dd(ddd) ") &amp; "오후 14:00"</f>
        <v>2022-03-02(수) 오후 14:00</v>
      </c>
      <c r="E15" s="194"/>
      <c r="F15" s="195"/>
      <c r="G15" s="193" t="str">
        <f>TEXT($G$1, "[$-ko-KR]yyyy-mm-dd(ddd) ") &amp; "오후 19:00"</f>
        <v>2022-03-02(수) 오후 19:00</v>
      </c>
      <c r="H15" s="194"/>
      <c r="I15" s="195"/>
      <c r="J15" s="193" t="str">
        <f>TEXT($G$1, "[$-ko-KR]yyyy-mm-dd(ddd) ") &amp; "오후 21:00"</f>
        <v>2022-03-02(수) 오후 21:00</v>
      </c>
      <c r="K15" s="194"/>
      <c r="L15" s="195"/>
      <c r="M15" s="193" t="str">
        <f>TEXT($G$1+1, "[$-ko-KR]yyyy-mm-dd(ddd) ") &amp; "오전 00:00"</f>
        <v>2022-03-03(목)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2022-03-02(수) 오전 00:00</v>
      </c>
      <c r="C42" s="234"/>
      <c r="D42" s="193" t="str">
        <f>TEXT($G$1, "[$-ko-KR]yyyy-mm-dd(ddd) ") &amp; "오후 14:00"</f>
        <v>2022-03-02(수) 오후 14:00</v>
      </c>
      <c r="E42" s="194"/>
      <c r="F42" s="195"/>
      <c r="G42" s="193" t="str">
        <f>TEXT($G$1, "[$-ko-KR]yyyy-mm-dd(ddd) ") &amp; "오후 19:00"</f>
        <v>2022-03-02(수) 오후 19:00</v>
      </c>
      <c r="H42" s="194"/>
      <c r="I42" s="195"/>
      <c r="J42" s="193" t="str">
        <f>TEXT($G$1, "[$-ko-KR]yyyy-mm-dd(ddd) ") &amp; "오후 21:00"</f>
        <v>2022-03-02(수) 오후 21:00</v>
      </c>
      <c r="K42" s="194"/>
      <c r="L42" s="195"/>
      <c r="M42" s="193" t="str">
        <f>TEXT($G$1+1, "[$-ko-KR]yyyy-mm-dd(ddd) ") &amp; "오전 00:00"</f>
        <v>2022-03-03(목)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71</v>
      </c>
      <c r="B44" s="124">
        <v>22.8</v>
      </c>
      <c r="C44" s="76">
        <v>0.1343283582</v>
      </c>
      <c r="D44" s="13">
        <v>20.9</v>
      </c>
      <c r="E44" s="14">
        <f>IF(ISNUMBER(D44), (D44 - $B44) / $B44, "")</f>
        <v>-8.3333333333333426E-2</v>
      </c>
      <c r="F44" s="16">
        <f>IF(ISNUMBER(D44), $B64 * E44, "")</f>
        <v>-12500.000000000015</v>
      </c>
      <c r="G44" s="29">
        <v>20.6</v>
      </c>
      <c r="H44" s="14">
        <f>IF(ISNUMBER(G44), (G44 - $B44) / $B44, "")</f>
        <v>-9.6491228070175405E-2</v>
      </c>
      <c r="I44" s="100">
        <f>IF(ISNUMBER(G44), $B64 * H44, "")</f>
        <v>-14473.684210526311</v>
      </c>
      <c r="J44" s="13">
        <v>20.5</v>
      </c>
      <c r="K44" s="14">
        <f>IF(ISNUMBER(J44), (J44 - $B44) / $B44, "")</f>
        <v>-0.10087719298245616</v>
      </c>
      <c r="L44" s="16">
        <f>IF(ISNUMBER(J44), $B64 * K44, "")</f>
        <v>-15131.578947368424</v>
      </c>
      <c r="M44" s="29">
        <v>20.399999999999999</v>
      </c>
      <c r="N44" s="14">
        <f>IF(ISNUMBER(M44), (M44 - $B44) / $B44, "")</f>
        <v>-0.10526315789473693</v>
      </c>
      <c r="O44" s="16">
        <f>IF(ISNUMBER(M44), $B64 * N44, "")</f>
        <v>-15789.473684210539</v>
      </c>
      <c r="Q44" s="191"/>
      <c r="R44" s="191"/>
      <c r="S44" s="191"/>
    </row>
    <row r="45" spans="1:19" ht="17.25" customHeight="1" thickBot="1">
      <c r="A45" s="125" t="s">
        <v>211</v>
      </c>
      <c r="B45" s="126">
        <v>8.2899999999999991</v>
      </c>
      <c r="C45" s="77">
        <v>3.3665835400000003E-2</v>
      </c>
      <c r="D45" s="15">
        <v>7.82</v>
      </c>
      <c r="E45" s="32">
        <f t="shared" ref="E45:E48" si="14">IF(ISNUMBER(D45), (D45 - $B45) / $B45, "")</f>
        <v>-5.6694813027744137E-2</v>
      </c>
      <c r="F45" s="18">
        <f>IF(ISNUMBER(D45), $B64 * E45, "")</f>
        <v>-8504.2219541616214</v>
      </c>
      <c r="G45" s="31">
        <v>7.78</v>
      </c>
      <c r="H45" s="32">
        <f t="shared" ref="H45:H48" si="15">IF(ISNUMBER(G45), (G45 - $B45) / $B45, "")</f>
        <v>-6.1519903498190462E-2</v>
      </c>
      <c r="I45" s="101">
        <f>IF(ISNUMBER(G45), $B64 * H45, "")</f>
        <v>-9227.9855247285686</v>
      </c>
      <c r="J45" s="15">
        <v>7.79</v>
      </c>
      <c r="K45" s="32">
        <f t="shared" ref="K45:K48" si="16">IF(ISNUMBER(J45), (J45 - $B45) / $B45, "")</f>
        <v>-6.0313630880578908E-2</v>
      </c>
      <c r="L45" s="18">
        <f>IF(ISNUMBER(J45), $B64 * K45, "")</f>
        <v>-9047.0446320868359</v>
      </c>
      <c r="M45" s="31">
        <v>7.72</v>
      </c>
      <c r="N45" s="32">
        <f t="shared" ref="N45:N48" si="17">IF(ISNUMBER(M45), (M45 - $B45) / $B45, "")</f>
        <v>-6.8757539203860005E-2</v>
      </c>
      <c r="O45" s="18">
        <f>IF(ISNUMBER(M45), $B64 * N45, "")</f>
        <v>-10313.630880579001</v>
      </c>
      <c r="Q45" s="191"/>
      <c r="R45" s="191"/>
      <c r="S45" s="191"/>
    </row>
    <row r="46" spans="1:19" ht="17.25" customHeight="1" thickBot="1">
      <c r="A46" s="125" t="s">
        <v>199</v>
      </c>
      <c r="B46" s="126">
        <v>12.4</v>
      </c>
      <c r="C46" s="77">
        <v>2.4793388400000001E-2</v>
      </c>
      <c r="D46" s="15">
        <v>11.9</v>
      </c>
      <c r="E46" s="32">
        <f t="shared" si="14"/>
        <v>-4.0322580645161289E-2</v>
      </c>
      <c r="F46" s="18">
        <f>IF(ISNUMBER(D46), $B64 * E46, "")</f>
        <v>-6048.3870967741932</v>
      </c>
      <c r="G46" s="31">
        <v>11.8</v>
      </c>
      <c r="H46" s="32">
        <f t="shared" si="15"/>
        <v>-4.8387096774193519E-2</v>
      </c>
      <c r="I46" s="101">
        <f>IF(ISNUMBER(G46), $B64 * H46, "")</f>
        <v>-7258.0645161290277</v>
      </c>
      <c r="J46" s="15">
        <v>11.7</v>
      </c>
      <c r="K46" s="32">
        <f t="shared" si="16"/>
        <v>-5.6451612903225888E-2</v>
      </c>
      <c r="L46" s="18">
        <f>IF(ISNUMBER(J46), $B64 * K46, "")</f>
        <v>-8467.7419354838839</v>
      </c>
      <c r="M46" s="31">
        <v>11.7</v>
      </c>
      <c r="N46" s="32">
        <f t="shared" si="17"/>
        <v>-5.6451612903225888E-2</v>
      </c>
      <c r="O46" s="18">
        <f>IF(ISNUMBER(M46), $B64 * N46, "")</f>
        <v>-8467.7419354838839</v>
      </c>
      <c r="Q46" s="196"/>
      <c r="R46" s="196"/>
      <c r="S46" s="196"/>
    </row>
    <row r="47" spans="1:19" ht="17.25" customHeight="1" thickBot="1">
      <c r="A47" s="125" t="s">
        <v>203</v>
      </c>
      <c r="B47" s="126">
        <v>8.35</v>
      </c>
      <c r="C47" s="77">
        <v>1.2121212100000001E-2</v>
      </c>
      <c r="D47" s="15">
        <v>7.94</v>
      </c>
      <c r="E47" s="32">
        <f t="shared" si="14"/>
        <v>-4.9101796407185538E-2</v>
      </c>
      <c r="F47" s="18">
        <f>IF(ISNUMBER(D47), $B64 * E47, "")</f>
        <v>-7365.2694610778308</v>
      </c>
      <c r="G47" s="31">
        <v>7.95</v>
      </c>
      <c r="H47" s="32">
        <f t="shared" si="15"/>
        <v>-4.7904191616766408E-2</v>
      </c>
      <c r="I47" s="101">
        <f>IF(ISNUMBER(G47), $B64 * H47, "")</f>
        <v>-7185.6287425149612</v>
      </c>
      <c r="J47" s="15">
        <v>7.99</v>
      </c>
      <c r="K47" s="32">
        <f t="shared" si="16"/>
        <v>-4.3113772455089752E-2</v>
      </c>
      <c r="L47" s="18">
        <f>IF(ISNUMBER(J47), $B64 * K47, "")</f>
        <v>-6467.065868263463</v>
      </c>
      <c r="M47" s="31">
        <v>8.0299999999999994</v>
      </c>
      <c r="N47" s="32">
        <f t="shared" si="17"/>
        <v>-3.8323353293413208E-2</v>
      </c>
      <c r="O47" s="18">
        <f>IF(ISNUMBER(M47), $B64 * N47, "")</f>
        <v>-5748.5029940119812</v>
      </c>
      <c r="Q47" s="196"/>
      <c r="R47" s="196"/>
      <c r="S47" s="196"/>
    </row>
    <row r="48" spans="1:19" ht="17.25" customHeight="1" thickBot="1">
      <c r="A48" s="127" t="s">
        <v>118</v>
      </c>
      <c r="B48" s="128">
        <v>18.8</v>
      </c>
      <c r="C48" s="78">
        <v>1.0752688200000001E-2</v>
      </c>
      <c r="D48" s="20">
        <v>18.2</v>
      </c>
      <c r="E48" s="21">
        <f t="shared" si="14"/>
        <v>-3.191489361702135E-2</v>
      </c>
      <c r="F48" s="22">
        <f>IF(ISNUMBER(D48), $B64 * E48, "")</f>
        <v>-4787.2340425532029</v>
      </c>
      <c r="G48" s="30">
        <v>18.3</v>
      </c>
      <c r="H48" s="21">
        <f t="shared" si="15"/>
        <v>-2.6595744680851064E-2</v>
      </c>
      <c r="I48" s="105">
        <f>IF(ISNUMBER(G48), $B64 * H48, "")</f>
        <v>-3989.3617021276596</v>
      </c>
      <c r="J48" s="20">
        <v>18.3</v>
      </c>
      <c r="K48" s="21">
        <f t="shared" si="16"/>
        <v>-2.6595744680851064E-2</v>
      </c>
      <c r="L48" s="22">
        <f>IF(ISNUMBER(J48), $B64 * K48, "")</f>
        <v>-3989.3617021276596</v>
      </c>
      <c r="M48" s="30">
        <v>18.100000000000001</v>
      </c>
      <c r="N48" s="21">
        <f t="shared" si="17"/>
        <v>-3.7234042553191453E-2</v>
      </c>
      <c r="O48" s="22">
        <f>IF(ISNUMBER(M48), $B64 * N48, "")</f>
        <v>-5585.1063829787181</v>
      </c>
      <c r="Q48" s="196"/>
      <c r="R48" s="196"/>
      <c r="S48" s="196"/>
    </row>
    <row r="49" spans="1:19" ht="17.25" customHeight="1" thickBot="1">
      <c r="A49" s="125" t="s">
        <v>229</v>
      </c>
      <c r="B49" s="129">
        <v>56.9</v>
      </c>
      <c r="C49" s="80">
        <v>5.3003534E-3</v>
      </c>
      <c r="D49" s="106">
        <v>53.2</v>
      </c>
      <c r="E49" s="107">
        <f>IF(ISNUMBER(D49), (D49 - $B49) / $B49, "")</f>
        <v>-6.5026362038664257E-2</v>
      </c>
      <c r="F49" s="108">
        <f>IF(ISNUMBER(D49), $B64 * E49, "")</f>
        <v>-9753.954305799638</v>
      </c>
      <c r="G49" s="109">
        <v>54.2</v>
      </c>
      <c r="H49" s="107">
        <f>IF(ISNUMBER(G49), (G49 - $B49) / $B49, "")</f>
        <v>-4.7451669595782002E-2</v>
      </c>
      <c r="I49" s="110">
        <f>IF(ISNUMBER(G49), $B64 * H49, "")</f>
        <v>-7117.7504393673007</v>
      </c>
      <c r="J49" s="106">
        <v>54.3</v>
      </c>
      <c r="K49" s="107">
        <f>IF(ISNUMBER(J49), (J49 - $B49) / $B49, "")</f>
        <v>-4.5694200351493873E-2</v>
      </c>
      <c r="L49" s="108">
        <f>IF(ISNUMBER(J49), $B64 * K49, "")</f>
        <v>-6854.130052724081</v>
      </c>
      <c r="M49" s="109">
        <v>54.4</v>
      </c>
      <c r="N49" s="107">
        <f>IF(ISNUMBER(M49), (M49 - $B49) / $B49, "")</f>
        <v>-4.3936731107205626E-2</v>
      </c>
      <c r="O49" s="108">
        <f>IF(ISNUMBER(M49), $B64 * N49, "")</f>
        <v>-6590.509666080844</v>
      </c>
      <c r="Q49" s="196"/>
      <c r="R49" s="196"/>
      <c r="S49" s="196"/>
    </row>
    <row r="50" spans="1:19" ht="17.25" customHeight="1" thickBot="1">
      <c r="A50" s="125" t="s">
        <v>148</v>
      </c>
      <c r="B50" s="126">
        <v>75.599999999999994</v>
      </c>
      <c r="C50" s="77">
        <v>2.6525199000000002E-3</v>
      </c>
      <c r="D50" s="15">
        <v>74.8</v>
      </c>
      <c r="E50" s="32">
        <f t="shared" ref="E50:E53" si="18">IF(ISNUMBER(D50), (D50 - $B50) / $B50, "")</f>
        <v>-1.0582010582010545E-2</v>
      </c>
      <c r="F50" s="18">
        <f>IF(ISNUMBER(D50), $B64 * E50, "")</f>
        <v>-1587.3015873015818</v>
      </c>
      <c r="G50" s="31">
        <v>75.7</v>
      </c>
      <c r="H50" s="32">
        <f t="shared" ref="H50:H53" si="19">IF(ISNUMBER(G50), (G50 - $B50) / $B50, "")</f>
        <v>1.3227513227514357E-3</v>
      </c>
      <c r="I50" s="101">
        <f>IF(ISNUMBER(G50), $B64 * H50, "")</f>
        <v>198.41269841271534</v>
      </c>
      <c r="J50" s="15">
        <v>75.7</v>
      </c>
      <c r="K50" s="32">
        <f t="shared" ref="K50:K53" si="20">IF(ISNUMBER(J50), (J50 - $B50) / $B50, "")</f>
        <v>1.3227513227514357E-3</v>
      </c>
      <c r="L50" s="18">
        <f>IF(ISNUMBER(J50), $B64 * K50, "")</f>
        <v>198.41269841271534</v>
      </c>
      <c r="M50" s="31">
        <v>75.2</v>
      </c>
      <c r="N50" s="32">
        <f t="shared" ref="N50:N53" si="21">IF(ISNUMBER(M50), (M50 - $B50) / $B50, "")</f>
        <v>-5.2910052910051788E-3</v>
      </c>
      <c r="O50" s="18">
        <f>IF(ISNUMBER(M50), $B64 * N50, "")</f>
        <v>-793.65079365077679</v>
      </c>
      <c r="Q50" s="196"/>
      <c r="R50" s="196"/>
      <c r="S50" s="196"/>
    </row>
    <row r="51" spans="1:19" ht="17.25" customHeight="1" thickBot="1">
      <c r="A51" s="125" t="s">
        <v>146</v>
      </c>
      <c r="B51" s="126">
        <v>9.1199999999999992</v>
      </c>
      <c r="C51" s="77">
        <v>1.0976948E-3</v>
      </c>
      <c r="D51" s="15">
        <v>8.83</v>
      </c>
      <c r="E51" s="32">
        <f t="shared" si="18"/>
        <v>-3.1798245614034999E-2</v>
      </c>
      <c r="F51" s="18">
        <f>IF(ISNUMBER(D51), $B64 * E51, "")</f>
        <v>-4769.7368421052497</v>
      </c>
      <c r="G51" s="31">
        <v>8.84</v>
      </c>
      <c r="H51" s="32">
        <f t="shared" si="19"/>
        <v>-3.0701754385964845E-2</v>
      </c>
      <c r="I51" s="101">
        <f>IF(ISNUMBER(G51), $B64 * H51, "")</f>
        <v>-4605.2631578947266</v>
      </c>
      <c r="J51" s="15">
        <v>8.86</v>
      </c>
      <c r="K51" s="32">
        <f t="shared" si="20"/>
        <v>-2.8508771929824539E-2</v>
      </c>
      <c r="L51" s="18">
        <f>IF(ISNUMBER(J51), $B64 * K51, "")</f>
        <v>-4276.3157894736805</v>
      </c>
      <c r="M51" s="31">
        <v>8.85</v>
      </c>
      <c r="N51" s="32">
        <f t="shared" si="21"/>
        <v>-2.9605263157894694E-2</v>
      </c>
      <c r="O51" s="18">
        <f>IF(ISNUMBER(M51), $B64 * N51, "")</f>
        <v>-4440.7894736842036</v>
      </c>
      <c r="Q51" s="196"/>
      <c r="R51" s="196"/>
      <c r="S51" s="196"/>
    </row>
    <row r="52" spans="1:19" ht="17.25" customHeight="1" thickBot="1">
      <c r="A52" s="125" t="s">
        <v>144</v>
      </c>
      <c r="B52" s="126">
        <v>11.8</v>
      </c>
      <c r="C52" s="77">
        <v>0</v>
      </c>
      <c r="D52" s="15">
        <v>11.6</v>
      </c>
      <c r="E52" s="32">
        <f t="shared" si="18"/>
        <v>-1.6949152542372972E-2</v>
      </c>
      <c r="F52" s="18">
        <f>IF(ISNUMBER(D52), $B64 * E52, "")</f>
        <v>-2542.3728813559455</v>
      </c>
      <c r="G52" s="31">
        <v>11.7</v>
      </c>
      <c r="H52" s="32">
        <f t="shared" si="19"/>
        <v>-8.4745762711865603E-3</v>
      </c>
      <c r="I52" s="101">
        <f>IF(ISNUMBER(G52), $B64 * H52, "")</f>
        <v>-1271.1864406779841</v>
      </c>
      <c r="J52" s="15">
        <v>11.7</v>
      </c>
      <c r="K52" s="32">
        <f t="shared" si="20"/>
        <v>-8.4745762711865603E-3</v>
      </c>
      <c r="L52" s="18">
        <f>IF(ISNUMBER(J52), $B64 * K52, "")</f>
        <v>-1271.1864406779841</v>
      </c>
      <c r="M52" s="31">
        <v>11.6</v>
      </c>
      <c r="N52" s="32">
        <f t="shared" si="21"/>
        <v>-1.6949152542372972E-2</v>
      </c>
      <c r="O52" s="18">
        <f>IF(ISNUMBER(M52), $B64 * N52, "")</f>
        <v>-2542.3728813559455</v>
      </c>
      <c r="Q52" s="33"/>
      <c r="R52" s="33"/>
    </row>
    <row r="53" spans="1:19" ht="17.25" customHeight="1" thickBot="1">
      <c r="A53" s="130" t="s">
        <v>97</v>
      </c>
      <c r="B53" s="131">
        <v>2.5000000000000001E-3</v>
      </c>
      <c r="C53" s="79">
        <v>0</v>
      </c>
      <c r="D53" s="24">
        <v>2.3999999999999998E-3</v>
      </c>
      <c r="E53" s="25">
        <f t="shared" si="18"/>
        <v>-4.0000000000000105E-2</v>
      </c>
      <c r="F53" s="104">
        <f>IF(ISNUMBER(D53), $B64 * E53, "")</f>
        <v>-6000.0000000000155</v>
      </c>
      <c r="G53" s="102">
        <v>2.3999999999999998E-3</v>
      </c>
      <c r="H53" s="25">
        <f t="shared" si="19"/>
        <v>-4.0000000000000105E-2</v>
      </c>
      <c r="I53" s="103">
        <f>IF(ISNUMBER(G53), $B64 * H53, "")</f>
        <v>-6000.0000000000155</v>
      </c>
      <c r="J53" s="24">
        <v>2.3999999999999998E-3</v>
      </c>
      <c r="K53" s="25">
        <f t="shared" si="20"/>
        <v>-4.0000000000000105E-2</v>
      </c>
      <c r="L53" s="104">
        <f>IF(ISNUMBER(J53), $B64 * K53, "")</f>
        <v>-6000.0000000000155</v>
      </c>
      <c r="M53" s="102">
        <v>2.3999999999999998E-3</v>
      </c>
      <c r="N53" s="25">
        <f t="shared" si="21"/>
        <v>-4.0000000000000105E-2</v>
      </c>
      <c r="O53" s="104">
        <f>IF(ISNUMBER(M53), $B64 * N53, "")</f>
        <v>-6000.0000000000155</v>
      </c>
      <c r="Q53" s="205"/>
      <c r="R53" s="206"/>
      <c r="S53" s="207"/>
    </row>
    <row r="54" spans="1:19" ht="17.25" customHeight="1">
      <c r="A54" s="123" t="s">
        <v>124</v>
      </c>
      <c r="B54" s="124">
        <v>64</v>
      </c>
      <c r="C54" s="76">
        <v>-1.5600624E-3</v>
      </c>
      <c r="D54" s="13">
        <v>63.2</v>
      </c>
      <c r="E54" s="14">
        <f>IF(ISNUMBER(D54), (D54 - $B54) / $B54, "")</f>
        <v>-1.2499999999999956E-2</v>
      </c>
      <c r="F54" s="16">
        <f>IF(ISNUMBER(D54), $B64 * E54, "")</f>
        <v>-1874.9999999999934</v>
      </c>
      <c r="G54" s="29">
        <v>64.5</v>
      </c>
      <c r="H54" s="14">
        <f>IF(ISNUMBER(G54), (G54 - $B54) / $B54, "")</f>
        <v>7.8125E-3</v>
      </c>
      <c r="I54" s="100">
        <f>IF(ISNUMBER(G54), $B64 * H54, "")</f>
        <v>1171.875</v>
      </c>
      <c r="J54" s="13">
        <v>64.8</v>
      </c>
      <c r="K54" s="14">
        <f>IF(ISNUMBER(J54), (J54 - $B54) / $B54, "")</f>
        <v>1.2499999999999956E-2</v>
      </c>
      <c r="L54" s="16">
        <f>IF(ISNUMBER(J54), $B64 * K54, "")</f>
        <v>1874.9999999999934</v>
      </c>
      <c r="M54" s="29">
        <v>64.099999999999994</v>
      </c>
      <c r="N54" s="14">
        <f>IF(ISNUMBER(M54), (M54 - $B54) / $B54, "")</f>
        <v>1.5624999999999112E-3</v>
      </c>
      <c r="O54" s="16">
        <f>IF(ISNUMBER(M54), $B64 * N54, "")</f>
        <v>234.37499999998667</v>
      </c>
      <c r="Q54" s="208"/>
      <c r="R54" s="209"/>
      <c r="S54" s="210"/>
    </row>
    <row r="55" spans="1:19" ht="17.25" customHeight="1" thickBot="1">
      <c r="A55" s="125" t="s">
        <v>64</v>
      </c>
      <c r="B55" s="126">
        <v>31.2</v>
      </c>
      <c r="C55" s="77">
        <v>-3.1948882E-3</v>
      </c>
      <c r="D55" s="15">
        <v>30.7</v>
      </c>
      <c r="E55" s="32">
        <f t="shared" ref="E55:E58" si="22">IF(ISNUMBER(D55), (D55 - $B55) / $B55, "")</f>
        <v>-1.6025641025641028E-2</v>
      </c>
      <c r="F55" s="18">
        <f>IF(ISNUMBER(D55), $B64 * E55, "")</f>
        <v>-2403.8461538461543</v>
      </c>
      <c r="G55" s="31">
        <v>31.4</v>
      </c>
      <c r="H55" s="32">
        <f t="shared" ref="H55:H58" si="23">IF(ISNUMBER(G55), (G55 - $B55) / $B55, "")</f>
        <v>6.4102564102563875E-3</v>
      </c>
      <c r="I55" s="101">
        <f>IF(ISNUMBER(G55), $B64 * H55, "")</f>
        <v>961.53846153845814</v>
      </c>
      <c r="J55" s="15">
        <v>32</v>
      </c>
      <c r="K55" s="32">
        <f t="shared" ref="K55:K58" si="24">IF(ISNUMBER(J55), (J55 - $B55) / $B55, "")</f>
        <v>2.5641025641025664E-2</v>
      </c>
      <c r="L55" s="18">
        <f>IF(ISNUMBER(J55), $B64 * K55, "")</f>
        <v>3846.1538461538498</v>
      </c>
      <c r="M55" s="31">
        <v>31.3</v>
      </c>
      <c r="N55" s="32">
        <f t="shared" ref="N55:N58" si="25">IF(ISNUMBER(M55), (M55 - $B55) / $B55, "")</f>
        <v>3.2051282051282506E-3</v>
      </c>
      <c r="O55" s="18">
        <f>IF(ISNUMBER(M55), $B64 * N55, "")</f>
        <v>480.76923076923759</v>
      </c>
      <c r="Q55" s="211"/>
      <c r="R55" s="212"/>
      <c r="S55" s="213"/>
    </row>
    <row r="56" spans="1:19" ht="17.25" customHeight="1" thickBot="1">
      <c r="A56" s="125" t="s">
        <v>341</v>
      </c>
      <c r="B56" s="126">
        <v>9.4799999999999995E-2</v>
      </c>
      <c r="C56" s="77">
        <v>-7.3298429000000003E-3</v>
      </c>
      <c r="D56" s="15">
        <v>9.2899999999999996E-2</v>
      </c>
      <c r="E56" s="32">
        <f t="shared" si="22"/>
        <v>-2.0042194092826995E-2</v>
      </c>
      <c r="F56" s="18">
        <f>IF(ISNUMBER(D56), $B64 * E56, "")</f>
        <v>-3006.3291139240491</v>
      </c>
      <c r="G56" s="31">
        <v>9.3700000000000006E-2</v>
      </c>
      <c r="H56" s="32">
        <f t="shared" si="23"/>
        <v>-1.1603375527426053E-2</v>
      </c>
      <c r="I56" s="101">
        <f>IF(ISNUMBER(G56), $B64 * H56, "")</f>
        <v>-1740.5063291139079</v>
      </c>
      <c r="J56" s="15">
        <v>9.4399999999999998E-2</v>
      </c>
      <c r="K56" s="32">
        <f t="shared" si="24"/>
        <v>-4.2194092827003964E-3</v>
      </c>
      <c r="L56" s="18">
        <f>IF(ISNUMBER(J56), $B64 * K56, "")</f>
        <v>-632.91139240505947</v>
      </c>
      <c r="M56" s="31">
        <v>9.3100000000000002E-2</v>
      </c>
      <c r="N56" s="32">
        <f t="shared" si="25"/>
        <v>-1.7932489451476723E-2</v>
      </c>
      <c r="O56" s="18">
        <f>IF(ISNUMBER(M56), $B64 * N56, "")</f>
        <v>-2689.8734177215083</v>
      </c>
      <c r="Q56" s="196"/>
      <c r="R56" s="196"/>
      <c r="S56" s="196"/>
    </row>
    <row r="57" spans="1:19" ht="17.25" customHeight="1" thickBot="1">
      <c r="A57" s="125" t="s">
        <v>140</v>
      </c>
      <c r="B57" s="126">
        <v>91.8</v>
      </c>
      <c r="C57" s="77">
        <v>-8.6393088999999999E-3</v>
      </c>
      <c r="D57" s="15">
        <v>89.9</v>
      </c>
      <c r="E57" s="32">
        <f t="shared" si="22"/>
        <v>-2.0697167755991192E-2</v>
      </c>
      <c r="F57" s="18">
        <f>IF(ISNUMBER(D57), $B64 * E57, "")</f>
        <v>-3104.5751633986788</v>
      </c>
      <c r="G57" s="31">
        <v>90.1</v>
      </c>
      <c r="H57" s="32">
        <f t="shared" si="23"/>
        <v>-1.8518518518518549E-2</v>
      </c>
      <c r="I57" s="101">
        <f>IF(ISNUMBER(G57), $B64 * H57, "")</f>
        <v>-2777.7777777777824</v>
      </c>
      <c r="J57" s="15">
        <v>90.6</v>
      </c>
      <c r="K57" s="32">
        <f t="shared" si="24"/>
        <v>-1.3071895424836633E-2</v>
      </c>
      <c r="L57" s="18">
        <f>IF(ISNUMBER(J57), $B64 * K57, "")</f>
        <v>-1960.7843137254949</v>
      </c>
      <c r="M57" s="31">
        <v>89</v>
      </c>
      <c r="N57" s="32">
        <f t="shared" si="25"/>
        <v>-3.0501089324618706E-2</v>
      </c>
      <c r="O57" s="18">
        <f>IF(ISNUMBER(M57), $B64 * N57, "")</f>
        <v>-4575.1633986928055</v>
      </c>
      <c r="Q57" s="191"/>
      <c r="R57" s="191"/>
      <c r="S57" s="191"/>
    </row>
    <row r="58" spans="1:19" ht="17.25" customHeight="1" thickBot="1">
      <c r="A58" s="127" t="s">
        <v>174</v>
      </c>
      <c r="B58" s="128">
        <v>11.3</v>
      </c>
      <c r="C58" s="78">
        <v>-8.7719297999999998E-3</v>
      </c>
      <c r="D58" s="20">
        <v>11.1</v>
      </c>
      <c r="E58" s="21">
        <f t="shared" si="22"/>
        <v>-1.7699115044247881E-2</v>
      </c>
      <c r="F58" s="22">
        <f>IF(ISNUMBER(D58), $B64 * E58, "")</f>
        <v>-2654.867256637182</v>
      </c>
      <c r="G58" s="30">
        <v>11</v>
      </c>
      <c r="H58" s="21">
        <f t="shared" si="23"/>
        <v>-2.6548672566371743E-2</v>
      </c>
      <c r="I58" s="105">
        <f>IF(ISNUMBER(G58), $B64 * H58, "")</f>
        <v>-3982.3008849557614</v>
      </c>
      <c r="J58" s="20">
        <v>11.1</v>
      </c>
      <c r="K58" s="21">
        <f t="shared" si="24"/>
        <v>-1.7699115044247881E-2</v>
      </c>
      <c r="L58" s="22">
        <f>IF(ISNUMBER(J58), $B64 * K58, "")</f>
        <v>-2654.867256637182</v>
      </c>
      <c r="M58" s="30">
        <v>11.1</v>
      </c>
      <c r="N58" s="21">
        <f t="shared" si="25"/>
        <v>-1.7699115044247881E-2</v>
      </c>
      <c r="O58" s="22">
        <f>IF(ISNUMBER(M58), $B64 * N58, "")</f>
        <v>-2654.867256637182</v>
      </c>
      <c r="Q58" s="191"/>
      <c r="R58" s="191"/>
      <c r="S58" s="191"/>
    </row>
    <row r="59" spans="1:19" ht="17.25" customHeight="1" thickBot="1">
      <c r="A59" s="125" t="s">
        <v>126</v>
      </c>
      <c r="B59" s="129">
        <v>87.2</v>
      </c>
      <c r="C59" s="80">
        <v>-9.0909091000000008E-3</v>
      </c>
      <c r="D59" s="106">
        <v>85.9</v>
      </c>
      <c r="E59" s="107">
        <f>IF(ISNUMBER(D59), (D59 - $B59) / $B59, "")</f>
        <v>-1.4908256880733911E-2</v>
      </c>
      <c r="F59" s="108">
        <f>IF(ISNUMBER(D59), $B64 * E59, "")</f>
        <v>-2236.2385321100865</v>
      </c>
      <c r="G59" s="109">
        <v>85.8</v>
      </c>
      <c r="H59" s="107">
        <f>IF(ISNUMBER(G59), (G59 - $B59) / $B59, "")</f>
        <v>-1.6055045871559696E-2</v>
      </c>
      <c r="I59" s="110">
        <f>IF(ISNUMBER(G59), $B64 * H59, "")</f>
        <v>-2408.2568807339544</v>
      </c>
      <c r="J59" s="106">
        <v>85.9</v>
      </c>
      <c r="K59" s="107">
        <f>IF(ISNUMBER(J59), (J59 - $B59) / $B59, "")</f>
        <v>-1.4908256880733911E-2</v>
      </c>
      <c r="L59" s="108">
        <f>IF(ISNUMBER(J59), $B64 * K59, "")</f>
        <v>-2236.2385321100865</v>
      </c>
      <c r="M59" s="109">
        <v>86.2</v>
      </c>
      <c r="N59" s="107">
        <f>IF(ISNUMBER(M59), (M59 - $B59) / $B59, "")</f>
        <v>-1.146788990825688E-2</v>
      </c>
      <c r="O59" s="108">
        <f>IF(ISNUMBER(M59), $B64 * N59, "")</f>
        <v>-1720.1834862385319</v>
      </c>
      <c r="Q59" s="196"/>
      <c r="R59" s="196"/>
      <c r="S59" s="196"/>
    </row>
    <row r="60" spans="1:19" ht="17.25" customHeight="1" thickBot="1">
      <c r="A60" s="125" t="s">
        <v>128</v>
      </c>
      <c r="B60" s="126">
        <v>53.1</v>
      </c>
      <c r="C60" s="77">
        <v>-9.3283581999999993E-3</v>
      </c>
      <c r="D60" s="15">
        <v>52.2</v>
      </c>
      <c r="E60" s="32">
        <f t="shared" ref="E60:E63" si="26">IF(ISNUMBER(D60), (D60 - $B60) / $B60, "")</f>
        <v>-1.6949152542372854E-2</v>
      </c>
      <c r="F60" s="18">
        <f>IF(ISNUMBER(D60), $B64 * E60, "")</f>
        <v>-2542.3728813559283</v>
      </c>
      <c r="G60" s="31">
        <v>52.7</v>
      </c>
      <c r="H60" s="32">
        <f t="shared" ref="H60:H63" si="27">IF(ISNUMBER(G60), (G60 - $B60) / $B60, "")</f>
        <v>-7.5329566854990312E-3</v>
      </c>
      <c r="I60" s="101">
        <f>IF(ISNUMBER(G60), $B64 * H60, "")</f>
        <v>-1129.9435028248547</v>
      </c>
      <c r="J60" s="15">
        <v>53.2</v>
      </c>
      <c r="K60" s="32">
        <f t="shared" ref="K60:K63" si="28">IF(ISNUMBER(J60), (J60 - $B60) / $B60, "")</f>
        <v>1.8832391713747914E-3</v>
      </c>
      <c r="L60" s="18">
        <f>IF(ISNUMBER(J60), $B64 * K60, "")</f>
        <v>282.48587570621874</v>
      </c>
      <c r="M60" s="31">
        <v>52.5</v>
      </c>
      <c r="N60" s="32">
        <f t="shared" ref="N60:N63" si="29">IF(ISNUMBER(M60), (M60 - $B60) / $B60, "")</f>
        <v>-1.1299435028248614E-2</v>
      </c>
      <c r="O60" s="18">
        <f>IF(ISNUMBER(M60), $B64 * N60, "")</f>
        <v>-1694.9152542372919</v>
      </c>
      <c r="Q60" s="196"/>
      <c r="R60" s="196"/>
      <c r="S60" s="196"/>
    </row>
    <row r="61" spans="1:19" ht="17.25" customHeight="1" thickBot="1">
      <c r="A61" s="125" t="s">
        <v>197</v>
      </c>
      <c r="B61" s="126">
        <v>50</v>
      </c>
      <c r="C61" s="77">
        <v>-9.9009900999999997E-3</v>
      </c>
      <c r="D61" s="15">
        <v>48.9</v>
      </c>
      <c r="E61" s="32">
        <f t="shared" si="26"/>
        <v>-2.200000000000003E-2</v>
      </c>
      <c r="F61" s="18">
        <f>IF(ISNUMBER(D61), $B64 * E61, "")</f>
        <v>-3300.0000000000045</v>
      </c>
      <c r="G61" s="31">
        <v>48.9</v>
      </c>
      <c r="H61" s="32">
        <f t="shared" si="27"/>
        <v>-2.200000000000003E-2</v>
      </c>
      <c r="I61" s="101">
        <f>IF(ISNUMBER(G61), $B64 * H61, "")</f>
        <v>-3300.0000000000045</v>
      </c>
      <c r="J61" s="15">
        <v>49</v>
      </c>
      <c r="K61" s="32">
        <f t="shared" si="28"/>
        <v>-0.02</v>
      </c>
      <c r="L61" s="18">
        <f>IF(ISNUMBER(J61), $B64 * K61, "")</f>
        <v>-3000</v>
      </c>
      <c r="M61" s="31">
        <v>49.1</v>
      </c>
      <c r="N61" s="32">
        <f t="shared" si="29"/>
        <v>-1.7999999999999971E-2</v>
      </c>
      <c r="O61" s="18">
        <f>IF(ISNUMBER(M61), $B64 * N61, "")</f>
        <v>-2699.9999999999955</v>
      </c>
      <c r="Q61" s="196"/>
      <c r="R61" s="196"/>
      <c r="S61" s="196"/>
    </row>
    <row r="62" spans="1:19" ht="17.25" customHeight="1">
      <c r="A62" s="125" t="s">
        <v>346</v>
      </c>
      <c r="B62" s="126">
        <v>9.9499999999999993</v>
      </c>
      <c r="C62" s="77">
        <v>-1.4851485100000001E-2</v>
      </c>
      <c r="D62" s="15">
        <v>9.66</v>
      </c>
      <c r="E62" s="32">
        <f t="shared" si="26"/>
        <v>-2.9145728643215997E-2</v>
      </c>
      <c r="F62" s="18">
        <f>IF(ISNUMBER(D62), $B64 * E62, "")</f>
        <v>-4371.8592964823993</v>
      </c>
      <c r="G62" s="31">
        <v>9.69</v>
      </c>
      <c r="H62" s="32">
        <f t="shared" si="27"/>
        <v>-2.6130653266331638E-2</v>
      </c>
      <c r="I62" s="101">
        <f>IF(ISNUMBER(G62), $B64 * H62, "")</f>
        <v>-3919.5979899497456</v>
      </c>
      <c r="J62" s="15">
        <v>9.74</v>
      </c>
      <c r="K62" s="32">
        <f t="shared" si="28"/>
        <v>-2.1105527638190864E-2</v>
      </c>
      <c r="L62" s="18">
        <f>IF(ISNUMBER(J62), $B64 * K62, "")</f>
        <v>-3165.8291457286296</v>
      </c>
      <c r="M62" s="31">
        <v>9.75</v>
      </c>
      <c r="N62" s="32">
        <f t="shared" si="29"/>
        <v>-2.0100502512562745E-2</v>
      </c>
      <c r="O62" s="18">
        <f>IF(ISNUMBER(M62), $B64 * N62, "")</f>
        <v>-3015.0753768844115</v>
      </c>
      <c r="Q62" s="218"/>
      <c r="R62" s="219"/>
      <c r="S62" s="220"/>
    </row>
    <row r="63" spans="1:19" ht="17.25" customHeight="1" thickBot="1">
      <c r="A63" s="130" t="s">
        <v>205</v>
      </c>
      <c r="B63" s="131">
        <v>12.2</v>
      </c>
      <c r="C63" s="79">
        <v>-1.6129032299999999E-2</v>
      </c>
      <c r="D63" s="24">
        <v>11.9</v>
      </c>
      <c r="E63" s="25">
        <f t="shared" si="26"/>
        <v>-2.4590163934426142E-2</v>
      </c>
      <c r="F63" s="104">
        <f>IF(ISNUMBER(D63), $B64 * E63, "")</f>
        <v>-3688.5245901639214</v>
      </c>
      <c r="G63" s="102">
        <v>11.9</v>
      </c>
      <c r="H63" s="25">
        <f t="shared" si="27"/>
        <v>-2.4590163934426142E-2</v>
      </c>
      <c r="I63" s="103">
        <f>IF(ISNUMBER(G63), $B64 * H63, "")</f>
        <v>-3688.5245901639214</v>
      </c>
      <c r="J63" s="24">
        <v>12</v>
      </c>
      <c r="K63" s="25">
        <f t="shared" si="28"/>
        <v>-1.6393442622950762E-2</v>
      </c>
      <c r="L63" s="104">
        <f>IF(ISNUMBER(J63), $B64 * K63, "")</f>
        <v>-2459.0163934426141</v>
      </c>
      <c r="M63" s="102">
        <v>12</v>
      </c>
      <c r="N63" s="25">
        <f t="shared" si="29"/>
        <v>-1.6393442622950762E-2</v>
      </c>
      <c r="O63" s="104">
        <f>IF(ISNUMBER(M63), $B64 * N63, "")</f>
        <v>-2459.0163934426141</v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-3.1014030386349221E-2</v>
      </c>
      <c r="F64" s="28">
        <f>SUM(F44:F63)</f>
        <v>-93042.091159047704</v>
      </c>
      <c r="G64" s="26" t="s">
        <v>266</v>
      </c>
      <c r="H64" s="27">
        <f>IF(COUNT(H44:H63), SUM(H44:H63) / COUNT(H44:H63), 0)</f>
        <v>-2.7248002176511771E-2</v>
      </c>
      <c r="I64" s="28">
        <f>SUM(I44:I63)</f>
        <v>-81744.006529535312</v>
      </c>
      <c r="J64" s="26" t="s">
        <v>266</v>
      </c>
      <c r="K64" s="27">
        <f>IF(COUNT(K44:K63), SUM(K44:K63) / COUNT(K44:K63), 0)</f>
        <v>-2.3804006660660772E-2</v>
      </c>
      <c r="L64" s="28">
        <f>SUM(L44:L63)</f>
        <v>-71412.019981982317</v>
      </c>
      <c r="M64" s="26" t="s">
        <v>266</v>
      </c>
      <c r="N64" s="27">
        <f>IF(COUNT(N44:N63), SUM(N44:N63) / COUNT(N44:N63), 0)</f>
        <v>-2.9021909681707009E-2</v>
      </c>
      <c r="O64" s="28">
        <f>SUM(O44:O63)</f>
        <v>-87065.729045121028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2022-03-02(수) 오전 00:00</v>
      </c>
      <c r="C69" s="234"/>
      <c r="D69" s="193" t="str">
        <f>TEXT($G$1, "[$-ko-KR]yyyy-mm-dd(ddd) ") &amp; "오후 14:00"</f>
        <v>2022-03-02(수) 오후 14:00</v>
      </c>
      <c r="E69" s="194"/>
      <c r="F69" s="195"/>
      <c r="G69" s="193" t="str">
        <f>TEXT($G$1, "[$-ko-KR]yyyy-mm-dd(ddd) ") &amp; "오후 19:00"</f>
        <v>2022-03-02(수) 오후 19:00</v>
      </c>
      <c r="H69" s="194"/>
      <c r="I69" s="195"/>
      <c r="J69" s="193" t="str">
        <f>TEXT($G$1, "[$-ko-KR]yyyy-mm-dd(ddd) ") &amp; "오후 21:00"</f>
        <v>2022-03-02(수) 오후 21:00</v>
      </c>
      <c r="K69" s="194"/>
      <c r="L69" s="195"/>
      <c r="M69" s="193" t="str">
        <f>TEXT($G$1+1, "[$-ko-KR]yyyy-mm-dd(ddd) ") &amp; "오전 00:00"</f>
        <v>2022-03-03(목)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85</v>
      </c>
      <c r="B71" s="124">
        <v>249</v>
      </c>
      <c r="C71" s="76">
        <v>5.0632911400000001E-2</v>
      </c>
      <c r="D71" s="13">
        <v>241</v>
      </c>
      <c r="E71" s="14">
        <f>IF(ISNUMBER(D71), (D71 - $B71) / $B71, "")</f>
        <v>-3.2128514056224897E-2</v>
      </c>
      <c r="F71" s="16">
        <f>IF(ISNUMBER(D71), $B91 * E71, "")</f>
        <v>-4819.2771084337346</v>
      </c>
      <c r="G71" s="29">
        <v>245</v>
      </c>
      <c r="H71" s="14">
        <f>IF(ISNUMBER(G71), (G71 - $B71) / $B71, "")</f>
        <v>-1.6064257028112448E-2</v>
      </c>
      <c r="I71" s="100">
        <f>IF(ISNUMBER(G71), $B91 * H71, "")</f>
        <v>-2409.6385542168673</v>
      </c>
      <c r="J71" s="13">
        <v>244</v>
      </c>
      <c r="K71" s="14">
        <f>IF(ISNUMBER(J71), (J71 - $B71) / $B71, "")</f>
        <v>-2.0080321285140562E-2</v>
      </c>
      <c r="L71" s="16">
        <f>IF(ISNUMBER(J71), $B91 * K71, "")</f>
        <v>-3012.0481927710844</v>
      </c>
      <c r="M71" s="29">
        <v>241</v>
      </c>
      <c r="N71" s="14">
        <f>IF(ISNUMBER(M71), (M71 - $B71) / $B71, "")</f>
        <v>-3.2128514056224897E-2</v>
      </c>
      <c r="O71" s="16">
        <f>IF(ISNUMBER(M71), $B91 * N71, "")</f>
        <v>-4819.2771084337346</v>
      </c>
      <c r="Q71" s="191"/>
      <c r="R71" s="191"/>
      <c r="S71" s="191"/>
    </row>
    <row r="72" spans="1:19" ht="17.25" thickBot="1">
      <c r="A72" s="125" t="s">
        <v>247</v>
      </c>
      <c r="B72" s="126">
        <v>803</v>
      </c>
      <c r="C72" s="77">
        <v>4.1504539600000001E-2</v>
      </c>
      <c r="D72" s="15">
        <v>774</v>
      </c>
      <c r="E72" s="32">
        <f t="shared" ref="E72:E75" si="30">IF(ISNUMBER(D72), (D72 - $B72) / $B72, "")</f>
        <v>-3.6114570361145702E-2</v>
      </c>
      <c r="F72" s="18">
        <f>IF(ISNUMBER(D72), $B91 * E72, "")</f>
        <v>-5417.1855541718551</v>
      </c>
      <c r="G72" s="31">
        <v>779</v>
      </c>
      <c r="H72" s="32">
        <f t="shared" ref="H72:H75" si="31">IF(ISNUMBER(G72), (G72 - $B72) / $B72, "")</f>
        <v>-2.9887920298879204E-2</v>
      </c>
      <c r="I72" s="101">
        <f>IF(ISNUMBER(G72), $B91 * H72, "")</f>
        <v>-4483.1880448318807</v>
      </c>
      <c r="J72" s="15">
        <v>778</v>
      </c>
      <c r="K72" s="32">
        <f t="shared" ref="K72:K75" si="32">IF(ISNUMBER(J72), (J72 - $B72) / $B72, "")</f>
        <v>-3.1133250311332503E-2</v>
      </c>
      <c r="L72" s="18">
        <f>IF(ISNUMBER(J72), $B91 * K72, "")</f>
        <v>-4669.9875466998756</v>
      </c>
      <c r="M72" s="31">
        <v>770</v>
      </c>
      <c r="N72" s="32">
        <f t="shared" ref="N72:N75" si="33">IF(ISNUMBER(M72), (M72 - $B72) / $B72, "")</f>
        <v>-4.1095890410958902E-2</v>
      </c>
      <c r="O72" s="18">
        <f>IF(ISNUMBER(M72), $B91 * N72, "")</f>
        <v>-6164.3835616438355</v>
      </c>
      <c r="Q72" s="191"/>
      <c r="R72" s="191"/>
      <c r="S72" s="191"/>
    </row>
    <row r="73" spans="1:19" ht="17.25" thickBot="1">
      <c r="A73" s="125" t="s">
        <v>235</v>
      </c>
      <c r="B73" s="126">
        <v>119</v>
      </c>
      <c r="C73" s="77">
        <v>2.5862069000000001E-2</v>
      </c>
      <c r="D73" s="15">
        <v>116</v>
      </c>
      <c r="E73" s="32">
        <f t="shared" si="30"/>
        <v>-2.5210084033613446E-2</v>
      </c>
      <c r="F73" s="18">
        <f>IF(ISNUMBER(D73), $B91 * E73, "")</f>
        <v>-3781.5126050420167</v>
      </c>
      <c r="G73" s="31">
        <v>116</v>
      </c>
      <c r="H73" s="32">
        <f t="shared" si="31"/>
        <v>-2.5210084033613446E-2</v>
      </c>
      <c r="I73" s="101">
        <f>IF(ISNUMBER(G73), $B91 * H73, "")</f>
        <v>-3781.5126050420167</v>
      </c>
      <c r="J73" s="15">
        <v>117</v>
      </c>
      <c r="K73" s="32">
        <f t="shared" si="32"/>
        <v>-1.680672268907563E-2</v>
      </c>
      <c r="L73" s="18">
        <f>IF(ISNUMBER(J73), $B91 * K73, "")</f>
        <v>-2521.0084033613443</v>
      </c>
      <c r="M73" s="31">
        <v>115</v>
      </c>
      <c r="N73" s="32">
        <f t="shared" si="33"/>
        <v>-3.3613445378151259E-2</v>
      </c>
      <c r="O73" s="18">
        <f>IF(ISNUMBER(M73), $B91 * N73, "")</f>
        <v>-5042.0168067226887</v>
      </c>
      <c r="Q73" s="196"/>
      <c r="R73" s="196"/>
      <c r="S73" s="196"/>
    </row>
    <row r="74" spans="1:19" ht="17.25" thickBot="1">
      <c r="A74" s="125" t="s">
        <v>233</v>
      </c>
      <c r="B74" s="126">
        <v>106</v>
      </c>
      <c r="C74" s="77">
        <v>1.9230769200000001E-2</v>
      </c>
      <c r="D74" s="15">
        <v>102</v>
      </c>
      <c r="E74" s="32">
        <f t="shared" si="30"/>
        <v>-3.7735849056603772E-2</v>
      </c>
      <c r="F74" s="18">
        <f>IF(ISNUMBER(D74), $B91 * E74, "")</f>
        <v>-5660.3773584905657</v>
      </c>
      <c r="G74" s="31">
        <v>103</v>
      </c>
      <c r="H74" s="32">
        <f t="shared" si="31"/>
        <v>-2.8301886792452831E-2</v>
      </c>
      <c r="I74" s="101">
        <f>IF(ISNUMBER(G74), $B91 * H74, "")</f>
        <v>-4245.2830188679245</v>
      </c>
      <c r="J74" s="15">
        <v>104</v>
      </c>
      <c r="K74" s="32">
        <f t="shared" si="32"/>
        <v>-1.8867924528301886E-2</v>
      </c>
      <c r="L74" s="18">
        <f>IF(ISNUMBER(J74), $B91 * K74, "")</f>
        <v>-2830.1886792452829</v>
      </c>
      <c r="M74" s="31">
        <v>103</v>
      </c>
      <c r="N74" s="32">
        <f t="shared" si="33"/>
        <v>-2.8301886792452831E-2</v>
      </c>
      <c r="O74" s="18">
        <f>IF(ISNUMBER(M74), $B91 * N74, "")</f>
        <v>-4245.2830188679245</v>
      </c>
      <c r="Q74" s="196"/>
      <c r="R74" s="196"/>
      <c r="S74" s="196"/>
    </row>
    <row r="75" spans="1:19" ht="17.25" thickBot="1">
      <c r="A75" s="127" t="s">
        <v>327</v>
      </c>
      <c r="B75" s="128">
        <v>728</v>
      </c>
      <c r="C75" s="78">
        <v>1.5341701500000001E-2</v>
      </c>
      <c r="D75" s="20">
        <v>794</v>
      </c>
      <c r="E75" s="21">
        <f t="shared" si="30"/>
        <v>9.0659340659340656E-2</v>
      </c>
      <c r="F75" s="22">
        <f>IF(ISNUMBER(D75), $B91 * E75, "")</f>
        <v>13598.901098901099</v>
      </c>
      <c r="G75" s="30">
        <v>784</v>
      </c>
      <c r="H75" s="21">
        <f t="shared" si="31"/>
        <v>7.6923076923076927E-2</v>
      </c>
      <c r="I75" s="105">
        <f>IF(ISNUMBER(G75), $B91 * H75, "")</f>
        <v>11538.461538461539</v>
      </c>
      <c r="J75" s="20">
        <v>742</v>
      </c>
      <c r="K75" s="21">
        <f t="shared" si="32"/>
        <v>1.9230769230769232E-2</v>
      </c>
      <c r="L75" s="22">
        <f>IF(ISNUMBER(J75), $B91 * K75, "")</f>
        <v>2884.6153846153848</v>
      </c>
      <c r="M75" s="30">
        <v>744</v>
      </c>
      <c r="N75" s="21">
        <f t="shared" si="33"/>
        <v>2.197802197802198E-2</v>
      </c>
      <c r="O75" s="22">
        <f>IF(ISNUMBER(M75), $B91 * N75, "")</f>
        <v>3296.7032967032969</v>
      </c>
      <c r="Q75" s="196"/>
      <c r="R75" s="196"/>
      <c r="S75" s="196"/>
    </row>
    <row r="76" spans="1:19" ht="17.25" thickBot="1">
      <c r="A76" s="125" t="s">
        <v>215</v>
      </c>
      <c r="B76" s="129">
        <v>150</v>
      </c>
      <c r="C76" s="80">
        <v>1.3513513499999999E-2</v>
      </c>
      <c r="D76" s="106">
        <v>144</v>
      </c>
      <c r="E76" s="107">
        <f>IF(ISNUMBER(D76), (D76 - $B76) / $B76, "")</f>
        <v>-0.04</v>
      </c>
      <c r="F76" s="108">
        <f>IF(ISNUMBER(D76), $B91 * E76, "")</f>
        <v>-6000</v>
      </c>
      <c r="G76" s="109">
        <v>144</v>
      </c>
      <c r="H76" s="107">
        <f>IF(ISNUMBER(G76), (G76 - $B76) / $B76, "")</f>
        <v>-0.04</v>
      </c>
      <c r="I76" s="110">
        <f>IF(ISNUMBER(G76), $B91 * H76, "")</f>
        <v>-6000</v>
      </c>
      <c r="J76" s="106">
        <v>144</v>
      </c>
      <c r="K76" s="107">
        <f>IF(ISNUMBER(J76), (J76 - $B76) / $B76, "")</f>
        <v>-0.04</v>
      </c>
      <c r="L76" s="108">
        <f>IF(ISNUMBER(J76), $B91 * K76, "")</f>
        <v>-6000</v>
      </c>
      <c r="M76" s="109">
        <v>143</v>
      </c>
      <c r="N76" s="107">
        <f>IF(ISNUMBER(M76), (M76 - $B76) / $B76, "")</f>
        <v>-4.6666666666666669E-2</v>
      </c>
      <c r="O76" s="108">
        <f>IF(ISNUMBER(M76), $B91 * N76, "")</f>
        <v>-7000</v>
      </c>
      <c r="Q76" s="196"/>
      <c r="R76" s="196"/>
      <c r="S76" s="196"/>
    </row>
    <row r="77" spans="1:19" ht="17.25" thickBot="1">
      <c r="A77" s="125" t="s">
        <v>101</v>
      </c>
      <c r="B77" s="126">
        <v>699</v>
      </c>
      <c r="C77" s="77">
        <v>7.2046109999999997E-3</v>
      </c>
      <c r="D77" s="15">
        <v>685</v>
      </c>
      <c r="E77" s="32">
        <f t="shared" ref="E77:E80" si="34">IF(ISNUMBER(D77), (D77 - $B77) / $B77, "")</f>
        <v>-2.0028612303290415E-2</v>
      </c>
      <c r="F77" s="18">
        <f>IF(ISNUMBER(D77), $B91 * E77, "")</f>
        <v>-3004.2918454935621</v>
      </c>
      <c r="G77" s="31">
        <v>691</v>
      </c>
      <c r="H77" s="32">
        <f t="shared" ref="H77:H80" si="35">IF(ISNUMBER(G77), (G77 - $B77) / $B77, "")</f>
        <v>-1.1444921316165951E-2</v>
      </c>
      <c r="I77" s="101">
        <f>IF(ISNUMBER(G77), $B91 * H77, "")</f>
        <v>-1716.7381974248926</v>
      </c>
      <c r="J77" s="15">
        <v>693</v>
      </c>
      <c r="K77" s="32">
        <f t="shared" ref="K77:K80" si="36">IF(ISNUMBER(J77), (J77 - $B77) / $B77, "")</f>
        <v>-8.5836909871244635E-3</v>
      </c>
      <c r="L77" s="18">
        <f>IF(ISNUMBER(J77), $B91 * K77, "")</f>
        <v>-1287.5536480686694</v>
      </c>
      <c r="M77" s="31">
        <v>691</v>
      </c>
      <c r="N77" s="32">
        <f t="shared" ref="N77:N80" si="37">IF(ISNUMBER(M77), (M77 - $B77) / $B77, "")</f>
        <v>-1.1444921316165951E-2</v>
      </c>
      <c r="O77" s="18">
        <f>IF(ISNUMBER(M77), $B91 * N77, "")</f>
        <v>-1716.7381974248926</v>
      </c>
      <c r="Q77" s="196"/>
      <c r="R77" s="196"/>
      <c r="S77" s="196"/>
    </row>
    <row r="78" spans="1:19" ht="17.25" thickBot="1">
      <c r="A78" s="125" t="s">
        <v>261</v>
      </c>
      <c r="B78" s="126">
        <v>162</v>
      </c>
      <c r="C78" s="77">
        <v>0</v>
      </c>
      <c r="D78" s="15">
        <v>162</v>
      </c>
      <c r="E78" s="32">
        <f t="shared" si="34"/>
        <v>0</v>
      </c>
      <c r="F78" s="18">
        <f>IF(ISNUMBER(D78), $B91 * E78, "")</f>
        <v>0</v>
      </c>
      <c r="G78" s="31">
        <v>161</v>
      </c>
      <c r="H78" s="32">
        <f t="shared" si="35"/>
        <v>-6.1728395061728392E-3</v>
      </c>
      <c r="I78" s="101">
        <f>IF(ISNUMBER(G78), $B91 * H78, "")</f>
        <v>-925.92592592592587</v>
      </c>
      <c r="J78" s="15">
        <v>164</v>
      </c>
      <c r="K78" s="32">
        <f t="shared" si="36"/>
        <v>1.2345679012345678E-2</v>
      </c>
      <c r="L78" s="18">
        <f>IF(ISNUMBER(J78), $B91 * K78, "")</f>
        <v>1851.8518518518517</v>
      </c>
      <c r="M78" s="31">
        <v>163</v>
      </c>
      <c r="N78" s="32">
        <f t="shared" si="37"/>
        <v>6.1728395061728392E-3</v>
      </c>
      <c r="O78" s="18">
        <f>IF(ISNUMBER(M78), $B91 * N78, "")</f>
        <v>925.92592592592587</v>
      </c>
      <c r="Q78" s="196"/>
      <c r="R78" s="196"/>
      <c r="S78" s="196"/>
    </row>
    <row r="79" spans="1:19" ht="17.25" thickBot="1">
      <c r="A79" s="125" t="s">
        <v>79</v>
      </c>
      <c r="B79" s="126">
        <v>912</v>
      </c>
      <c r="C79" s="77">
        <v>-2.1881838000000001E-3</v>
      </c>
      <c r="D79" s="15">
        <v>897</v>
      </c>
      <c r="E79" s="32">
        <f t="shared" si="34"/>
        <v>-1.6447368421052631E-2</v>
      </c>
      <c r="F79" s="18">
        <f>IF(ISNUMBER(D79), $B91 * E79, "")</f>
        <v>-2467.1052631578946</v>
      </c>
      <c r="G79" s="31">
        <v>905</v>
      </c>
      <c r="H79" s="32">
        <f t="shared" si="35"/>
        <v>-7.6754385964912276E-3</v>
      </c>
      <c r="I79" s="101">
        <f>IF(ISNUMBER(G79), $B91 * H79, "")</f>
        <v>-1151.3157894736842</v>
      </c>
      <c r="J79" s="15">
        <v>915</v>
      </c>
      <c r="K79" s="32">
        <f t="shared" si="36"/>
        <v>3.2894736842105261E-3</v>
      </c>
      <c r="L79" s="18">
        <f>IF(ISNUMBER(J79), $B91 * K79, "")</f>
        <v>493.4210526315789</v>
      </c>
      <c r="M79" s="31">
        <v>891</v>
      </c>
      <c r="N79" s="32">
        <f t="shared" si="37"/>
        <v>-2.3026315789473683E-2</v>
      </c>
      <c r="O79" s="18">
        <f>IF(ISNUMBER(M79), $B91 * N79, "")</f>
        <v>-3453.9473684210525</v>
      </c>
      <c r="Q79" s="33"/>
      <c r="R79" s="33"/>
    </row>
    <row r="80" spans="1:19" ht="17.25" thickBot="1">
      <c r="A80" s="130" t="s">
        <v>339</v>
      </c>
      <c r="B80" s="131">
        <v>532</v>
      </c>
      <c r="C80" s="79">
        <v>-3.7453183999999998E-3</v>
      </c>
      <c r="D80" s="24">
        <v>537</v>
      </c>
      <c r="E80" s="25">
        <f t="shared" si="34"/>
        <v>9.3984962406015032E-3</v>
      </c>
      <c r="F80" s="104">
        <f>IF(ISNUMBER(D80), $B91 * E80, "")</f>
        <v>1409.7744360902254</v>
      </c>
      <c r="G80" s="102">
        <v>543</v>
      </c>
      <c r="H80" s="25">
        <f t="shared" si="35"/>
        <v>2.0676691729323307E-2</v>
      </c>
      <c r="I80" s="103">
        <f>IF(ISNUMBER(G80), $B91 * H80, "")</f>
        <v>3101.5037593984962</v>
      </c>
      <c r="J80" s="24">
        <v>544</v>
      </c>
      <c r="K80" s="25">
        <f t="shared" si="36"/>
        <v>2.2556390977443608E-2</v>
      </c>
      <c r="L80" s="104">
        <f>IF(ISNUMBER(J80), $B91 * K80, "")</f>
        <v>3383.458646616541</v>
      </c>
      <c r="M80" s="102">
        <v>543</v>
      </c>
      <c r="N80" s="25">
        <f t="shared" si="37"/>
        <v>2.0676691729323307E-2</v>
      </c>
      <c r="O80" s="104">
        <f>IF(ISNUMBER(M80), $B91 * N80, "")</f>
        <v>3101.5037593984962</v>
      </c>
      <c r="Q80" s="205"/>
      <c r="R80" s="206"/>
      <c r="S80" s="207"/>
    </row>
    <row r="81" spans="1:19">
      <c r="A81" s="123" t="s">
        <v>213</v>
      </c>
      <c r="B81" s="124">
        <v>298</v>
      </c>
      <c r="C81" s="76">
        <v>-6.6666666999999997E-3</v>
      </c>
      <c r="D81" s="13">
        <v>289</v>
      </c>
      <c r="E81" s="14">
        <f>IF(ISNUMBER(D81), (D81 - $B81) / $B81, "")</f>
        <v>-3.0201342281879196E-2</v>
      </c>
      <c r="F81" s="16">
        <f>IF(ISNUMBER(D81), $B91 * E81, "")</f>
        <v>-4530.2013422818791</v>
      </c>
      <c r="G81" s="29">
        <v>290</v>
      </c>
      <c r="H81" s="14">
        <f>IF(ISNUMBER(G81), (G81 - $B81) / $B81, "")</f>
        <v>-2.6845637583892617E-2</v>
      </c>
      <c r="I81" s="100">
        <f>IF(ISNUMBER(G81), $B91 * H81, "")</f>
        <v>-4026.8456375838923</v>
      </c>
      <c r="J81" s="13">
        <v>292</v>
      </c>
      <c r="K81" s="14">
        <f>IF(ISNUMBER(J81), (J81 - $B81) / $B81, "")</f>
        <v>-2.0134228187919462E-2</v>
      </c>
      <c r="L81" s="16">
        <f>IF(ISNUMBER(J81), $B91 * K81, "")</f>
        <v>-3020.1342281879192</v>
      </c>
      <c r="M81" s="29">
        <v>292</v>
      </c>
      <c r="N81" s="14">
        <f>IF(ISNUMBER(M81), (M81 - $B81) / $B81, "")</f>
        <v>-2.0134228187919462E-2</v>
      </c>
      <c r="O81" s="16">
        <f>IF(ISNUMBER(M81), $B91 * N81, "")</f>
        <v>-3020.1342281879192</v>
      </c>
      <c r="Q81" s="208"/>
      <c r="R81" s="209"/>
      <c r="S81" s="210"/>
    </row>
    <row r="82" spans="1:19" ht="17.25" thickBot="1">
      <c r="A82" s="125" t="s">
        <v>105</v>
      </c>
      <c r="B82" s="126">
        <v>875</v>
      </c>
      <c r="C82" s="77">
        <v>-6.8104426999999997E-3</v>
      </c>
      <c r="D82" s="15">
        <v>856</v>
      </c>
      <c r="E82" s="32">
        <f t="shared" ref="E82:E85" si="38">IF(ISNUMBER(D82), (D82 - $B82) / $B82, "")</f>
        <v>-2.1714285714285714E-2</v>
      </c>
      <c r="F82" s="18">
        <f>IF(ISNUMBER(D82), $B91 * E82, "")</f>
        <v>-3257.1428571428569</v>
      </c>
      <c r="G82" s="31">
        <v>867</v>
      </c>
      <c r="H82" s="32">
        <f t="shared" ref="H82:H85" si="39">IF(ISNUMBER(G82), (G82 - $B82) / $B82, "")</f>
        <v>-9.1428571428571435E-3</v>
      </c>
      <c r="I82" s="101">
        <f>IF(ISNUMBER(G82), $B91 * H82, "")</f>
        <v>-1371.4285714285716</v>
      </c>
      <c r="J82" s="15">
        <v>876</v>
      </c>
      <c r="K82" s="32">
        <f t="shared" ref="K82:K85" si="40">IF(ISNUMBER(J82), (J82 - $B82) / $B82, "")</f>
        <v>1.1428571428571429E-3</v>
      </c>
      <c r="L82" s="18">
        <f>IF(ISNUMBER(J82), $B91 * K82, "")</f>
        <v>171.42857142857144</v>
      </c>
      <c r="M82" s="31">
        <v>869</v>
      </c>
      <c r="N82" s="32">
        <f t="shared" ref="N82:N85" si="41">IF(ISNUMBER(M82), (M82 - $B82) / $B82, "")</f>
        <v>-6.8571428571428568E-3</v>
      </c>
      <c r="O82" s="18">
        <f>IF(ISNUMBER(M82), $B91 * N82, "")</f>
        <v>-1028.5714285714284</v>
      </c>
      <c r="Q82" s="211"/>
      <c r="R82" s="212"/>
      <c r="S82" s="213"/>
    </row>
    <row r="83" spans="1:19" ht="17.25" thickBot="1">
      <c r="A83" s="125" t="s">
        <v>56</v>
      </c>
      <c r="B83" s="126">
        <v>131</v>
      </c>
      <c r="C83" s="77">
        <v>-7.5757576E-3</v>
      </c>
      <c r="D83" s="15">
        <v>130</v>
      </c>
      <c r="E83" s="32">
        <f t="shared" si="38"/>
        <v>-7.6335877862595417E-3</v>
      </c>
      <c r="F83" s="18">
        <f>IF(ISNUMBER(D83), $B91 * E83, "")</f>
        <v>-1145.0381679389313</v>
      </c>
      <c r="G83" s="31">
        <v>131</v>
      </c>
      <c r="H83" s="32">
        <f t="shared" si="39"/>
        <v>0</v>
      </c>
      <c r="I83" s="101">
        <f>IF(ISNUMBER(G83), $B91 * H83, "")</f>
        <v>0</v>
      </c>
      <c r="J83" s="15">
        <v>133</v>
      </c>
      <c r="K83" s="32">
        <f t="shared" si="40"/>
        <v>1.5267175572519083E-2</v>
      </c>
      <c r="L83" s="18">
        <f>IF(ISNUMBER(J83), $B91 * K83, "")</f>
        <v>2290.0763358778627</v>
      </c>
      <c r="M83" s="31">
        <v>131</v>
      </c>
      <c r="N83" s="32">
        <f t="shared" si="41"/>
        <v>0</v>
      </c>
      <c r="O83" s="18">
        <f>IF(ISNUMBER(M83), $B91 * N83, "")</f>
        <v>0</v>
      </c>
      <c r="Q83" s="196"/>
      <c r="R83" s="196"/>
      <c r="S83" s="196"/>
    </row>
    <row r="84" spans="1:19" ht="17.25" thickBot="1">
      <c r="A84" s="125" t="s">
        <v>51</v>
      </c>
      <c r="B84" s="126">
        <v>239</v>
      </c>
      <c r="C84" s="77">
        <v>-8.2987552000000006E-3</v>
      </c>
      <c r="D84" s="15">
        <v>236</v>
      </c>
      <c r="E84" s="32">
        <f t="shared" si="38"/>
        <v>-1.2552301255230125E-2</v>
      </c>
      <c r="F84" s="18">
        <f>IF(ISNUMBER(D84), $B91 * E84, "")</f>
        <v>-1882.8451882845188</v>
      </c>
      <c r="G84" s="31">
        <v>238</v>
      </c>
      <c r="H84" s="32">
        <f t="shared" si="39"/>
        <v>-4.1841004184100415E-3</v>
      </c>
      <c r="I84" s="101">
        <f>IF(ISNUMBER(G84), $B91 * H84, "")</f>
        <v>-627.61506276150624</v>
      </c>
      <c r="J84" s="15">
        <v>239</v>
      </c>
      <c r="K84" s="32">
        <f t="shared" si="40"/>
        <v>0</v>
      </c>
      <c r="L84" s="18">
        <f>IF(ISNUMBER(J84), $B91 * K84, "")</f>
        <v>0</v>
      </c>
      <c r="M84" s="31">
        <v>236</v>
      </c>
      <c r="N84" s="32">
        <f t="shared" si="41"/>
        <v>-1.2552301255230125E-2</v>
      </c>
      <c r="O84" s="18">
        <f>IF(ISNUMBER(M84), $B91 * N84, "")</f>
        <v>-1882.8451882845188</v>
      </c>
      <c r="Q84" s="191"/>
      <c r="R84" s="191"/>
      <c r="S84" s="191"/>
    </row>
    <row r="85" spans="1:19" ht="17.25" thickBot="1">
      <c r="A85" s="127" t="s">
        <v>134</v>
      </c>
      <c r="B85" s="128">
        <v>218</v>
      </c>
      <c r="C85" s="78">
        <v>-9.0909091000000008E-3</v>
      </c>
      <c r="D85" s="20">
        <v>216</v>
      </c>
      <c r="E85" s="21">
        <f t="shared" si="38"/>
        <v>-9.1743119266055051E-3</v>
      </c>
      <c r="F85" s="22">
        <f>IF(ISNUMBER(D85), $B91 * E85, "")</f>
        <v>-1376.1467889908258</v>
      </c>
      <c r="G85" s="30">
        <v>218</v>
      </c>
      <c r="H85" s="21">
        <f t="shared" si="39"/>
        <v>0</v>
      </c>
      <c r="I85" s="105">
        <f>IF(ISNUMBER(G85), $B91 * H85, "")</f>
        <v>0</v>
      </c>
      <c r="J85" s="20">
        <v>219</v>
      </c>
      <c r="K85" s="21">
        <f t="shared" si="40"/>
        <v>4.5871559633027525E-3</v>
      </c>
      <c r="L85" s="22">
        <f>IF(ISNUMBER(J85), $B91 * K85, "")</f>
        <v>688.07339449541291</v>
      </c>
      <c r="M85" s="30">
        <v>215</v>
      </c>
      <c r="N85" s="21">
        <f t="shared" si="41"/>
        <v>-1.3761467889908258E-2</v>
      </c>
      <c r="O85" s="22">
        <f>IF(ISNUMBER(M85), $B91 * N85, "")</f>
        <v>-2064.2201834862385</v>
      </c>
      <c r="Q85" s="191"/>
      <c r="R85" s="191"/>
      <c r="S85" s="191"/>
    </row>
    <row r="86" spans="1:19" ht="17.25" thickBot="1">
      <c r="A86" s="125" t="s">
        <v>217</v>
      </c>
      <c r="B86" s="129">
        <v>217</v>
      </c>
      <c r="C86" s="80">
        <v>-9.1324201000000001E-3</v>
      </c>
      <c r="D86" s="106">
        <v>207</v>
      </c>
      <c r="E86" s="107">
        <f>IF(ISNUMBER(D86), (D86 - $B86) / $B86, "")</f>
        <v>-4.6082949308755762E-2</v>
      </c>
      <c r="F86" s="108">
        <f>IF(ISNUMBER(D86), $B91 * E86, "")</f>
        <v>-6912.442396313364</v>
      </c>
      <c r="G86" s="109">
        <v>209</v>
      </c>
      <c r="H86" s="107">
        <f>IF(ISNUMBER(G86), (G86 - $B86) / $B86, "")</f>
        <v>-3.6866359447004608E-2</v>
      </c>
      <c r="I86" s="110">
        <f>IF(ISNUMBER(G86), $B91 * H86, "")</f>
        <v>-5529.9539170506914</v>
      </c>
      <c r="J86" s="106">
        <v>212</v>
      </c>
      <c r="K86" s="107">
        <f>IF(ISNUMBER(J86), (J86 - $B86) / $B86, "")</f>
        <v>-2.3041474654377881E-2</v>
      </c>
      <c r="L86" s="108">
        <f>IF(ISNUMBER(J86), $B91 * K86, "")</f>
        <v>-3456.221198156682</v>
      </c>
      <c r="M86" s="109">
        <v>212</v>
      </c>
      <c r="N86" s="107">
        <f>IF(ISNUMBER(M86), (M86 - $B86) / $B86, "")</f>
        <v>-2.3041474654377881E-2</v>
      </c>
      <c r="O86" s="108">
        <f>IF(ISNUMBER(M86), $B91 * N86, "")</f>
        <v>-3456.221198156682</v>
      </c>
      <c r="Q86" s="196"/>
      <c r="R86" s="196"/>
      <c r="S86" s="196"/>
    </row>
    <row r="87" spans="1:19" ht="17.25" thickBot="1">
      <c r="A87" s="125" t="s">
        <v>172</v>
      </c>
      <c r="B87" s="126">
        <v>962</v>
      </c>
      <c r="C87" s="77">
        <v>-1.0288065799999999E-2</v>
      </c>
      <c r="D87" s="15">
        <v>955</v>
      </c>
      <c r="E87" s="32">
        <f t="shared" ref="E87:E90" si="42">IF(ISNUMBER(D87), (D87 - $B87) / $B87, "")</f>
        <v>-7.2765072765072769E-3</v>
      </c>
      <c r="F87" s="18">
        <f>IF(ISNUMBER(D87), $B91 * E87, "")</f>
        <v>-1091.4760914760916</v>
      </c>
      <c r="G87" s="31">
        <v>964</v>
      </c>
      <c r="H87" s="32">
        <f t="shared" ref="H87:H90" si="43">IF(ISNUMBER(G87), (G87 - $B87) / $B87, "")</f>
        <v>2.0790020790020791E-3</v>
      </c>
      <c r="I87" s="101">
        <f>IF(ISNUMBER(G87), $B91 * H87, "")</f>
        <v>311.85031185031187</v>
      </c>
      <c r="J87" s="15">
        <v>974</v>
      </c>
      <c r="K87" s="32">
        <f t="shared" ref="K87:K90" si="44">IF(ISNUMBER(J87), (J87 - $B87) / $B87, "")</f>
        <v>1.2474012474012475E-2</v>
      </c>
      <c r="L87" s="18">
        <f>IF(ISNUMBER(J87), $B91 * K87, "")</f>
        <v>1871.1018711018712</v>
      </c>
      <c r="M87" s="31">
        <v>967</v>
      </c>
      <c r="N87" s="32">
        <f t="shared" ref="N87:N90" si="45">IF(ISNUMBER(M87), (M87 - $B87) / $B87, "")</f>
        <v>5.1975051975051978E-3</v>
      </c>
      <c r="O87" s="18">
        <f>IF(ISNUMBER(M87), $B91 * N87, "")</f>
        <v>779.62577962577961</v>
      </c>
      <c r="Q87" s="196"/>
      <c r="R87" s="196"/>
      <c r="S87" s="196"/>
    </row>
    <row r="88" spans="1:19" ht="17.25" thickBot="1">
      <c r="A88" s="125" t="s">
        <v>338</v>
      </c>
      <c r="B88" s="126">
        <v>273</v>
      </c>
      <c r="C88" s="77">
        <v>-1.08695652E-2</v>
      </c>
      <c r="D88" s="15">
        <v>268</v>
      </c>
      <c r="E88" s="32">
        <f t="shared" si="42"/>
        <v>-1.8315018315018316E-2</v>
      </c>
      <c r="F88" s="18">
        <f>IF(ISNUMBER(D88), $B91 * E88, "")</f>
        <v>-2747.2527472527472</v>
      </c>
      <c r="G88" s="31">
        <v>273</v>
      </c>
      <c r="H88" s="32">
        <f t="shared" si="43"/>
        <v>0</v>
      </c>
      <c r="I88" s="101">
        <f>IF(ISNUMBER(G88), $B91 * H88, "")</f>
        <v>0</v>
      </c>
      <c r="J88" s="15">
        <v>276</v>
      </c>
      <c r="K88" s="32">
        <f t="shared" si="44"/>
        <v>1.098901098901099E-2</v>
      </c>
      <c r="L88" s="18">
        <f>IF(ISNUMBER(J88), $B91 * K88, "")</f>
        <v>1648.3516483516485</v>
      </c>
      <c r="M88" s="31">
        <v>273</v>
      </c>
      <c r="N88" s="32">
        <f t="shared" si="45"/>
        <v>0</v>
      </c>
      <c r="O88" s="18">
        <f>IF(ISNUMBER(M88), $B91 * N88, "")</f>
        <v>0</v>
      </c>
      <c r="Q88" s="196"/>
      <c r="R88" s="196"/>
      <c r="S88" s="196"/>
    </row>
    <row r="89" spans="1:19">
      <c r="A89" s="125" t="s">
        <v>249</v>
      </c>
      <c r="B89" s="126">
        <v>246</v>
      </c>
      <c r="C89" s="77">
        <v>-1.20481928E-2</v>
      </c>
      <c r="D89" s="15">
        <v>237</v>
      </c>
      <c r="E89" s="32">
        <f t="shared" si="42"/>
        <v>-3.6585365853658534E-2</v>
      </c>
      <c r="F89" s="18">
        <f>IF(ISNUMBER(D89), $B91 * E89, "")</f>
        <v>-5487.8048780487798</v>
      </c>
      <c r="G89" s="31">
        <v>238</v>
      </c>
      <c r="H89" s="32">
        <f t="shared" si="43"/>
        <v>-3.2520325203252036E-2</v>
      </c>
      <c r="I89" s="101">
        <f>IF(ISNUMBER(G89), $B91 * H89, "")</f>
        <v>-4878.0487804878057</v>
      </c>
      <c r="J89" s="15">
        <v>239</v>
      </c>
      <c r="K89" s="32">
        <f t="shared" si="44"/>
        <v>-2.8455284552845527E-2</v>
      </c>
      <c r="L89" s="18">
        <f>IF(ISNUMBER(J89), $B91 * K89, "")</f>
        <v>-4268.292682926829</v>
      </c>
      <c r="M89" s="31">
        <v>240</v>
      </c>
      <c r="N89" s="32">
        <f t="shared" si="45"/>
        <v>-2.4390243902439025E-2</v>
      </c>
      <c r="O89" s="18">
        <f>IF(ISNUMBER(M89), $B91 * N89, "")</f>
        <v>-3658.5365853658536</v>
      </c>
      <c r="Q89" s="218"/>
      <c r="R89" s="219"/>
      <c r="S89" s="220"/>
    </row>
    <row r="90" spans="1:19" ht="17.25" thickBot="1">
      <c r="A90" s="130" t="s">
        <v>89</v>
      </c>
      <c r="B90" s="131">
        <v>937</v>
      </c>
      <c r="C90" s="79">
        <v>-1.26448894E-2</v>
      </c>
      <c r="D90" s="24">
        <v>931</v>
      </c>
      <c r="E90" s="25">
        <f t="shared" si="42"/>
        <v>-6.4034151547491995E-3</v>
      </c>
      <c r="F90" s="104">
        <f>IF(ISNUMBER(D90), $B91 * E90, "")</f>
        <v>-960.51227321237991</v>
      </c>
      <c r="G90" s="102">
        <v>937</v>
      </c>
      <c r="H90" s="25">
        <f t="shared" si="43"/>
        <v>0</v>
      </c>
      <c r="I90" s="103">
        <f>IF(ISNUMBER(G90), $B91 * H90, "")</f>
        <v>0</v>
      </c>
      <c r="J90" s="24">
        <v>943</v>
      </c>
      <c r="K90" s="25">
        <f t="shared" si="44"/>
        <v>6.4034151547491995E-3</v>
      </c>
      <c r="L90" s="104">
        <f>IF(ISNUMBER(J90), $B91 * K90, "")</f>
        <v>960.51227321237991</v>
      </c>
      <c r="M90" s="102">
        <v>936</v>
      </c>
      <c r="N90" s="25">
        <f t="shared" si="45"/>
        <v>-1.0672358591248667E-3</v>
      </c>
      <c r="O90" s="104">
        <f>IF(ISNUMBER(M90), $B91 * N90, "")</f>
        <v>-160.08537886873</v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-1.5177312310246891E-2</v>
      </c>
      <c r="F91" s="28">
        <f>SUM(F71:F90)</f>
        <v>-45531.936930740674</v>
      </c>
      <c r="G91" s="26" t="s">
        <v>266</v>
      </c>
      <c r="H91" s="27">
        <f>IF(COUNT(H71:H90), SUM(H71:H90) / COUNT(H71:H90), 0)</f>
        <v>-8.7318928317951048E-3</v>
      </c>
      <c r="I91" s="28">
        <f>SUM(I71:I90)</f>
        <v>-26195.678495385313</v>
      </c>
      <c r="J91" s="26" t="s">
        <v>266</v>
      </c>
      <c r="K91" s="27">
        <f>IF(COUNT(K71:K90), SUM(K71:K90) / COUNT(K71:K90), 0)</f>
        <v>-4.9408478497448621E-3</v>
      </c>
      <c r="L91" s="28">
        <f>SUM(L71:L90)</f>
        <v>-14822.54354923458</v>
      </c>
      <c r="M91" s="26" t="s">
        <v>266</v>
      </c>
      <c r="N91" s="27">
        <f>IF(COUNT(N71:N90), SUM(N71:N90) / COUNT(N71:N90), 0)</f>
        <v>-1.3202833830260668E-2</v>
      </c>
      <c r="O91" s="28">
        <f>SUM(O71:O90)</f>
        <v>-39608.501490781993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2022-03-02(수) 오전 00:00</v>
      </c>
      <c r="C96" s="234"/>
      <c r="D96" s="193" t="str">
        <f>TEXT($G$1, "[$-ko-KR]yyyy-mm-dd(ddd) ") &amp; "오후 14:00"</f>
        <v>2022-03-02(수) 오후 14:00</v>
      </c>
      <c r="E96" s="194"/>
      <c r="F96" s="195"/>
      <c r="G96" s="193" t="str">
        <f>TEXT($G$1, "[$-ko-KR]yyyy-mm-dd(ddd) ") &amp; "오후 19:00"</f>
        <v>2022-03-02(수) 오후 19:00</v>
      </c>
      <c r="H96" s="194"/>
      <c r="I96" s="195"/>
      <c r="J96" s="193" t="str">
        <f>TEXT($G$1, "[$-ko-KR]yyyy-mm-dd(ddd) ") &amp; "오후 21:00"</f>
        <v>2022-03-02(수) 오후 21:00</v>
      </c>
      <c r="K96" s="194"/>
      <c r="L96" s="195"/>
      <c r="M96" s="193" t="str">
        <f>TEXT($G$1+1, "[$-ko-KR]yyyy-mm-dd(ddd) ") &amp; "오전 00:00"</f>
        <v>2022-03-03(목)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71</v>
      </c>
      <c r="B98" s="124">
        <v>22.8</v>
      </c>
      <c r="C98" s="76">
        <v>0.1343283582</v>
      </c>
      <c r="D98" s="13">
        <v>20.9</v>
      </c>
      <c r="E98" s="14">
        <f>IF(ISNUMBER(D98), (D98 - $B98) / $B98, "")</f>
        <v>-8.3333333333333426E-2</v>
      </c>
      <c r="F98" s="16">
        <f>IF(ISNUMBER(D98), $B118 * E98, "")</f>
        <v>-12500.000000000015</v>
      </c>
      <c r="G98" s="29">
        <v>20.6</v>
      </c>
      <c r="H98" s="14">
        <f>IF(ISNUMBER(G98), (G98 - $B98) / $B98, "")</f>
        <v>-9.6491228070175405E-2</v>
      </c>
      <c r="I98" s="100">
        <f>IF(ISNUMBER(G98), $B118 * H98, "")</f>
        <v>-14473.684210526311</v>
      </c>
      <c r="J98" s="13">
        <v>20.5</v>
      </c>
      <c r="K98" s="14">
        <f>IF(ISNUMBER(J98), (J98 - $B98) / $B98, "")</f>
        <v>-0.10087719298245616</v>
      </c>
      <c r="L98" s="16">
        <f>IF(ISNUMBER(J98), $B118 * K98, "")</f>
        <v>-15131.578947368424</v>
      </c>
      <c r="M98" s="29">
        <v>20.399999999999999</v>
      </c>
      <c r="N98" s="14">
        <f>IF(ISNUMBER(M98), (M98 - $B98) / $B98, "")</f>
        <v>-0.10526315789473693</v>
      </c>
      <c r="O98" s="16">
        <f>IF(ISNUMBER(M98), $B118 * N98, "")</f>
        <v>-15789.473684210539</v>
      </c>
      <c r="Q98" s="191"/>
      <c r="R98" s="191"/>
      <c r="S98" s="191"/>
    </row>
    <row r="99" spans="1:19" ht="17.25" thickBot="1">
      <c r="A99" s="125" t="s">
        <v>85</v>
      </c>
      <c r="B99" s="126">
        <v>249</v>
      </c>
      <c r="C99" s="77">
        <v>5.0632911400000001E-2</v>
      </c>
      <c r="D99" s="15">
        <v>241</v>
      </c>
      <c r="E99" s="32">
        <f t="shared" ref="E99:E102" si="46">IF(ISNUMBER(D99), (D99 - $B99) / $B99, "")</f>
        <v>-3.2128514056224897E-2</v>
      </c>
      <c r="F99" s="18">
        <f>IF(ISNUMBER(D99), $B118 * E99, "")</f>
        <v>-4819.2771084337346</v>
      </c>
      <c r="G99" s="31">
        <v>245</v>
      </c>
      <c r="H99" s="32">
        <f t="shared" ref="H99:H102" si="47">IF(ISNUMBER(G99), (G99 - $B99) / $B99, "")</f>
        <v>-1.6064257028112448E-2</v>
      </c>
      <c r="I99" s="101">
        <f>IF(ISNUMBER(G99), $B118 * H99, "")</f>
        <v>-2409.6385542168673</v>
      </c>
      <c r="J99" s="15">
        <v>244</v>
      </c>
      <c r="K99" s="32">
        <f t="shared" ref="K99:K102" si="48">IF(ISNUMBER(J99), (J99 - $B99) / $B99, "")</f>
        <v>-2.0080321285140562E-2</v>
      </c>
      <c r="L99" s="18">
        <f>IF(ISNUMBER(J99), $B118 * K99, "")</f>
        <v>-3012.0481927710844</v>
      </c>
      <c r="M99" s="31">
        <v>241</v>
      </c>
      <c r="N99" s="32">
        <f t="shared" ref="N99:N102" si="49">IF(ISNUMBER(M99), (M99 - $B99) / $B99, "")</f>
        <v>-3.2128514056224897E-2</v>
      </c>
      <c r="O99" s="18">
        <f>IF(ISNUMBER(M99), $B118 * N99, "")</f>
        <v>-4819.2771084337346</v>
      </c>
      <c r="Q99" s="191"/>
      <c r="R99" s="191"/>
      <c r="S99" s="191"/>
    </row>
    <row r="100" spans="1:19" ht="17.25" thickBot="1">
      <c r="A100" s="125" t="s">
        <v>247</v>
      </c>
      <c r="B100" s="126">
        <v>803</v>
      </c>
      <c r="C100" s="77">
        <v>4.1504539600000001E-2</v>
      </c>
      <c r="D100" s="15">
        <v>774</v>
      </c>
      <c r="E100" s="32">
        <f t="shared" si="46"/>
        <v>-3.6114570361145702E-2</v>
      </c>
      <c r="F100" s="18">
        <f>IF(ISNUMBER(D100), $B118 * E100, "")</f>
        <v>-5417.1855541718551</v>
      </c>
      <c r="G100" s="31">
        <v>779</v>
      </c>
      <c r="H100" s="32">
        <f t="shared" si="47"/>
        <v>-2.9887920298879204E-2</v>
      </c>
      <c r="I100" s="101">
        <f>IF(ISNUMBER(G100), $B118 * H100, "")</f>
        <v>-4483.1880448318807</v>
      </c>
      <c r="J100" s="15">
        <v>778</v>
      </c>
      <c r="K100" s="32">
        <f t="shared" si="48"/>
        <v>-3.1133250311332503E-2</v>
      </c>
      <c r="L100" s="18">
        <f>IF(ISNUMBER(J100), $B118 * K100, "")</f>
        <v>-4669.9875466998756</v>
      </c>
      <c r="M100" s="31">
        <v>770</v>
      </c>
      <c r="N100" s="32">
        <f t="shared" si="49"/>
        <v>-4.1095890410958902E-2</v>
      </c>
      <c r="O100" s="18">
        <f>IF(ISNUMBER(M100), $B118 * N100, "")</f>
        <v>-6164.3835616438355</v>
      </c>
      <c r="Q100" s="196"/>
      <c r="R100" s="196"/>
      <c r="S100" s="196"/>
    </row>
    <row r="101" spans="1:19" ht="17.25" thickBot="1">
      <c r="A101" s="125" t="s">
        <v>154</v>
      </c>
      <c r="B101" s="126">
        <v>21890</v>
      </c>
      <c r="C101" s="77">
        <v>3.4010392100000002E-2</v>
      </c>
      <c r="D101" s="15">
        <v>21220</v>
      </c>
      <c r="E101" s="32">
        <f t="shared" si="46"/>
        <v>-3.0607583371402469E-2</v>
      </c>
      <c r="F101" s="18">
        <f>IF(ISNUMBER(D101), $B118 * E101, "")</f>
        <v>-4591.1375057103705</v>
      </c>
      <c r="G101" s="31">
        <v>21700</v>
      </c>
      <c r="H101" s="32">
        <f t="shared" si="47"/>
        <v>-8.6797624486066698E-3</v>
      </c>
      <c r="I101" s="101">
        <f>IF(ISNUMBER(G101), $B118 * H101, "")</f>
        <v>-1301.9643672910004</v>
      </c>
      <c r="J101" s="15">
        <v>22820</v>
      </c>
      <c r="K101" s="32">
        <f t="shared" si="48"/>
        <v>4.2485153037916855E-2</v>
      </c>
      <c r="L101" s="18">
        <f>IF(ISNUMBER(J101), $B118 * K101, "")</f>
        <v>6372.7729556875283</v>
      </c>
      <c r="M101" s="31">
        <v>21800</v>
      </c>
      <c r="N101" s="32">
        <f t="shared" si="49"/>
        <v>-4.1114664230242123E-3</v>
      </c>
      <c r="O101" s="18">
        <f>IF(ISNUMBER(M101), $B118 * N101, "")</f>
        <v>-616.71996345363186</v>
      </c>
      <c r="Q101" s="196"/>
      <c r="R101" s="196"/>
      <c r="S101" s="196"/>
    </row>
    <row r="102" spans="1:19" ht="17.25" thickBot="1">
      <c r="A102" s="127" t="s">
        <v>211</v>
      </c>
      <c r="B102" s="128">
        <v>8.2899999999999991</v>
      </c>
      <c r="C102" s="78">
        <v>3.3665835400000003E-2</v>
      </c>
      <c r="D102" s="20">
        <v>7.82</v>
      </c>
      <c r="E102" s="21">
        <f t="shared" si="46"/>
        <v>-5.6694813027744137E-2</v>
      </c>
      <c r="F102" s="22">
        <f>IF(ISNUMBER(D102), $B118 * E102, "")</f>
        <v>-8504.2219541616214</v>
      </c>
      <c r="G102" s="30">
        <v>7.78</v>
      </c>
      <c r="H102" s="21">
        <f t="shared" si="47"/>
        <v>-6.1519903498190462E-2</v>
      </c>
      <c r="I102" s="105">
        <f>IF(ISNUMBER(G102), $B118 * H102, "")</f>
        <v>-9227.9855247285686</v>
      </c>
      <c r="J102" s="20">
        <v>7.79</v>
      </c>
      <c r="K102" s="21">
        <f t="shared" si="48"/>
        <v>-6.0313630880578908E-2</v>
      </c>
      <c r="L102" s="22">
        <f>IF(ISNUMBER(J102), $B118 * K102, "")</f>
        <v>-9047.0446320868359</v>
      </c>
      <c r="M102" s="30">
        <v>7.72</v>
      </c>
      <c r="N102" s="21">
        <f t="shared" si="49"/>
        <v>-6.8757539203860005E-2</v>
      </c>
      <c r="O102" s="22">
        <f>IF(ISNUMBER(M102), $B118 * N102, "")</f>
        <v>-10313.630880579001</v>
      </c>
      <c r="Q102" s="196"/>
      <c r="R102" s="196"/>
      <c r="S102" s="196"/>
    </row>
    <row r="103" spans="1:19" ht="17.25" thickBot="1">
      <c r="A103" s="125" t="s">
        <v>168</v>
      </c>
      <c r="B103" s="129">
        <v>2015</v>
      </c>
      <c r="C103" s="80">
        <v>3.3333333299999997E-2</v>
      </c>
      <c r="D103" s="106">
        <v>1930</v>
      </c>
      <c r="E103" s="107">
        <f>IF(ISNUMBER(D103), (D103 - $B103) / $B103, "")</f>
        <v>-4.2183622828784122E-2</v>
      </c>
      <c r="F103" s="108">
        <f>IF(ISNUMBER(D103), $B118 * E103, "")</f>
        <v>-6327.5434243176187</v>
      </c>
      <c r="G103" s="109">
        <v>1930</v>
      </c>
      <c r="H103" s="107">
        <f>IF(ISNUMBER(G103), (G103 - $B103) / $B103, "")</f>
        <v>-4.2183622828784122E-2</v>
      </c>
      <c r="I103" s="110">
        <f>IF(ISNUMBER(G103), $B118 * H103, "")</f>
        <v>-6327.5434243176187</v>
      </c>
      <c r="J103" s="106">
        <v>1940</v>
      </c>
      <c r="K103" s="107">
        <f>IF(ISNUMBER(J103), (J103 - $B103) / $B103, "")</f>
        <v>-3.7220843672456573E-2</v>
      </c>
      <c r="L103" s="108">
        <f>IF(ISNUMBER(J103), $B118 * K103, "")</f>
        <v>-5583.1265508684855</v>
      </c>
      <c r="M103" s="109">
        <v>1920</v>
      </c>
      <c r="N103" s="107">
        <f>IF(ISNUMBER(M103), (M103 - $B103) / $B103, "")</f>
        <v>-4.7146401985111663E-2</v>
      </c>
      <c r="O103" s="108">
        <f>IF(ISNUMBER(M103), $B118 * N103, "")</f>
        <v>-7071.9602977667491</v>
      </c>
      <c r="Q103" s="196"/>
      <c r="R103" s="196"/>
      <c r="S103" s="196"/>
    </row>
    <row r="104" spans="1:19" ht="17.25" thickBot="1">
      <c r="A104" s="125" t="s">
        <v>113</v>
      </c>
      <c r="B104" s="126">
        <v>4395</v>
      </c>
      <c r="C104" s="77">
        <v>2.6869158899999999E-2</v>
      </c>
      <c r="D104" s="15">
        <v>4200</v>
      </c>
      <c r="E104" s="32">
        <f t="shared" ref="E104:E107" si="50">IF(ISNUMBER(D104), (D104 - $B104) / $B104, "")</f>
        <v>-4.4368600682593858E-2</v>
      </c>
      <c r="F104" s="18">
        <f>IF(ISNUMBER(D104), $B118 * E104, "")</f>
        <v>-6655.290102389079</v>
      </c>
      <c r="G104" s="31">
        <v>4260</v>
      </c>
      <c r="H104" s="32">
        <f t="shared" ref="H104:H107" si="51">IF(ISNUMBER(G104), (G104 - $B104) / $B104, "")</f>
        <v>-3.0716723549488054E-2</v>
      </c>
      <c r="I104" s="101">
        <f>IF(ISNUMBER(G104), $B118 * H104, "")</f>
        <v>-4607.5085324232077</v>
      </c>
      <c r="J104" s="15">
        <v>4320</v>
      </c>
      <c r="K104" s="32">
        <f t="shared" ref="K104:K107" si="52">IF(ISNUMBER(J104), (J104 - $B104) / $B104, "")</f>
        <v>-1.7064846416382253E-2</v>
      </c>
      <c r="L104" s="18">
        <f>IF(ISNUMBER(J104), $B118 * K104, "")</f>
        <v>-2559.7269624573378</v>
      </c>
      <c r="M104" s="31">
        <v>4385</v>
      </c>
      <c r="N104" s="32">
        <f t="shared" ref="N104:N107" si="53">IF(ISNUMBER(M104), (M104 - $B104) / $B104, "")</f>
        <v>-2.2753128555176336E-3</v>
      </c>
      <c r="O104" s="18">
        <f>IF(ISNUMBER(M104), $B118 * N104, "")</f>
        <v>-341.29692832764505</v>
      </c>
      <c r="Q104" s="196"/>
      <c r="R104" s="196"/>
      <c r="S104" s="196"/>
    </row>
    <row r="105" spans="1:19" ht="17.25" thickBot="1">
      <c r="A105" s="125" t="s">
        <v>235</v>
      </c>
      <c r="B105" s="126">
        <v>119</v>
      </c>
      <c r="C105" s="77">
        <v>2.5862069000000001E-2</v>
      </c>
      <c r="D105" s="15">
        <v>116</v>
      </c>
      <c r="E105" s="32">
        <f t="shared" si="50"/>
        <v>-2.5210084033613446E-2</v>
      </c>
      <c r="F105" s="18">
        <f>IF(ISNUMBER(D105), $B118 * E105, "")</f>
        <v>-3781.5126050420167</v>
      </c>
      <c r="G105" s="31">
        <v>116</v>
      </c>
      <c r="H105" s="32">
        <f t="shared" si="51"/>
        <v>-2.5210084033613446E-2</v>
      </c>
      <c r="I105" s="101">
        <f>IF(ISNUMBER(G105), $B118 * H105, "")</f>
        <v>-3781.5126050420167</v>
      </c>
      <c r="J105" s="15">
        <v>117</v>
      </c>
      <c r="K105" s="32">
        <f t="shared" si="52"/>
        <v>-1.680672268907563E-2</v>
      </c>
      <c r="L105" s="18">
        <f>IF(ISNUMBER(J105), $B118 * K105, "")</f>
        <v>-2521.0084033613443</v>
      </c>
      <c r="M105" s="31">
        <v>115</v>
      </c>
      <c r="N105" s="32">
        <f t="shared" si="53"/>
        <v>-3.3613445378151259E-2</v>
      </c>
      <c r="O105" s="18">
        <f>IF(ISNUMBER(M105), $B118 * N105, "")</f>
        <v>-5042.0168067226887</v>
      </c>
      <c r="Q105" s="196"/>
      <c r="R105" s="196"/>
      <c r="S105" s="196"/>
    </row>
    <row r="106" spans="1:19" ht="17.25" thickBot="1">
      <c r="A106" s="125" t="s">
        <v>199</v>
      </c>
      <c r="B106" s="126">
        <v>12.4</v>
      </c>
      <c r="C106" s="77">
        <v>2.4793388400000001E-2</v>
      </c>
      <c r="D106" s="15">
        <v>11.9</v>
      </c>
      <c r="E106" s="32">
        <f t="shared" si="50"/>
        <v>-4.0322580645161289E-2</v>
      </c>
      <c r="F106" s="18">
        <f>IF(ISNUMBER(D106), $B118 * E106, "")</f>
        <v>-6048.3870967741932</v>
      </c>
      <c r="G106" s="31">
        <v>11.8</v>
      </c>
      <c r="H106" s="32">
        <f t="shared" si="51"/>
        <v>-4.8387096774193519E-2</v>
      </c>
      <c r="I106" s="101">
        <f>IF(ISNUMBER(G106), $B118 * H106, "")</f>
        <v>-7258.0645161290277</v>
      </c>
      <c r="J106" s="15">
        <v>11.7</v>
      </c>
      <c r="K106" s="32">
        <f t="shared" si="52"/>
        <v>-5.6451612903225888E-2</v>
      </c>
      <c r="L106" s="18">
        <f>IF(ISNUMBER(J106), $B118 * K106, "")</f>
        <v>-8467.7419354838839</v>
      </c>
      <c r="M106" s="31">
        <v>11.7</v>
      </c>
      <c r="N106" s="32">
        <f t="shared" si="53"/>
        <v>-5.6451612903225888E-2</v>
      </c>
      <c r="O106" s="18">
        <f>IF(ISNUMBER(M106), $B118 * N106, "")</f>
        <v>-8467.7419354838839</v>
      </c>
      <c r="Q106" s="33"/>
      <c r="R106" s="33"/>
    </row>
    <row r="107" spans="1:19" ht="17.25" thickBot="1">
      <c r="A107" s="130" t="s">
        <v>116</v>
      </c>
      <c r="B107" s="131">
        <v>3450</v>
      </c>
      <c r="C107" s="79">
        <v>2.37388724E-2</v>
      </c>
      <c r="D107" s="24">
        <v>3280</v>
      </c>
      <c r="E107" s="25">
        <f t="shared" si="50"/>
        <v>-4.9275362318840582E-2</v>
      </c>
      <c r="F107" s="104">
        <f>IF(ISNUMBER(D107), $B118 * E107, "")</f>
        <v>-7391.304347826087</v>
      </c>
      <c r="G107" s="102">
        <v>3275</v>
      </c>
      <c r="H107" s="25">
        <f t="shared" si="51"/>
        <v>-5.0724637681159424E-2</v>
      </c>
      <c r="I107" s="103">
        <f>IF(ISNUMBER(G107), $B118 * H107, "")</f>
        <v>-7608.6956521739139</v>
      </c>
      <c r="J107" s="24">
        <v>3300</v>
      </c>
      <c r="K107" s="25">
        <f t="shared" si="52"/>
        <v>-4.3478260869565216E-2</v>
      </c>
      <c r="L107" s="104">
        <f>IF(ISNUMBER(J107), $B118 * K107, "")</f>
        <v>-6521.7391304347821</v>
      </c>
      <c r="M107" s="102">
        <v>3265</v>
      </c>
      <c r="N107" s="25">
        <f t="shared" si="53"/>
        <v>-5.3623188405797099E-2</v>
      </c>
      <c r="O107" s="104">
        <f>IF(ISNUMBER(M107), $B118 * N107, "")</f>
        <v>-8043.478260869565</v>
      </c>
      <c r="Q107" s="205"/>
      <c r="R107" s="206"/>
      <c r="S107" s="207"/>
    </row>
    <row r="108" spans="1:19">
      <c r="A108" s="123" t="s">
        <v>233</v>
      </c>
      <c r="B108" s="124">
        <v>106</v>
      </c>
      <c r="C108" s="76">
        <v>1.9230769200000001E-2</v>
      </c>
      <c r="D108" s="13">
        <v>102</v>
      </c>
      <c r="E108" s="14">
        <f>IF(ISNUMBER(D108), (D108 - $B108) / $B108, "")</f>
        <v>-3.7735849056603772E-2</v>
      </c>
      <c r="F108" s="16">
        <f>IF(ISNUMBER(D108), $B118 * E108, "")</f>
        <v>-5660.3773584905657</v>
      </c>
      <c r="G108" s="29">
        <v>103</v>
      </c>
      <c r="H108" s="14">
        <f>IF(ISNUMBER(G108), (G108 - $B108) / $B108, "")</f>
        <v>-2.8301886792452831E-2</v>
      </c>
      <c r="I108" s="100">
        <f>IF(ISNUMBER(G108), $B118 * H108, "")</f>
        <v>-4245.2830188679245</v>
      </c>
      <c r="J108" s="13">
        <v>104</v>
      </c>
      <c r="K108" s="14">
        <f>IF(ISNUMBER(J108), (J108 - $B108) / $B108, "")</f>
        <v>-1.8867924528301886E-2</v>
      </c>
      <c r="L108" s="16">
        <f>IF(ISNUMBER(J108), $B118 * K108, "")</f>
        <v>-2830.1886792452829</v>
      </c>
      <c r="M108" s="29">
        <v>103</v>
      </c>
      <c r="N108" s="14">
        <f>IF(ISNUMBER(M108), (M108 - $B108) / $B108, "")</f>
        <v>-2.8301886792452831E-2</v>
      </c>
      <c r="O108" s="16">
        <f>IF(ISNUMBER(M108), $B118 * N108, "")</f>
        <v>-4245.2830188679245</v>
      </c>
      <c r="Q108" s="208"/>
      <c r="R108" s="209"/>
      <c r="S108" s="210"/>
    </row>
    <row r="109" spans="1:19" ht="17.25" thickBot="1">
      <c r="A109" s="125" t="s">
        <v>325</v>
      </c>
      <c r="B109" s="126">
        <v>121450</v>
      </c>
      <c r="C109" s="77">
        <v>1.7169179199999999E-2</v>
      </c>
      <c r="D109" s="15">
        <v>123550</v>
      </c>
      <c r="E109" s="32">
        <f t="shared" ref="E109:E112" si="54">IF(ISNUMBER(D109), (D109 - $B109) / $B109, "")</f>
        <v>1.7291066282420751E-2</v>
      </c>
      <c r="F109" s="18">
        <f>IF(ISNUMBER(D109), $B118 * E109, "")</f>
        <v>2593.6599423631128</v>
      </c>
      <c r="G109" s="31">
        <v>126200</v>
      </c>
      <c r="H109" s="32">
        <f t="shared" ref="H109:H112" si="55">IF(ISNUMBER(G109), (G109 - $B109) / $B109, "")</f>
        <v>3.9110745162618359E-2</v>
      </c>
      <c r="I109" s="101">
        <f>IF(ISNUMBER(G109), $B118 * H109, "")</f>
        <v>5866.6117743927534</v>
      </c>
      <c r="J109" s="15">
        <v>127100</v>
      </c>
      <c r="K109" s="32">
        <f t="shared" ref="K109:K112" si="56">IF(ISNUMBER(J109), (J109 - $B109) / $B109, "")</f>
        <v>4.6521202140798683E-2</v>
      </c>
      <c r="L109" s="18">
        <f>IF(ISNUMBER(J109), $B118 * K109, "")</f>
        <v>6978.1803211198021</v>
      </c>
      <c r="M109" s="31">
        <v>123750</v>
      </c>
      <c r="N109" s="32">
        <f t="shared" ref="N109:N112" si="57">IF(ISNUMBER(M109), (M109 - $B109) / $B109, "")</f>
        <v>1.8937834499794155E-2</v>
      </c>
      <c r="O109" s="18">
        <f>IF(ISNUMBER(M109), $B118 * N109, "")</f>
        <v>2840.675174969123</v>
      </c>
      <c r="Q109" s="211"/>
      <c r="R109" s="212"/>
      <c r="S109" s="213"/>
    </row>
    <row r="110" spans="1:19" ht="17.25" thickBot="1">
      <c r="A110" s="125" t="s">
        <v>327</v>
      </c>
      <c r="B110" s="126">
        <v>728</v>
      </c>
      <c r="C110" s="77">
        <v>1.5341701500000001E-2</v>
      </c>
      <c r="D110" s="15">
        <v>794</v>
      </c>
      <c r="E110" s="32">
        <f t="shared" si="54"/>
        <v>9.0659340659340656E-2</v>
      </c>
      <c r="F110" s="18">
        <f>IF(ISNUMBER(D110), $B118 * E110, "")</f>
        <v>13598.901098901099</v>
      </c>
      <c r="G110" s="31">
        <v>784</v>
      </c>
      <c r="H110" s="32">
        <f t="shared" si="55"/>
        <v>7.6923076923076927E-2</v>
      </c>
      <c r="I110" s="101">
        <f>IF(ISNUMBER(G110), $B118 * H110, "")</f>
        <v>11538.461538461539</v>
      </c>
      <c r="J110" s="15">
        <v>742</v>
      </c>
      <c r="K110" s="32">
        <f t="shared" si="56"/>
        <v>1.9230769230769232E-2</v>
      </c>
      <c r="L110" s="18">
        <f>IF(ISNUMBER(J110), $B118 * K110, "")</f>
        <v>2884.6153846153848</v>
      </c>
      <c r="M110" s="31">
        <v>744</v>
      </c>
      <c r="N110" s="32">
        <f t="shared" si="57"/>
        <v>2.197802197802198E-2</v>
      </c>
      <c r="O110" s="18">
        <f>IF(ISNUMBER(M110), $B118 * N110, "")</f>
        <v>3296.7032967032969</v>
      </c>
      <c r="Q110" s="196"/>
      <c r="R110" s="196"/>
      <c r="S110" s="196"/>
    </row>
    <row r="111" spans="1:19" ht="17.25" thickBot="1">
      <c r="A111" s="125" t="s">
        <v>182</v>
      </c>
      <c r="B111" s="126">
        <v>4930</v>
      </c>
      <c r="C111" s="77">
        <v>1.4403292200000001E-2</v>
      </c>
      <c r="D111" s="15">
        <v>4800</v>
      </c>
      <c r="E111" s="32">
        <f t="shared" si="54"/>
        <v>-2.6369168356997971E-2</v>
      </c>
      <c r="F111" s="18">
        <f>IF(ISNUMBER(D111), $B118 * E111, "")</f>
        <v>-3955.3752535496956</v>
      </c>
      <c r="G111" s="31">
        <v>4850</v>
      </c>
      <c r="H111" s="32">
        <f t="shared" si="55"/>
        <v>-1.6227180527383367E-2</v>
      </c>
      <c r="I111" s="101">
        <f>IF(ISNUMBER(G111), $B118 * H111, "")</f>
        <v>-2434.0770791075051</v>
      </c>
      <c r="J111" s="15">
        <v>4870</v>
      </c>
      <c r="K111" s="32">
        <f t="shared" si="56"/>
        <v>-1.2170385395537525E-2</v>
      </c>
      <c r="L111" s="18">
        <f>IF(ISNUMBER(J111), $B118 * K111, "")</f>
        <v>-1825.5578093306287</v>
      </c>
      <c r="M111" s="31">
        <v>4830</v>
      </c>
      <c r="N111" s="32">
        <f t="shared" si="57"/>
        <v>-2.0283975659229209E-2</v>
      </c>
      <c r="O111" s="18">
        <f>IF(ISNUMBER(M111), $B118 * N111, "")</f>
        <v>-3042.5963488843813</v>
      </c>
      <c r="Q111" s="191"/>
      <c r="R111" s="191"/>
      <c r="S111" s="191"/>
    </row>
    <row r="112" spans="1:19" ht="17.25" thickBot="1">
      <c r="A112" s="127" t="s">
        <v>215</v>
      </c>
      <c r="B112" s="128">
        <v>150</v>
      </c>
      <c r="C112" s="78">
        <v>1.3513513499999999E-2</v>
      </c>
      <c r="D112" s="20">
        <v>144</v>
      </c>
      <c r="E112" s="21">
        <f t="shared" si="54"/>
        <v>-0.04</v>
      </c>
      <c r="F112" s="22">
        <f>IF(ISNUMBER(D112), $B118 * E112, "")</f>
        <v>-6000</v>
      </c>
      <c r="G112" s="30">
        <v>144</v>
      </c>
      <c r="H112" s="21">
        <f t="shared" si="55"/>
        <v>-0.04</v>
      </c>
      <c r="I112" s="105">
        <f>IF(ISNUMBER(G112), $B118 * H112, "")</f>
        <v>-6000</v>
      </c>
      <c r="J112" s="20">
        <v>144</v>
      </c>
      <c r="K112" s="21">
        <f t="shared" si="56"/>
        <v>-0.04</v>
      </c>
      <c r="L112" s="22">
        <f>IF(ISNUMBER(J112), $B118 * K112, "")</f>
        <v>-6000</v>
      </c>
      <c r="M112" s="30">
        <v>143</v>
      </c>
      <c r="N112" s="21">
        <f t="shared" si="57"/>
        <v>-4.6666666666666669E-2</v>
      </c>
      <c r="O112" s="22">
        <f>IF(ISNUMBER(M112), $B118 * N112, "")</f>
        <v>-7000</v>
      </c>
      <c r="Q112" s="191"/>
      <c r="R112" s="191"/>
      <c r="S112" s="191"/>
    </row>
    <row r="113" spans="1:19" ht="17.25" thickBot="1">
      <c r="A113" s="125" t="s">
        <v>203</v>
      </c>
      <c r="B113" s="129">
        <v>8.35</v>
      </c>
      <c r="C113" s="80">
        <v>1.2121212100000001E-2</v>
      </c>
      <c r="D113" s="106">
        <v>7.94</v>
      </c>
      <c r="E113" s="107">
        <f>IF(ISNUMBER(D113), (D113 - $B113) / $B113, "")</f>
        <v>-4.9101796407185538E-2</v>
      </c>
      <c r="F113" s="108">
        <f>IF(ISNUMBER(D113), $B118 * E113, "")</f>
        <v>-7365.2694610778308</v>
      </c>
      <c r="G113" s="109">
        <v>7.95</v>
      </c>
      <c r="H113" s="107">
        <f>IF(ISNUMBER(G113), (G113 - $B113) / $B113, "")</f>
        <v>-4.7904191616766408E-2</v>
      </c>
      <c r="I113" s="110">
        <f>IF(ISNUMBER(G113), $B118 * H113, "")</f>
        <v>-7185.6287425149612</v>
      </c>
      <c r="J113" s="106">
        <v>7.99</v>
      </c>
      <c r="K113" s="107">
        <f>IF(ISNUMBER(J113), (J113 - $B113) / $B113, "")</f>
        <v>-4.3113772455089752E-2</v>
      </c>
      <c r="L113" s="108">
        <f>IF(ISNUMBER(J113), $B118 * K113, "")</f>
        <v>-6467.065868263463</v>
      </c>
      <c r="M113" s="109">
        <v>8.0299999999999994</v>
      </c>
      <c r="N113" s="107">
        <f>IF(ISNUMBER(M113), (M113 - $B113) / $B113, "")</f>
        <v>-3.8323353293413208E-2</v>
      </c>
      <c r="O113" s="108">
        <f>IF(ISNUMBER(M113), $B118 * N113, "")</f>
        <v>-5748.5029940119812</v>
      </c>
      <c r="Q113" s="196"/>
      <c r="R113" s="196"/>
      <c r="S113" s="196"/>
    </row>
    <row r="114" spans="1:19" ht="17.25" thickBot="1">
      <c r="A114" s="125" t="s">
        <v>118</v>
      </c>
      <c r="B114" s="126">
        <v>18.8</v>
      </c>
      <c r="C114" s="77">
        <v>1.0752688200000001E-2</v>
      </c>
      <c r="D114" s="15">
        <v>18.2</v>
      </c>
      <c r="E114" s="32">
        <f t="shared" ref="E114:E117" si="58">IF(ISNUMBER(D114), (D114 - $B114) / $B114, "")</f>
        <v>-3.191489361702135E-2</v>
      </c>
      <c r="F114" s="18">
        <f>IF(ISNUMBER(D114), $B118 * E114, "")</f>
        <v>-4787.2340425532029</v>
      </c>
      <c r="G114" s="31">
        <v>18.3</v>
      </c>
      <c r="H114" s="32">
        <f t="shared" ref="H114:H117" si="59">IF(ISNUMBER(G114), (G114 - $B114) / $B114, "")</f>
        <v>-2.6595744680851064E-2</v>
      </c>
      <c r="I114" s="101">
        <f>IF(ISNUMBER(G114), $B118 * H114, "")</f>
        <v>-3989.3617021276596</v>
      </c>
      <c r="J114" s="15">
        <v>18.3</v>
      </c>
      <c r="K114" s="32">
        <f t="shared" ref="K114:K117" si="60">IF(ISNUMBER(J114), (J114 - $B114) / $B114, "")</f>
        <v>-2.6595744680851064E-2</v>
      </c>
      <c r="L114" s="18">
        <f>IF(ISNUMBER(J114), $B118 * K114, "")</f>
        <v>-3989.3617021276596</v>
      </c>
      <c r="M114" s="31">
        <v>18.100000000000001</v>
      </c>
      <c r="N114" s="32">
        <f t="shared" ref="N114:N117" si="61">IF(ISNUMBER(M114), (M114 - $B114) / $B114, "")</f>
        <v>-3.7234042553191453E-2</v>
      </c>
      <c r="O114" s="18">
        <f>IF(ISNUMBER(M114), $B118 * N114, "")</f>
        <v>-5585.1063829787181</v>
      </c>
      <c r="Q114" s="196"/>
      <c r="R114" s="196"/>
      <c r="S114" s="196"/>
    </row>
    <row r="115" spans="1:19" ht="17.25" thickBot="1">
      <c r="A115" s="125" t="s">
        <v>136</v>
      </c>
      <c r="B115" s="126">
        <v>5240</v>
      </c>
      <c r="C115" s="77">
        <v>9.6339114000000003E-3</v>
      </c>
      <c r="D115" s="15">
        <v>5190</v>
      </c>
      <c r="E115" s="32">
        <f t="shared" si="58"/>
        <v>-9.5419847328244278E-3</v>
      </c>
      <c r="F115" s="18">
        <f>IF(ISNUMBER(D115), $B118 * E115, "")</f>
        <v>-1431.2977099236641</v>
      </c>
      <c r="G115" s="31">
        <v>5300</v>
      </c>
      <c r="H115" s="32">
        <f t="shared" si="59"/>
        <v>1.1450381679389313E-2</v>
      </c>
      <c r="I115" s="101">
        <f>IF(ISNUMBER(G115), $B118 * H115, "")</f>
        <v>1717.5572519083969</v>
      </c>
      <c r="J115" s="15">
        <v>5440</v>
      </c>
      <c r="K115" s="32">
        <f t="shared" si="60"/>
        <v>3.8167938931297711E-2</v>
      </c>
      <c r="L115" s="18">
        <f>IF(ISNUMBER(J115), $B118 * K115, "")</f>
        <v>5725.1908396946565</v>
      </c>
      <c r="M115" s="31">
        <v>5465</v>
      </c>
      <c r="N115" s="32">
        <f t="shared" si="61"/>
        <v>4.2938931297709926E-2</v>
      </c>
      <c r="O115" s="18">
        <f>IF(ISNUMBER(M115), $B118 * N115, "")</f>
        <v>6440.839694656489</v>
      </c>
      <c r="Q115" s="196"/>
      <c r="R115" s="196"/>
      <c r="S115" s="196"/>
    </row>
    <row r="116" spans="1:19">
      <c r="A116" s="125" t="s">
        <v>101</v>
      </c>
      <c r="B116" s="126">
        <v>699</v>
      </c>
      <c r="C116" s="77">
        <v>7.2046109999999997E-3</v>
      </c>
      <c r="D116" s="15">
        <v>685</v>
      </c>
      <c r="E116" s="32">
        <f t="shared" si="58"/>
        <v>-2.0028612303290415E-2</v>
      </c>
      <c r="F116" s="18">
        <f>IF(ISNUMBER(D116), $B118 * E116, "")</f>
        <v>-3004.2918454935621</v>
      </c>
      <c r="G116" s="31">
        <v>691</v>
      </c>
      <c r="H116" s="32">
        <f t="shared" si="59"/>
        <v>-1.1444921316165951E-2</v>
      </c>
      <c r="I116" s="101">
        <f>IF(ISNUMBER(G116), $B118 * H116, "")</f>
        <v>-1716.7381974248926</v>
      </c>
      <c r="J116" s="15">
        <v>693</v>
      </c>
      <c r="K116" s="32">
        <f t="shared" si="60"/>
        <v>-8.5836909871244635E-3</v>
      </c>
      <c r="L116" s="18">
        <f>IF(ISNUMBER(J116), $B118 * K116, "")</f>
        <v>-1287.5536480686694</v>
      </c>
      <c r="M116" s="31">
        <v>691</v>
      </c>
      <c r="N116" s="32">
        <f t="shared" si="61"/>
        <v>-1.1444921316165951E-2</v>
      </c>
      <c r="O116" s="18">
        <f>IF(ISNUMBER(M116), $B118 * N116, "")</f>
        <v>-1716.7381974248926</v>
      </c>
      <c r="Q116" s="218"/>
      <c r="R116" s="219"/>
      <c r="S116" s="220"/>
    </row>
    <row r="117" spans="1:19" ht="17.25" thickBot="1">
      <c r="A117" s="130" t="s">
        <v>73</v>
      </c>
      <c r="B117" s="131">
        <v>37960</v>
      </c>
      <c r="C117" s="79">
        <v>6.6295412000000001E-3</v>
      </c>
      <c r="D117" s="24">
        <v>36880</v>
      </c>
      <c r="E117" s="25">
        <f t="shared" si="58"/>
        <v>-2.8451001053740779E-2</v>
      </c>
      <c r="F117" s="104">
        <f>IF(ISNUMBER(D117), $B118 * E117, "")</f>
        <v>-4267.6501580611166</v>
      </c>
      <c r="G117" s="102">
        <v>37630</v>
      </c>
      <c r="H117" s="25">
        <f t="shared" si="59"/>
        <v>-8.6933614330874601E-3</v>
      </c>
      <c r="I117" s="103">
        <f>IF(ISNUMBER(G117), $B118 * H117, "")</f>
        <v>-1304.004214963119</v>
      </c>
      <c r="J117" s="24">
        <v>37810</v>
      </c>
      <c r="K117" s="25">
        <f t="shared" si="60"/>
        <v>-3.9515279241306642E-3</v>
      </c>
      <c r="L117" s="104">
        <f>IF(ISNUMBER(J117), $B118 * K117, "")</f>
        <v>-592.72918861959965</v>
      </c>
      <c r="M117" s="102">
        <v>37400</v>
      </c>
      <c r="N117" s="25">
        <f t="shared" si="61"/>
        <v>-1.4752370916754479E-2</v>
      </c>
      <c r="O117" s="104">
        <f>IF(ISNUMBER(M117), $B118 * N117, "")</f>
        <v>-2212.8556375131716</v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-2.8771598162237337E-2</v>
      </c>
      <c r="F118" s="28">
        <f>SUM(F98:F117)</f>
        <v>-86314.794486712024</v>
      </c>
      <c r="G118" s="26" t="s">
        <v>266</v>
      </c>
      <c r="H118" s="27">
        <f>IF(COUNT(H98:H117), SUM(H98:H117) / COUNT(H98:H117), 0)</f>
        <v>-2.3077415940641263E-2</v>
      </c>
      <c r="I118" s="28">
        <f>SUM(I98:I117)</f>
        <v>-69232.247821923782</v>
      </c>
      <c r="J118" s="26" t="s">
        <v>266</v>
      </c>
      <c r="K118" s="27">
        <f>IF(COUNT(K98:K117), SUM(K98:K117) / COUNT(K98:K117), 0)</f>
        <v>-1.9515233232023328E-2</v>
      </c>
      <c r="L118" s="28">
        <f>SUM(L98:L117)</f>
        <v>-58545.699696069983</v>
      </c>
      <c r="M118" s="26" t="s">
        <v>266</v>
      </c>
      <c r="N118" s="27">
        <f>IF(COUNT(N98:N117), SUM(N98:N117) / COUNT(N98:N117), 0)</f>
        <v>-2.7880947946947815E-2</v>
      </c>
      <c r="O118" s="28">
        <f>SUM(O98:O117)</f>
        <v>-83642.84384084343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2022-03-02(수) 오전 00:00</v>
      </c>
      <c r="C123" s="234"/>
      <c r="D123" s="193" t="str">
        <f>TEXT($G$1, "[$-ko-KR]yyyy-mm-dd(ddd) ") &amp; "오후 14:00"</f>
        <v>2022-03-02(수) 오후 14:00</v>
      </c>
      <c r="E123" s="194"/>
      <c r="F123" s="195"/>
      <c r="G123" s="193" t="str">
        <f>TEXT($G$1, "[$-ko-KR]yyyy-mm-dd(ddd) ") &amp; "오후 19:00"</f>
        <v>2022-03-02(수) 오후 19:00</v>
      </c>
      <c r="H123" s="194"/>
      <c r="I123" s="195"/>
      <c r="J123" s="193" t="str">
        <f>TEXT($G$1, "[$-ko-KR]yyyy-mm-dd(ddd) ") &amp; "오후 21:00"</f>
        <v>2022-03-02(수) 오후 21:00</v>
      </c>
      <c r="K123" s="194"/>
      <c r="L123" s="195"/>
      <c r="M123" s="193" t="str">
        <f>TEXT($G$1+1, "[$-ko-KR]yyyy-mm-dd(ddd) ") &amp; "오전 00:00"</f>
        <v>2022-03-03(목)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118</v>
      </c>
      <c r="B125" s="124">
        <v>18.8</v>
      </c>
      <c r="C125" s="76">
        <v>1.0752688200000001E-2</v>
      </c>
      <c r="D125" s="13">
        <v>18.2</v>
      </c>
      <c r="E125" s="14">
        <f>IF(ISNUMBER(D125), (D125 - $B125) / $B125, "")</f>
        <v>-3.191489361702135E-2</v>
      </c>
      <c r="F125" s="16">
        <f>IF(ISNUMBER(D125), $B145 * E125, "")</f>
        <v>-4787.2340425532029</v>
      </c>
      <c r="G125" s="29">
        <v>18.3</v>
      </c>
      <c r="H125" s="14">
        <f>IF(ISNUMBER(G125), (G125 - $B125) / $B125, "")</f>
        <v>-2.6595744680851064E-2</v>
      </c>
      <c r="I125" s="100">
        <f>IF(ISNUMBER(G125), $B145 * H125, "")</f>
        <v>-3989.3617021276596</v>
      </c>
      <c r="J125" s="13">
        <v>18.3</v>
      </c>
      <c r="K125" s="14">
        <f>IF(ISNUMBER(J125), (J125 - $B125) / $B125, "")</f>
        <v>-2.6595744680851064E-2</v>
      </c>
      <c r="L125" s="16">
        <f>IF(ISNUMBER(J125), $B145 * K125, "")</f>
        <v>-3989.3617021276596</v>
      </c>
      <c r="M125" s="29">
        <v>18.100000000000001</v>
      </c>
      <c r="N125" s="14">
        <f>IF(ISNUMBER(M125), (M125 - $B125) / $B125, "")</f>
        <v>-3.7234042553191453E-2</v>
      </c>
      <c r="O125" s="16">
        <f>IF(ISNUMBER(M125), $B145 * N125, "")</f>
        <v>-5585.1063829787181</v>
      </c>
      <c r="Q125" s="191"/>
      <c r="R125" s="191"/>
      <c r="S125" s="191"/>
    </row>
    <row r="126" spans="1:19" ht="17.25" thickBot="1">
      <c r="A126" s="125" t="s">
        <v>229</v>
      </c>
      <c r="B126" s="126">
        <v>56.9</v>
      </c>
      <c r="C126" s="77">
        <v>5.3003534E-3</v>
      </c>
      <c r="D126" s="15">
        <v>53.2</v>
      </c>
      <c r="E126" s="32">
        <f t="shared" ref="E126:E129" si="62">IF(ISNUMBER(D126), (D126 - $B126) / $B126, "")</f>
        <v>-6.5026362038664257E-2</v>
      </c>
      <c r="F126" s="18">
        <f>IF(ISNUMBER(D126), $B145 * E126, "")</f>
        <v>-9753.954305799638</v>
      </c>
      <c r="G126" s="31">
        <v>54.2</v>
      </c>
      <c r="H126" s="32">
        <f t="shared" ref="H126:H129" si="63">IF(ISNUMBER(G126), (G126 - $B126) / $B126, "")</f>
        <v>-4.7451669595782002E-2</v>
      </c>
      <c r="I126" s="101">
        <f>IF(ISNUMBER(G126), $B145 * H126, "")</f>
        <v>-7117.7504393673007</v>
      </c>
      <c r="J126" s="15">
        <v>54.3</v>
      </c>
      <c r="K126" s="32">
        <f t="shared" ref="K126:K129" si="64">IF(ISNUMBER(J126), (J126 - $B126) / $B126, "")</f>
        <v>-4.5694200351493873E-2</v>
      </c>
      <c r="L126" s="18">
        <f>IF(ISNUMBER(J126), $B145 * K126, "")</f>
        <v>-6854.130052724081</v>
      </c>
      <c r="M126" s="31">
        <v>54.4</v>
      </c>
      <c r="N126" s="32">
        <f t="shared" ref="N126:N129" si="65">IF(ISNUMBER(M126), (M126 - $B126) / $B126, "")</f>
        <v>-4.3936731107205626E-2</v>
      </c>
      <c r="O126" s="18">
        <f>IF(ISNUMBER(M126), $B145 * N126, "")</f>
        <v>-6590.509666080844</v>
      </c>
      <c r="Q126" s="191"/>
      <c r="R126" s="191"/>
      <c r="S126" s="191"/>
    </row>
    <row r="127" spans="1:19" ht="17.25" thickBot="1">
      <c r="A127" s="125" t="s">
        <v>148</v>
      </c>
      <c r="B127" s="126">
        <v>75.599999999999994</v>
      </c>
      <c r="C127" s="77">
        <v>2.6525199000000002E-3</v>
      </c>
      <c r="D127" s="15">
        <v>74.8</v>
      </c>
      <c r="E127" s="32">
        <f t="shared" si="62"/>
        <v>-1.0582010582010545E-2</v>
      </c>
      <c r="F127" s="18">
        <f>IF(ISNUMBER(D127), $B145 * E127, "")</f>
        <v>-1587.3015873015818</v>
      </c>
      <c r="G127" s="31">
        <v>75.7</v>
      </c>
      <c r="H127" s="32">
        <f t="shared" si="63"/>
        <v>1.3227513227514357E-3</v>
      </c>
      <c r="I127" s="101">
        <f>IF(ISNUMBER(G127), $B145 * H127, "")</f>
        <v>198.41269841271534</v>
      </c>
      <c r="J127" s="15">
        <v>75.7</v>
      </c>
      <c r="K127" s="32">
        <f t="shared" si="64"/>
        <v>1.3227513227514357E-3</v>
      </c>
      <c r="L127" s="18">
        <f>IF(ISNUMBER(J127), $B145 * K127, "")</f>
        <v>198.41269841271534</v>
      </c>
      <c r="M127" s="31">
        <v>75.2</v>
      </c>
      <c r="N127" s="32">
        <f t="shared" si="65"/>
        <v>-5.2910052910051788E-3</v>
      </c>
      <c r="O127" s="18">
        <f>IF(ISNUMBER(M127), $B145 * N127, "")</f>
        <v>-793.65079365077679</v>
      </c>
      <c r="Q127" s="196"/>
      <c r="R127" s="196"/>
      <c r="S127" s="196"/>
    </row>
    <row r="128" spans="1:19" ht="17.25" thickBot="1">
      <c r="A128" s="125" t="s">
        <v>146</v>
      </c>
      <c r="B128" s="126">
        <v>9.1199999999999992</v>
      </c>
      <c r="C128" s="77">
        <v>1.0976948E-3</v>
      </c>
      <c r="D128" s="15">
        <v>8.83</v>
      </c>
      <c r="E128" s="32">
        <f t="shared" si="62"/>
        <v>-3.1798245614034999E-2</v>
      </c>
      <c r="F128" s="18">
        <f>IF(ISNUMBER(D128), $B145 * E128, "")</f>
        <v>-4769.7368421052497</v>
      </c>
      <c r="G128" s="31">
        <v>8.84</v>
      </c>
      <c r="H128" s="32">
        <f t="shared" si="63"/>
        <v>-3.0701754385964845E-2</v>
      </c>
      <c r="I128" s="101">
        <f>IF(ISNUMBER(G128), $B145 * H128, "")</f>
        <v>-4605.2631578947266</v>
      </c>
      <c r="J128" s="15">
        <v>8.86</v>
      </c>
      <c r="K128" s="32">
        <f t="shared" si="64"/>
        <v>-2.8508771929824539E-2</v>
      </c>
      <c r="L128" s="18">
        <f>IF(ISNUMBER(J128), $B145 * K128, "")</f>
        <v>-4276.3157894736805</v>
      </c>
      <c r="M128" s="31">
        <v>8.85</v>
      </c>
      <c r="N128" s="32">
        <f t="shared" si="65"/>
        <v>-2.9605263157894694E-2</v>
      </c>
      <c r="O128" s="18">
        <f>IF(ISNUMBER(M128), $B145 * N128, "")</f>
        <v>-4440.7894736842036</v>
      </c>
      <c r="Q128" s="196"/>
      <c r="R128" s="196"/>
      <c r="S128" s="196"/>
    </row>
    <row r="129" spans="1:19" ht="17.25" thickBot="1">
      <c r="A129" s="127" t="s">
        <v>144</v>
      </c>
      <c r="B129" s="128">
        <v>11.8</v>
      </c>
      <c r="C129" s="78">
        <v>0</v>
      </c>
      <c r="D129" s="20">
        <v>11.6</v>
      </c>
      <c r="E129" s="21">
        <f t="shared" si="62"/>
        <v>-1.6949152542372972E-2</v>
      </c>
      <c r="F129" s="22">
        <f>IF(ISNUMBER(D129), $B145 * E129, "")</f>
        <v>-2542.3728813559455</v>
      </c>
      <c r="G129" s="30">
        <v>11.7</v>
      </c>
      <c r="H129" s="21">
        <f t="shared" si="63"/>
        <v>-8.4745762711865603E-3</v>
      </c>
      <c r="I129" s="105">
        <f>IF(ISNUMBER(G129), $B145 * H129, "")</f>
        <v>-1271.1864406779841</v>
      </c>
      <c r="J129" s="20">
        <v>11.7</v>
      </c>
      <c r="K129" s="21">
        <f t="shared" si="64"/>
        <v>-8.4745762711865603E-3</v>
      </c>
      <c r="L129" s="22">
        <f>IF(ISNUMBER(J129), $B145 * K129, "")</f>
        <v>-1271.1864406779841</v>
      </c>
      <c r="M129" s="30">
        <v>11.6</v>
      </c>
      <c r="N129" s="21">
        <f t="shared" si="65"/>
        <v>-1.6949152542372972E-2</v>
      </c>
      <c r="O129" s="22">
        <f>IF(ISNUMBER(M129), $B145 * N129, "")</f>
        <v>-2542.3728813559455</v>
      </c>
      <c r="Q129" s="196"/>
      <c r="R129" s="196"/>
      <c r="S129" s="196"/>
    </row>
    <row r="130" spans="1:19" ht="17.25" thickBot="1">
      <c r="A130" s="125" t="s">
        <v>97</v>
      </c>
      <c r="B130" s="129">
        <v>2.5000000000000001E-3</v>
      </c>
      <c r="C130" s="80">
        <v>0</v>
      </c>
      <c r="D130" s="106">
        <v>2.3999999999999998E-3</v>
      </c>
      <c r="E130" s="107">
        <f>IF(ISNUMBER(D130), (D130 - $B130) / $B130, "")</f>
        <v>-4.0000000000000105E-2</v>
      </c>
      <c r="F130" s="108">
        <f>IF(ISNUMBER(D130), $B145 * E130, "")</f>
        <v>-6000.0000000000155</v>
      </c>
      <c r="G130" s="109">
        <v>2.3999999999999998E-3</v>
      </c>
      <c r="H130" s="107">
        <f>IF(ISNUMBER(G130), (G130 - $B130) / $B130, "")</f>
        <v>-4.0000000000000105E-2</v>
      </c>
      <c r="I130" s="110">
        <f>IF(ISNUMBER(G130), $B145 * H130, "")</f>
        <v>-6000.0000000000155</v>
      </c>
      <c r="J130" s="106">
        <v>2.3999999999999998E-3</v>
      </c>
      <c r="K130" s="107">
        <f>IF(ISNUMBER(J130), (J130 - $B130) / $B130, "")</f>
        <v>-4.0000000000000105E-2</v>
      </c>
      <c r="L130" s="108">
        <f>IF(ISNUMBER(J130), $B145 * K130, "")</f>
        <v>-6000.0000000000155</v>
      </c>
      <c r="M130" s="109">
        <v>2.3999999999999998E-3</v>
      </c>
      <c r="N130" s="107">
        <f>IF(ISNUMBER(M130), (M130 - $B130) / $B130, "")</f>
        <v>-4.0000000000000105E-2</v>
      </c>
      <c r="O130" s="108">
        <f>IF(ISNUMBER(M130), $B145 * N130, "")</f>
        <v>-6000.0000000000155</v>
      </c>
      <c r="Q130" s="196"/>
      <c r="R130" s="196"/>
      <c r="S130" s="196"/>
    </row>
    <row r="131" spans="1:19" ht="17.25" thickBot="1">
      <c r="A131" s="125" t="s">
        <v>124</v>
      </c>
      <c r="B131" s="126">
        <v>64</v>
      </c>
      <c r="C131" s="77">
        <v>-1.5600624E-3</v>
      </c>
      <c r="D131" s="15">
        <v>63.2</v>
      </c>
      <c r="E131" s="32">
        <f t="shared" ref="E131:E134" si="66">IF(ISNUMBER(D131), (D131 - $B131) / $B131, "")</f>
        <v>-1.2499999999999956E-2</v>
      </c>
      <c r="F131" s="18">
        <f>IF(ISNUMBER(D131), $B145 * E131, "")</f>
        <v>-1874.9999999999934</v>
      </c>
      <c r="G131" s="31">
        <v>64.5</v>
      </c>
      <c r="H131" s="32">
        <f t="shared" ref="H131:H134" si="67">IF(ISNUMBER(G131), (G131 - $B131) / $B131, "")</f>
        <v>7.8125E-3</v>
      </c>
      <c r="I131" s="101">
        <f>IF(ISNUMBER(G131), $B145 * H131, "")</f>
        <v>1171.875</v>
      </c>
      <c r="J131" s="15">
        <v>64.8</v>
      </c>
      <c r="K131" s="32">
        <f t="shared" ref="K131:K134" si="68">IF(ISNUMBER(J131), (J131 - $B131) / $B131, "")</f>
        <v>1.2499999999999956E-2</v>
      </c>
      <c r="L131" s="18">
        <f>IF(ISNUMBER(J131), $B145 * K131, "")</f>
        <v>1874.9999999999934</v>
      </c>
      <c r="M131" s="31">
        <v>64.099999999999994</v>
      </c>
      <c r="N131" s="32">
        <f t="shared" ref="N131:N134" si="69">IF(ISNUMBER(M131), (M131 - $B131) / $B131, "")</f>
        <v>1.5624999999999112E-3</v>
      </c>
      <c r="O131" s="18">
        <f>IF(ISNUMBER(M131), $B145 * N131, "")</f>
        <v>234.37499999998667</v>
      </c>
      <c r="Q131" s="196"/>
      <c r="R131" s="196"/>
      <c r="S131" s="196"/>
    </row>
    <row r="132" spans="1:19" ht="17.25" thickBot="1">
      <c r="A132" s="125" t="s">
        <v>64</v>
      </c>
      <c r="B132" s="126">
        <v>31.2</v>
      </c>
      <c r="C132" s="77">
        <v>-3.1948882E-3</v>
      </c>
      <c r="D132" s="15">
        <v>30.7</v>
      </c>
      <c r="E132" s="32">
        <f t="shared" si="66"/>
        <v>-1.6025641025641028E-2</v>
      </c>
      <c r="F132" s="18">
        <f>IF(ISNUMBER(D132), $B145 * E132, "")</f>
        <v>-2403.8461538461543</v>
      </c>
      <c r="G132" s="31">
        <v>31.4</v>
      </c>
      <c r="H132" s="32">
        <f t="shared" si="67"/>
        <v>6.4102564102563875E-3</v>
      </c>
      <c r="I132" s="101">
        <f>IF(ISNUMBER(G132), $B145 * H132, "")</f>
        <v>961.53846153845814</v>
      </c>
      <c r="J132" s="15">
        <v>32</v>
      </c>
      <c r="K132" s="32">
        <f t="shared" si="68"/>
        <v>2.5641025641025664E-2</v>
      </c>
      <c r="L132" s="18">
        <f>IF(ISNUMBER(J132), $B145 * K132, "")</f>
        <v>3846.1538461538498</v>
      </c>
      <c r="M132" s="31">
        <v>31.3</v>
      </c>
      <c r="N132" s="32">
        <f t="shared" si="69"/>
        <v>3.2051282051282506E-3</v>
      </c>
      <c r="O132" s="18">
        <f>IF(ISNUMBER(M132), $B145 * N132, "")</f>
        <v>480.76923076923759</v>
      </c>
      <c r="Q132" s="196"/>
      <c r="R132" s="196"/>
      <c r="S132" s="196"/>
    </row>
    <row r="133" spans="1:19" ht="17.25" thickBot="1">
      <c r="A133" s="125" t="s">
        <v>341</v>
      </c>
      <c r="B133" s="126">
        <v>9.4799999999999995E-2</v>
      </c>
      <c r="C133" s="77">
        <v>-7.3298429000000003E-3</v>
      </c>
      <c r="D133" s="15">
        <v>9.2899999999999996E-2</v>
      </c>
      <c r="E133" s="32">
        <f t="shared" si="66"/>
        <v>-2.0042194092826995E-2</v>
      </c>
      <c r="F133" s="18">
        <f>IF(ISNUMBER(D133), $B145 * E133, "")</f>
        <v>-3006.3291139240491</v>
      </c>
      <c r="G133" s="31">
        <v>9.3700000000000006E-2</v>
      </c>
      <c r="H133" s="32">
        <f t="shared" si="67"/>
        <v>-1.1603375527426053E-2</v>
      </c>
      <c r="I133" s="101">
        <f>IF(ISNUMBER(G133), $B145 * H133, "")</f>
        <v>-1740.5063291139079</v>
      </c>
      <c r="J133" s="15">
        <v>9.4399999999999998E-2</v>
      </c>
      <c r="K133" s="32">
        <f t="shared" si="68"/>
        <v>-4.2194092827003964E-3</v>
      </c>
      <c r="L133" s="18">
        <f>IF(ISNUMBER(J133), $B145 * K133, "")</f>
        <v>-632.91139240505947</v>
      </c>
      <c r="M133" s="31">
        <v>9.3100000000000002E-2</v>
      </c>
      <c r="N133" s="32">
        <f t="shared" si="69"/>
        <v>-1.7932489451476723E-2</v>
      </c>
      <c r="O133" s="18">
        <f>IF(ISNUMBER(M133), $B145 * N133, "")</f>
        <v>-2689.8734177215083</v>
      </c>
      <c r="Q133" s="33"/>
      <c r="R133" s="33"/>
    </row>
    <row r="134" spans="1:19" ht="17.25" thickBot="1">
      <c r="A134" s="130" t="s">
        <v>140</v>
      </c>
      <c r="B134" s="131">
        <v>91.8</v>
      </c>
      <c r="C134" s="79">
        <v>-8.6393088999999999E-3</v>
      </c>
      <c r="D134" s="24">
        <v>89.9</v>
      </c>
      <c r="E134" s="25">
        <f t="shared" si="66"/>
        <v>-2.0697167755991192E-2</v>
      </c>
      <c r="F134" s="104">
        <f>IF(ISNUMBER(D134), $B145 * E134, "")</f>
        <v>-3104.5751633986788</v>
      </c>
      <c r="G134" s="102">
        <v>90.1</v>
      </c>
      <c r="H134" s="25">
        <f t="shared" si="67"/>
        <v>-1.8518518518518549E-2</v>
      </c>
      <c r="I134" s="103">
        <f>IF(ISNUMBER(G134), $B145 * H134, "")</f>
        <v>-2777.7777777777824</v>
      </c>
      <c r="J134" s="24">
        <v>90.6</v>
      </c>
      <c r="K134" s="25">
        <f t="shared" si="68"/>
        <v>-1.3071895424836633E-2</v>
      </c>
      <c r="L134" s="104">
        <f>IF(ISNUMBER(J134), $B145 * K134, "")</f>
        <v>-1960.7843137254949</v>
      </c>
      <c r="M134" s="102">
        <v>89</v>
      </c>
      <c r="N134" s="25">
        <f t="shared" si="69"/>
        <v>-3.0501089324618706E-2</v>
      </c>
      <c r="O134" s="104">
        <f>IF(ISNUMBER(M134), $B145 * N134, "")</f>
        <v>-4575.1633986928055</v>
      </c>
      <c r="Q134" s="205"/>
      <c r="R134" s="206"/>
      <c r="S134" s="207"/>
    </row>
    <row r="135" spans="1:19">
      <c r="A135" s="123" t="s">
        <v>174</v>
      </c>
      <c r="B135" s="124">
        <v>11.3</v>
      </c>
      <c r="C135" s="76">
        <v>-8.7719297999999998E-3</v>
      </c>
      <c r="D135" s="13">
        <v>11.1</v>
      </c>
      <c r="E135" s="14">
        <f>IF(ISNUMBER(D135), (D135 - $B135) / $B135, "")</f>
        <v>-1.7699115044247881E-2</v>
      </c>
      <c r="F135" s="16">
        <f>IF(ISNUMBER(D135), $B145 * E135, "")</f>
        <v>-2654.867256637182</v>
      </c>
      <c r="G135" s="29">
        <v>11</v>
      </c>
      <c r="H135" s="14">
        <f>IF(ISNUMBER(G135), (G135 - $B135) / $B135, "")</f>
        <v>-2.6548672566371743E-2</v>
      </c>
      <c r="I135" s="100">
        <f>IF(ISNUMBER(G135), $B145 * H135, "")</f>
        <v>-3982.3008849557614</v>
      </c>
      <c r="J135" s="13">
        <v>11.1</v>
      </c>
      <c r="K135" s="14">
        <f>IF(ISNUMBER(J135), (J135 - $B135) / $B135, "")</f>
        <v>-1.7699115044247881E-2</v>
      </c>
      <c r="L135" s="16">
        <f>IF(ISNUMBER(J135), $B145 * K135, "")</f>
        <v>-2654.867256637182</v>
      </c>
      <c r="M135" s="29">
        <v>11.1</v>
      </c>
      <c r="N135" s="14">
        <f>IF(ISNUMBER(M135), (M135 - $B135) / $B135, "")</f>
        <v>-1.7699115044247881E-2</v>
      </c>
      <c r="O135" s="16">
        <f>IF(ISNUMBER(M135), $B145 * N135, "")</f>
        <v>-2654.867256637182</v>
      </c>
      <c r="Q135" s="208"/>
      <c r="R135" s="209"/>
      <c r="S135" s="210"/>
    </row>
    <row r="136" spans="1:19" ht="17.25" thickBot="1">
      <c r="A136" s="125" t="s">
        <v>126</v>
      </c>
      <c r="B136" s="126">
        <v>87.2</v>
      </c>
      <c r="C136" s="77">
        <v>-9.0909091000000008E-3</v>
      </c>
      <c r="D136" s="15">
        <v>85.9</v>
      </c>
      <c r="E136" s="32">
        <f t="shared" ref="E136:E139" si="70">IF(ISNUMBER(D136), (D136 - $B136) / $B136, "")</f>
        <v>-1.4908256880733911E-2</v>
      </c>
      <c r="F136" s="18">
        <f>IF(ISNUMBER(D136), $B145 * E136, "")</f>
        <v>-2236.2385321100865</v>
      </c>
      <c r="G136" s="31">
        <v>85.8</v>
      </c>
      <c r="H136" s="32">
        <f t="shared" ref="H136:H139" si="71">IF(ISNUMBER(G136), (G136 - $B136) / $B136, "")</f>
        <v>-1.6055045871559696E-2</v>
      </c>
      <c r="I136" s="101">
        <f>IF(ISNUMBER(G136), $B145 * H136, "")</f>
        <v>-2408.2568807339544</v>
      </c>
      <c r="J136" s="15">
        <v>85.9</v>
      </c>
      <c r="K136" s="32">
        <f t="shared" ref="K136:K139" si="72">IF(ISNUMBER(J136), (J136 - $B136) / $B136, "")</f>
        <v>-1.4908256880733911E-2</v>
      </c>
      <c r="L136" s="18">
        <f>IF(ISNUMBER(J136), $B145 * K136, "")</f>
        <v>-2236.2385321100865</v>
      </c>
      <c r="M136" s="31">
        <v>86.2</v>
      </c>
      <c r="N136" s="32">
        <f t="shared" ref="N136:N139" si="73">IF(ISNUMBER(M136), (M136 - $B136) / $B136, "")</f>
        <v>-1.146788990825688E-2</v>
      </c>
      <c r="O136" s="18">
        <f>IF(ISNUMBER(M136), $B145 * N136, "")</f>
        <v>-1720.1834862385319</v>
      </c>
      <c r="Q136" s="211"/>
      <c r="R136" s="212"/>
      <c r="S136" s="213"/>
    </row>
    <row r="137" spans="1:19" ht="17.25" thickBot="1">
      <c r="A137" s="125" t="s">
        <v>128</v>
      </c>
      <c r="B137" s="126">
        <v>53.1</v>
      </c>
      <c r="C137" s="77">
        <v>-9.3283581999999993E-3</v>
      </c>
      <c r="D137" s="15">
        <v>52.2</v>
      </c>
      <c r="E137" s="32">
        <f t="shared" si="70"/>
        <v>-1.6949152542372854E-2</v>
      </c>
      <c r="F137" s="18">
        <f>IF(ISNUMBER(D137), $B145 * E137, "")</f>
        <v>-2542.3728813559283</v>
      </c>
      <c r="G137" s="31">
        <v>52.7</v>
      </c>
      <c r="H137" s="32">
        <f t="shared" si="71"/>
        <v>-7.5329566854990312E-3</v>
      </c>
      <c r="I137" s="101">
        <f>IF(ISNUMBER(G137), $B145 * H137, "")</f>
        <v>-1129.9435028248547</v>
      </c>
      <c r="J137" s="15">
        <v>53.2</v>
      </c>
      <c r="K137" s="32">
        <f t="shared" si="72"/>
        <v>1.8832391713747914E-3</v>
      </c>
      <c r="L137" s="18">
        <f>IF(ISNUMBER(J137), $B145 * K137, "")</f>
        <v>282.48587570621874</v>
      </c>
      <c r="M137" s="31">
        <v>52.5</v>
      </c>
      <c r="N137" s="32">
        <f t="shared" si="73"/>
        <v>-1.1299435028248614E-2</v>
      </c>
      <c r="O137" s="18">
        <f>IF(ISNUMBER(M137), $B145 * N137, "")</f>
        <v>-1694.9152542372919</v>
      </c>
      <c r="Q137" s="196"/>
      <c r="R137" s="196"/>
      <c r="S137" s="196"/>
    </row>
    <row r="138" spans="1:19" ht="17.25" thickBot="1">
      <c r="A138" s="125" t="s">
        <v>197</v>
      </c>
      <c r="B138" s="126">
        <v>50</v>
      </c>
      <c r="C138" s="77">
        <v>-9.9009900999999997E-3</v>
      </c>
      <c r="D138" s="15">
        <v>48.9</v>
      </c>
      <c r="E138" s="32">
        <f t="shared" si="70"/>
        <v>-2.200000000000003E-2</v>
      </c>
      <c r="F138" s="18">
        <f>IF(ISNUMBER(D138), $B145 * E138, "")</f>
        <v>-3300.0000000000045</v>
      </c>
      <c r="G138" s="31">
        <v>48.9</v>
      </c>
      <c r="H138" s="32">
        <f t="shared" si="71"/>
        <v>-2.200000000000003E-2</v>
      </c>
      <c r="I138" s="101">
        <f>IF(ISNUMBER(G138), $B145 * H138, "")</f>
        <v>-3300.0000000000045</v>
      </c>
      <c r="J138" s="15">
        <v>49</v>
      </c>
      <c r="K138" s="32">
        <f t="shared" si="72"/>
        <v>-0.02</v>
      </c>
      <c r="L138" s="18">
        <f>IF(ISNUMBER(J138), $B145 * K138, "")</f>
        <v>-3000</v>
      </c>
      <c r="M138" s="31">
        <v>49.1</v>
      </c>
      <c r="N138" s="32">
        <f t="shared" si="73"/>
        <v>-1.7999999999999971E-2</v>
      </c>
      <c r="O138" s="18">
        <f>IF(ISNUMBER(M138), $B145 * N138, "")</f>
        <v>-2699.9999999999955</v>
      </c>
      <c r="Q138" s="191"/>
      <c r="R138" s="191"/>
      <c r="S138" s="191"/>
    </row>
    <row r="139" spans="1:19" ht="17.25" thickBot="1">
      <c r="A139" s="127" t="s">
        <v>346</v>
      </c>
      <c r="B139" s="128">
        <v>9.9499999999999993</v>
      </c>
      <c r="C139" s="78">
        <v>-1.4851485100000001E-2</v>
      </c>
      <c r="D139" s="20">
        <v>9.66</v>
      </c>
      <c r="E139" s="21">
        <f t="shared" si="70"/>
        <v>-2.9145728643215997E-2</v>
      </c>
      <c r="F139" s="22">
        <f>IF(ISNUMBER(D139), $B145 * E139, "")</f>
        <v>-4371.8592964823993</v>
      </c>
      <c r="G139" s="30">
        <v>9.69</v>
      </c>
      <c r="H139" s="21">
        <f t="shared" si="71"/>
        <v>-2.6130653266331638E-2</v>
      </c>
      <c r="I139" s="105">
        <f>IF(ISNUMBER(G139), $B145 * H139, "")</f>
        <v>-3919.5979899497456</v>
      </c>
      <c r="J139" s="20">
        <v>9.74</v>
      </c>
      <c r="K139" s="21">
        <f t="shared" si="72"/>
        <v>-2.1105527638190864E-2</v>
      </c>
      <c r="L139" s="22">
        <f>IF(ISNUMBER(J139), $B145 * K139, "")</f>
        <v>-3165.8291457286296</v>
      </c>
      <c r="M139" s="30">
        <v>9.75</v>
      </c>
      <c r="N139" s="21">
        <f t="shared" si="73"/>
        <v>-2.0100502512562745E-2</v>
      </c>
      <c r="O139" s="22">
        <f>IF(ISNUMBER(M139), $B145 * N139, "")</f>
        <v>-3015.0753768844115</v>
      </c>
      <c r="Q139" s="191"/>
      <c r="R139" s="191"/>
      <c r="S139" s="191"/>
    </row>
    <row r="140" spans="1:19" ht="17.25" thickBot="1">
      <c r="A140" s="125" t="s">
        <v>205</v>
      </c>
      <c r="B140" s="129">
        <v>12.2</v>
      </c>
      <c r="C140" s="80">
        <v>-1.6129032299999999E-2</v>
      </c>
      <c r="D140" s="106">
        <v>11.9</v>
      </c>
      <c r="E140" s="107">
        <f>IF(ISNUMBER(D140), (D140 - $B140) / $B140, "")</f>
        <v>-2.4590163934426142E-2</v>
      </c>
      <c r="F140" s="108">
        <f>IF(ISNUMBER(D140), $B145 * E140, "")</f>
        <v>-3688.5245901639214</v>
      </c>
      <c r="G140" s="109">
        <v>11.9</v>
      </c>
      <c r="H140" s="107">
        <f>IF(ISNUMBER(G140), (G140 - $B140) / $B140, "")</f>
        <v>-2.4590163934426142E-2</v>
      </c>
      <c r="I140" s="110">
        <f>IF(ISNUMBER(G140), $B145 * H140, "")</f>
        <v>-3688.5245901639214</v>
      </c>
      <c r="J140" s="106">
        <v>12</v>
      </c>
      <c r="K140" s="107">
        <f>IF(ISNUMBER(J140), (J140 - $B140) / $B140, "")</f>
        <v>-1.6393442622950762E-2</v>
      </c>
      <c r="L140" s="108">
        <f>IF(ISNUMBER(J140), $B145 * K140, "")</f>
        <v>-2459.0163934426141</v>
      </c>
      <c r="M140" s="109">
        <v>12</v>
      </c>
      <c r="N140" s="107">
        <f>IF(ISNUMBER(M140), (M140 - $B140) / $B140, "")</f>
        <v>-1.6393442622950762E-2</v>
      </c>
      <c r="O140" s="108">
        <f>IF(ISNUMBER(M140), $B145 * N140, "")</f>
        <v>-2459.0163934426141</v>
      </c>
      <c r="Q140" s="196"/>
      <c r="R140" s="196"/>
      <c r="S140" s="196"/>
    </row>
    <row r="141" spans="1:19" ht="17.25" thickBot="1">
      <c r="A141" s="125" t="s">
        <v>158</v>
      </c>
      <c r="B141" s="126">
        <v>69.599999999999994</v>
      </c>
      <c r="C141" s="77">
        <v>-1.8335684099999999E-2</v>
      </c>
      <c r="D141" s="15">
        <v>68</v>
      </c>
      <c r="E141" s="32">
        <f t="shared" ref="E141:E144" si="74">IF(ISNUMBER(D141), (D141 - $B141) / $B141, "")</f>
        <v>-2.2988505747126357E-2</v>
      </c>
      <c r="F141" s="18">
        <f>IF(ISNUMBER(D141), $B145 * E141, "")</f>
        <v>-3448.2758620689533</v>
      </c>
      <c r="G141" s="31">
        <v>68.2</v>
      </c>
      <c r="H141" s="32">
        <f t="shared" ref="H141:H144" si="75">IF(ISNUMBER(G141), (G141 - $B141) / $B141, "")</f>
        <v>-2.011494252873551E-2</v>
      </c>
      <c r="I141" s="101">
        <f>IF(ISNUMBER(G141), $B145 * H141, "")</f>
        <v>-3017.2413793103265</v>
      </c>
      <c r="J141" s="15">
        <v>68.900000000000006</v>
      </c>
      <c r="K141" s="32">
        <f t="shared" ref="K141:K144" si="76">IF(ISNUMBER(J141), (J141 - $B141) / $B141, "")</f>
        <v>-1.0057471264367653E-2</v>
      </c>
      <c r="L141" s="18">
        <f>IF(ISNUMBER(J141), $B145 * K141, "")</f>
        <v>-1508.620689655148</v>
      </c>
      <c r="M141" s="31">
        <v>68.8</v>
      </c>
      <c r="N141" s="32">
        <f t="shared" ref="N141:N144" si="77">IF(ISNUMBER(M141), (M141 - $B141) / $B141, "")</f>
        <v>-1.1494252873563178E-2</v>
      </c>
      <c r="O141" s="18">
        <f>IF(ISNUMBER(M141), $B145 * N141, "")</f>
        <v>-1724.1379310344767</v>
      </c>
      <c r="Q141" s="196"/>
      <c r="R141" s="196"/>
      <c r="S141" s="196"/>
    </row>
    <row r="142" spans="1:19" ht="17.25" thickBot="1">
      <c r="A142" s="125" t="s">
        <v>185</v>
      </c>
      <c r="B142" s="126">
        <v>10.7</v>
      </c>
      <c r="C142" s="77">
        <v>-1.83486239E-2</v>
      </c>
      <c r="D142" s="15">
        <v>10.6</v>
      </c>
      <c r="E142" s="32">
        <f t="shared" si="74"/>
        <v>-9.3457943925233326E-3</v>
      </c>
      <c r="F142" s="18">
        <f>IF(ISNUMBER(D142), $B145 * E142, "")</f>
        <v>-1401.8691588784998</v>
      </c>
      <c r="G142" s="31">
        <v>10.6</v>
      </c>
      <c r="H142" s="32">
        <f t="shared" si="75"/>
        <v>-9.3457943925233326E-3</v>
      </c>
      <c r="I142" s="101">
        <f>IF(ISNUMBER(G142), $B145 * H142, "")</f>
        <v>-1401.8691588784998</v>
      </c>
      <c r="J142" s="15">
        <v>10.5</v>
      </c>
      <c r="K142" s="32">
        <f t="shared" si="76"/>
        <v>-1.8691588785046665E-2</v>
      </c>
      <c r="L142" s="18">
        <f>IF(ISNUMBER(J142), $B145 * K142, "")</f>
        <v>-2803.7383177569995</v>
      </c>
      <c r="M142" s="31">
        <v>10.6</v>
      </c>
      <c r="N142" s="32">
        <f t="shared" si="77"/>
        <v>-9.3457943925233326E-3</v>
      </c>
      <c r="O142" s="18">
        <f>IF(ISNUMBER(M142), $B145 * N142, "")</f>
        <v>-1401.8691588784998</v>
      </c>
      <c r="Q142" s="196"/>
      <c r="R142" s="196"/>
      <c r="S142" s="196"/>
    </row>
    <row r="143" spans="1:19">
      <c r="A143" s="125" t="s">
        <v>189</v>
      </c>
      <c r="B143" s="126">
        <v>92.2</v>
      </c>
      <c r="C143" s="77">
        <v>-2.22693531E-2</v>
      </c>
      <c r="D143" s="15">
        <v>90.4</v>
      </c>
      <c r="E143" s="32">
        <f t="shared" si="74"/>
        <v>-1.9522776572668082E-2</v>
      </c>
      <c r="F143" s="18">
        <f>IF(ISNUMBER(D143), $B145 * E143, "")</f>
        <v>-2928.4164859002121</v>
      </c>
      <c r="G143" s="31">
        <v>90.6</v>
      </c>
      <c r="H143" s="32">
        <f t="shared" si="75"/>
        <v>-1.735357917570508E-2</v>
      </c>
      <c r="I143" s="101">
        <f>IF(ISNUMBER(G143), $B145 * H143, "")</f>
        <v>-2603.0368763557622</v>
      </c>
      <c r="J143" s="15">
        <v>90.5</v>
      </c>
      <c r="K143" s="32">
        <f t="shared" si="76"/>
        <v>-1.8438177874186581E-2</v>
      </c>
      <c r="L143" s="18">
        <f>IF(ISNUMBER(J143), $B145 * K143, "")</f>
        <v>-2765.7266811279869</v>
      </c>
      <c r="M143" s="31">
        <v>90.5</v>
      </c>
      <c r="N143" s="32">
        <f t="shared" si="77"/>
        <v>-1.8438177874186581E-2</v>
      </c>
      <c r="O143" s="18">
        <f>IF(ISNUMBER(M143), $B145 * N143, "")</f>
        <v>-2765.7266811279869</v>
      </c>
      <c r="Q143" s="218"/>
      <c r="R143" s="219"/>
      <c r="S143" s="220"/>
    </row>
    <row r="144" spans="1:19" ht="17.25" thickBot="1">
      <c r="A144" s="130" t="s">
        <v>245</v>
      </c>
      <c r="B144" s="131">
        <v>60.5</v>
      </c>
      <c r="C144" s="79">
        <v>-2.57648953E-2</v>
      </c>
      <c r="D144" s="24">
        <v>59.3</v>
      </c>
      <c r="E144" s="25">
        <f t="shared" si="74"/>
        <v>-1.9834710743801699E-2</v>
      </c>
      <c r="F144" s="104">
        <f>IF(ISNUMBER(D144), $B145 * E144, "")</f>
        <v>-2975.2066115702551</v>
      </c>
      <c r="G144" s="102">
        <v>59.5</v>
      </c>
      <c r="H144" s="25">
        <f t="shared" si="75"/>
        <v>-1.6528925619834711E-2</v>
      </c>
      <c r="I144" s="103">
        <f>IF(ISNUMBER(G144), $B145 * H144, "")</f>
        <v>-2479.3388429752067</v>
      </c>
      <c r="J144" s="24">
        <v>59.7</v>
      </c>
      <c r="K144" s="25">
        <f t="shared" si="76"/>
        <v>-1.3223140495867721E-2</v>
      </c>
      <c r="L144" s="104">
        <f>IF(ISNUMBER(J144), $B145 * K144, "")</f>
        <v>-1983.4710743801581</v>
      </c>
      <c r="M144" s="102">
        <v>59.6</v>
      </c>
      <c r="N144" s="25">
        <f t="shared" si="77"/>
        <v>-1.4876033057851215E-2</v>
      </c>
      <c r="O144" s="104">
        <f>IF(ISNUMBER(M144), $B145 * N144, "")</f>
        <v>-2231.4049586776823</v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-2.3125993588483981E-2</v>
      </c>
      <c r="F145" s="28">
        <f>SUM(F125:F144)</f>
        <v>-69377.980765451968</v>
      </c>
      <c r="G145" s="26" t="s">
        <v>266</v>
      </c>
      <c r="H145" s="27">
        <f>IF(COUNT(H125:H144), SUM(H125:H144) / COUNT(H125:H144), 0)</f>
        <v>-1.7700043264385412E-2</v>
      </c>
      <c r="I145" s="28">
        <f>SUM(I125:I144)</f>
        <v>-53100.129793156251</v>
      </c>
      <c r="J145" s="26" t="s">
        <v>266</v>
      </c>
      <c r="K145" s="27">
        <f>IF(COUNT(K125:K144), SUM(K125:K144) / COUNT(K125:K144), 0)</f>
        <v>-1.3786715120566667E-2</v>
      </c>
      <c r="L145" s="28">
        <f>SUM(L125:L144)</f>
        <v>-41360.145361699993</v>
      </c>
      <c r="M145" s="26" t="s">
        <v>266</v>
      </c>
      <c r="N145" s="27">
        <f>IF(COUNT(N125:N144), SUM(N125:N144) / COUNT(N125:N144), 0)</f>
        <v>-1.8289839426851421E-2</v>
      </c>
      <c r="O145" s="28">
        <f>SUM(O125:O144)</f>
        <v>-54869.518280554264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2022-03-02(수) 오전 00:00</v>
      </c>
      <c r="C150" s="234"/>
      <c r="D150" s="193" t="str">
        <f>TEXT($G$1, "[$-ko-KR]yyyy-mm-dd(ddd) ") &amp; "오후 14:00"</f>
        <v>2022-03-02(수) 오후 14:00</v>
      </c>
      <c r="E150" s="194"/>
      <c r="F150" s="195"/>
      <c r="G150" s="193" t="str">
        <f>TEXT($G$1, "[$-ko-KR]yyyy-mm-dd(ddd) ") &amp; "오후 19:00"</f>
        <v>2022-03-02(수) 오후 19:00</v>
      </c>
      <c r="H150" s="194"/>
      <c r="I150" s="195"/>
      <c r="J150" s="193" t="str">
        <f>TEXT($G$1, "[$-ko-KR]yyyy-mm-dd(ddd) ") &amp; "오후 21:00"</f>
        <v>2022-03-02(수) 오후 21:00</v>
      </c>
      <c r="K150" s="194"/>
      <c r="L150" s="195"/>
      <c r="M150" s="193" t="str">
        <f>TEXT($G$1+1, "[$-ko-KR]yyyy-mm-dd(ddd) ") &amp; "오전 00:00"</f>
        <v>2022-03-03(목)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134</v>
      </c>
      <c r="B152" s="124">
        <v>218</v>
      </c>
      <c r="C152" s="76">
        <v>-9.0909091000000008E-3</v>
      </c>
      <c r="D152" s="13">
        <v>216</v>
      </c>
      <c r="E152" s="14">
        <f>IF(ISNUMBER(D152), (D152 - $B152) / $B152, "")</f>
        <v>-9.1743119266055051E-3</v>
      </c>
      <c r="F152" s="16">
        <f>IF(ISNUMBER(D152), $B172 * E152, "")</f>
        <v>-1376.1467889908258</v>
      </c>
      <c r="G152" s="29">
        <v>218</v>
      </c>
      <c r="H152" s="14">
        <f>IF(ISNUMBER(G152), (G152 - $B152) / $B152, "")</f>
        <v>0</v>
      </c>
      <c r="I152" s="100">
        <f>IF(ISNUMBER(G152), $B172 * H152, "")</f>
        <v>0</v>
      </c>
      <c r="J152" s="13">
        <v>219</v>
      </c>
      <c r="K152" s="14">
        <f>IF(ISNUMBER(J152), (J152 - $B152) / $B152, "")</f>
        <v>4.5871559633027525E-3</v>
      </c>
      <c r="L152" s="16">
        <f>IF(ISNUMBER(J152), $B172 * K152, "")</f>
        <v>688.07339449541291</v>
      </c>
      <c r="M152" s="29">
        <v>215</v>
      </c>
      <c r="N152" s="14">
        <f>IF(ISNUMBER(M152), (M152 - $B152) / $B152, "")</f>
        <v>-1.3761467889908258E-2</v>
      </c>
      <c r="O152" s="16">
        <f>IF(ISNUMBER(M152), $B172 * N152, "")</f>
        <v>-2064.2201834862385</v>
      </c>
      <c r="Q152" s="191"/>
      <c r="R152" s="191"/>
      <c r="S152" s="191"/>
    </row>
    <row r="153" spans="1:19" ht="17.25" thickBot="1">
      <c r="A153" s="125" t="s">
        <v>217</v>
      </c>
      <c r="B153" s="126">
        <v>217</v>
      </c>
      <c r="C153" s="77">
        <v>-9.1324201000000001E-3</v>
      </c>
      <c r="D153" s="15">
        <v>207</v>
      </c>
      <c r="E153" s="32">
        <f t="shared" ref="E153:E156" si="78">IF(ISNUMBER(D153), (D153 - $B153) / $B153, "")</f>
        <v>-4.6082949308755762E-2</v>
      </c>
      <c r="F153" s="18">
        <f>IF(ISNUMBER(D153), $B172 * E153, "")</f>
        <v>-6912.442396313364</v>
      </c>
      <c r="G153" s="31">
        <v>209</v>
      </c>
      <c r="H153" s="32">
        <f t="shared" ref="H153:H156" si="79">IF(ISNUMBER(G153), (G153 - $B153) / $B153, "")</f>
        <v>-3.6866359447004608E-2</v>
      </c>
      <c r="I153" s="101">
        <f>IF(ISNUMBER(G153), $B172 * H153, "")</f>
        <v>-5529.9539170506914</v>
      </c>
      <c r="J153" s="15">
        <v>212</v>
      </c>
      <c r="K153" s="32">
        <f t="shared" ref="K153:K156" si="80">IF(ISNUMBER(J153), (J153 - $B153) / $B153, "")</f>
        <v>-2.3041474654377881E-2</v>
      </c>
      <c r="L153" s="18">
        <f>IF(ISNUMBER(J153), $B172 * K153, "")</f>
        <v>-3456.221198156682</v>
      </c>
      <c r="M153" s="31">
        <v>212</v>
      </c>
      <c r="N153" s="32">
        <f t="shared" ref="N153:N156" si="81">IF(ISNUMBER(M153), (M153 - $B153) / $B153, "")</f>
        <v>-2.3041474654377881E-2</v>
      </c>
      <c r="O153" s="18">
        <f>IF(ISNUMBER(M153), $B172 * N153, "")</f>
        <v>-3456.221198156682</v>
      </c>
      <c r="Q153" s="191"/>
      <c r="R153" s="191"/>
      <c r="S153" s="191"/>
    </row>
    <row r="154" spans="1:19" ht="17.25" thickBot="1">
      <c r="A154" s="125" t="s">
        <v>172</v>
      </c>
      <c r="B154" s="126">
        <v>962</v>
      </c>
      <c r="C154" s="77">
        <v>-1.0288065799999999E-2</v>
      </c>
      <c r="D154" s="15">
        <v>955</v>
      </c>
      <c r="E154" s="32">
        <f t="shared" si="78"/>
        <v>-7.2765072765072769E-3</v>
      </c>
      <c r="F154" s="18">
        <f>IF(ISNUMBER(D154), $B172 * E154, "")</f>
        <v>-1091.4760914760916</v>
      </c>
      <c r="G154" s="31">
        <v>964</v>
      </c>
      <c r="H154" s="32">
        <f t="shared" si="79"/>
        <v>2.0790020790020791E-3</v>
      </c>
      <c r="I154" s="101">
        <f>IF(ISNUMBER(G154), $B172 * H154, "")</f>
        <v>311.85031185031187</v>
      </c>
      <c r="J154" s="15">
        <v>974</v>
      </c>
      <c r="K154" s="32">
        <f t="shared" si="80"/>
        <v>1.2474012474012475E-2</v>
      </c>
      <c r="L154" s="18">
        <f>IF(ISNUMBER(J154), $B172 * K154, "")</f>
        <v>1871.1018711018712</v>
      </c>
      <c r="M154" s="31">
        <v>967</v>
      </c>
      <c r="N154" s="32">
        <f t="shared" si="81"/>
        <v>5.1975051975051978E-3</v>
      </c>
      <c r="O154" s="18">
        <f>IF(ISNUMBER(M154), $B172 * N154, "")</f>
        <v>779.62577962577961</v>
      </c>
      <c r="Q154" s="196"/>
      <c r="R154" s="196"/>
      <c r="S154" s="196"/>
    </row>
    <row r="155" spans="1:19" ht="17.25" thickBot="1">
      <c r="A155" s="125" t="s">
        <v>338</v>
      </c>
      <c r="B155" s="126">
        <v>273</v>
      </c>
      <c r="C155" s="77">
        <v>-1.08695652E-2</v>
      </c>
      <c r="D155" s="15">
        <v>268</v>
      </c>
      <c r="E155" s="32">
        <f t="shared" si="78"/>
        <v>-1.8315018315018316E-2</v>
      </c>
      <c r="F155" s="18">
        <f>IF(ISNUMBER(D155), $B172 * E155, "")</f>
        <v>-2747.2527472527472</v>
      </c>
      <c r="G155" s="31">
        <v>273</v>
      </c>
      <c r="H155" s="32">
        <f t="shared" si="79"/>
        <v>0</v>
      </c>
      <c r="I155" s="101">
        <f>IF(ISNUMBER(G155), $B172 * H155, "")</f>
        <v>0</v>
      </c>
      <c r="J155" s="15">
        <v>276</v>
      </c>
      <c r="K155" s="32">
        <f t="shared" si="80"/>
        <v>1.098901098901099E-2</v>
      </c>
      <c r="L155" s="18">
        <f>IF(ISNUMBER(J155), $B172 * K155, "")</f>
        <v>1648.3516483516485</v>
      </c>
      <c r="M155" s="31">
        <v>273</v>
      </c>
      <c r="N155" s="32">
        <f t="shared" si="81"/>
        <v>0</v>
      </c>
      <c r="O155" s="18">
        <f>IF(ISNUMBER(M155), $B172 * N155, "")</f>
        <v>0</v>
      </c>
      <c r="Q155" s="196"/>
      <c r="R155" s="196"/>
      <c r="S155" s="196"/>
    </row>
    <row r="156" spans="1:19" ht="17.25" thickBot="1">
      <c r="A156" s="127" t="s">
        <v>249</v>
      </c>
      <c r="B156" s="128">
        <v>246</v>
      </c>
      <c r="C156" s="78">
        <v>-1.20481928E-2</v>
      </c>
      <c r="D156" s="20">
        <v>237</v>
      </c>
      <c r="E156" s="21">
        <f t="shared" si="78"/>
        <v>-3.6585365853658534E-2</v>
      </c>
      <c r="F156" s="22">
        <f>IF(ISNUMBER(D156), $B172 * E156, "")</f>
        <v>-5487.8048780487798</v>
      </c>
      <c r="G156" s="30">
        <v>238</v>
      </c>
      <c r="H156" s="21">
        <f t="shared" si="79"/>
        <v>-3.2520325203252036E-2</v>
      </c>
      <c r="I156" s="105">
        <f>IF(ISNUMBER(G156), $B172 * H156, "")</f>
        <v>-4878.0487804878057</v>
      </c>
      <c r="J156" s="20">
        <v>239</v>
      </c>
      <c r="K156" s="21">
        <f t="shared" si="80"/>
        <v>-2.8455284552845527E-2</v>
      </c>
      <c r="L156" s="22">
        <f>IF(ISNUMBER(J156), $B172 * K156, "")</f>
        <v>-4268.292682926829</v>
      </c>
      <c r="M156" s="30">
        <v>240</v>
      </c>
      <c r="N156" s="21">
        <f t="shared" si="81"/>
        <v>-2.4390243902439025E-2</v>
      </c>
      <c r="O156" s="22">
        <f>IF(ISNUMBER(M156), $B172 * N156, "")</f>
        <v>-3658.5365853658536</v>
      </c>
      <c r="Q156" s="196"/>
      <c r="R156" s="196"/>
      <c r="S156" s="196"/>
    </row>
    <row r="157" spans="1:19" ht="17.25" thickBot="1">
      <c r="A157" s="125" t="s">
        <v>89</v>
      </c>
      <c r="B157" s="129">
        <v>937</v>
      </c>
      <c r="C157" s="80">
        <v>-1.26448894E-2</v>
      </c>
      <c r="D157" s="106">
        <v>931</v>
      </c>
      <c r="E157" s="107">
        <f>IF(ISNUMBER(D157), (D157 - $B157) / $B157, "")</f>
        <v>-6.4034151547491995E-3</v>
      </c>
      <c r="F157" s="108">
        <f>IF(ISNUMBER(D157), $B172 * E157, "")</f>
        <v>-960.51227321237991</v>
      </c>
      <c r="G157" s="109">
        <v>937</v>
      </c>
      <c r="H157" s="107">
        <f>IF(ISNUMBER(G157), (G157 - $B157) / $B157, "")</f>
        <v>0</v>
      </c>
      <c r="I157" s="110">
        <f>IF(ISNUMBER(G157), $B172 * H157, "")</f>
        <v>0</v>
      </c>
      <c r="J157" s="106">
        <v>943</v>
      </c>
      <c r="K157" s="107">
        <f>IF(ISNUMBER(J157), (J157 - $B157) / $B157, "")</f>
        <v>6.4034151547491995E-3</v>
      </c>
      <c r="L157" s="108">
        <f>IF(ISNUMBER(J157), $B172 * K157, "")</f>
        <v>960.51227321237991</v>
      </c>
      <c r="M157" s="109">
        <v>936</v>
      </c>
      <c r="N157" s="107">
        <f>IF(ISNUMBER(M157), (M157 - $B157) / $B157, "")</f>
        <v>-1.0672358591248667E-3</v>
      </c>
      <c r="O157" s="108">
        <f>IF(ISNUMBER(M157), $B172 * N157, "")</f>
        <v>-160.08537886873</v>
      </c>
      <c r="Q157" s="196"/>
      <c r="R157" s="196"/>
      <c r="S157" s="196"/>
    </row>
    <row r="158" spans="1:19" ht="17.25" thickBot="1">
      <c r="A158" s="125" t="s">
        <v>103</v>
      </c>
      <c r="B158" s="126">
        <v>687</v>
      </c>
      <c r="C158" s="77">
        <v>-1.2931034500000001E-2</v>
      </c>
      <c r="D158" s="15">
        <v>674</v>
      </c>
      <c r="E158" s="32">
        <f t="shared" ref="E158:E161" si="82">IF(ISNUMBER(D158), (D158 - $B158) / $B158, "")</f>
        <v>-1.8922852983988356E-2</v>
      </c>
      <c r="F158" s="18">
        <f>IF(ISNUMBER(D158), $B172 * E158, "")</f>
        <v>-2838.4279475982535</v>
      </c>
      <c r="G158" s="31">
        <v>679</v>
      </c>
      <c r="H158" s="32">
        <f t="shared" ref="H158:H161" si="83">IF(ISNUMBER(G158), (G158 - $B158) / $B158, "")</f>
        <v>-1.1644832605531296E-2</v>
      </c>
      <c r="I158" s="101">
        <f>IF(ISNUMBER(G158), $B172 * H158, "")</f>
        <v>-1746.7248908296945</v>
      </c>
      <c r="J158" s="15">
        <v>686</v>
      </c>
      <c r="K158" s="32">
        <f t="shared" ref="K158:K161" si="84">IF(ISNUMBER(J158), (J158 - $B158) / $B158, "")</f>
        <v>-1.455604075691412E-3</v>
      </c>
      <c r="L158" s="18">
        <f>IF(ISNUMBER(J158), $B172 * K158, "")</f>
        <v>-218.34061135371181</v>
      </c>
      <c r="M158" s="31">
        <v>716</v>
      </c>
      <c r="N158" s="32">
        <f t="shared" ref="N158:N161" si="85">IF(ISNUMBER(M158), (M158 - $B158) / $B158, "")</f>
        <v>4.2212518195050945E-2</v>
      </c>
      <c r="O158" s="18">
        <f>IF(ISNUMBER(M158), $B172 * N158, "")</f>
        <v>6331.8777292576415</v>
      </c>
      <c r="Q158" s="196"/>
      <c r="R158" s="196"/>
      <c r="S158" s="196"/>
    </row>
    <row r="159" spans="1:19" ht="17.25" thickBot="1">
      <c r="A159" s="125" t="s">
        <v>195</v>
      </c>
      <c r="B159" s="126">
        <v>132</v>
      </c>
      <c r="C159" s="77">
        <v>-1.49253731E-2</v>
      </c>
      <c r="D159" s="15">
        <v>128</v>
      </c>
      <c r="E159" s="32">
        <f t="shared" si="82"/>
        <v>-3.0303030303030304E-2</v>
      </c>
      <c r="F159" s="18">
        <f>IF(ISNUMBER(D159), $B172 * E159, "")</f>
        <v>-4545.454545454546</v>
      </c>
      <c r="G159" s="31">
        <v>130</v>
      </c>
      <c r="H159" s="32">
        <f t="shared" si="83"/>
        <v>-1.5151515151515152E-2</v>
      </c>
      <c r="I159" s="101">
        <f>IF(ISNUMBER(G159), $B172 * H159, "")</f>
        <v>-2272.727272727273</v>
      </c>
      <c r="J159" s="15">
        <v>129</v>
      </c>
      <c r="K159" s="32">
        <f t="shared" si="84"/>
        <v>-2.2727272727272728E-2</v>
      </c>
      <c r="L159" s="18">
        <f>IF(ISNUMBER(J159), $B172 * K159, "")</f>
        <v>-3409.090909090909</v>
      </c>
      <c r="M159" s="31">
        <v>129</v>
      </c>
      <c r="N159" s="32">
        <f t="shared" si="85"/>
        <v>-2.2727272727272728E-2</v>
      </c>
      <c r="O159" s="18">
        <f>IF(ISNUMBER(M159), $B172 * N159, "")</f>
        <v>-3409.090909090909</v>
      </c>
      <c r="Q159" s="196"/>
      <c r="R159" s="196"/>
      <c r="S159" s="196"/>
    </row>
    <row r="160" spans="1:19" ht="17.25" thickBot="1">
      <c r="A160" s="125" t="s">
        <v>225</v>
      </c>
      <c r="B160" s="126">
        <v>383</v>
      </c>
      <c r="C160" s="77">
        <v>-1.54241645E-2</v>
      </c>
      <c r="D160" s="15">
        <v>375</v>
      </c>
      <c r="E160" s="32">
        <f t="shared" si="82"/>
        <v>-2.0887728459530026E-2</v>
      </c>
      <c r="F160" s="18">
        <f>IF(ISNUMBER(D160), $B172 * E160, "")</f>
        <v>-3133.1592689295039</v>
      </c>
      <c r="G160" s="31">
        <v>377</v>
      </c>
      <c r="H160" s="32">
        <f t="shared" si="83"/>
        <v>-1.5665796344647518E-2</v>
      </c>
      <c r="I160" s="101">
        <f>IF(ISNUMBER(G160), $B172 * H160, "")</f>
        <v>-2349.8694516971277</v>
      </c>
      <c r="J160" s="15">
        <v>382</v>
      </c>
      <c r="K160" s="32">
        <f t="shared" si="84"/>
        <v>-2.6109660574412533E-3</v>
      </c>
      <c r="L160" s="18">
        <f>IF(ISNUMBER(J160), $B172 * K160, "")</f>
        <v>-391.64490861618799</v>
      </c>
      <c r="M160" s="31">
        <v>379</v>
      </c>
      <c r="N160" s="32">
        <f t="shared" si="85"/>
        <v>-1.0443864229765013E-2</v>
      </c>
      <c r="O160" s="18">
        <f>IF(ISNUMBER(M160), $B172 * N160, "")</f>
        <v>-1566.579634464752</v>
      </c>
      <c r="Q160" s="33"/>
      <c r="R160" s="33"/>
    </row>
    <row r="161" spans="1:19" ht="17.25" thickBot="1">
      <c r="A161" s="130" t="s">
        <v>187</v>
      </c>
      <c r="B161" s="131">
        <v>255</v>
      </c>
      <c r="C161" s="79">
        <v>-1.54440154E-2</v>
      </c>
      <c r="D161" s="24">
        <v>246</v>
      </c>
      <c r="E161" s="25">
        <f t="shared" si="82"/>
        <v>-3.5294117647058823E-2</v>
      </c>
      <c r="F161" s="104">
        <f>IF(ISNUMBER(D161), $B172 * E161, "")</f>
        <v>-5294.1176470588234</v>
      </c>
      <c r="G161" s="102">
        <v>247</v>
      </c>
      <c r="H161" s="25">
        <f t="shared" si="83"/>
        <v>-3.1372549019607843E-2</v>
      </c>
      <c r="I161" s="103">
        <f>IF(ISNUMBER(G161), $B172 * H161, "")</f>
        <v>-4705.8823529411766</v>
      </c>
      <c r="J161" s="24">
        <v>248</v>
      </c>
      <c r="K161" s="25">
        <f t="shared" si="84"/>
        <v>-2.7450980392156862E-2</v>
      </c>
      <c r="L161" s="104">
        <f>IF(ISNUMBER(J161), $B172 * K161, "")</f>
        <v>-4117.6470588235297</v>
      </c>
      <c r="M161" s="102">
        <v>248</v>
      </c>
      <c r="N161" s="25">
        <f t="shared" si="85"/>
        <v>-2.7450980392156862E-2</v>
      </c>
      <c r="O161" s="104">
        <f>IF(ISNUMBER(M161), $B172 * N161, "")</f>
        <v>-4117.6470588235297</v>
      </c>
      <c r="Q161" s="205"/>
      <c r="R161" s="206"/>
      <c r="S161" s="207"/>
    </row>
    <row r="162" spans="1:19">
      <c r="A162" s="123" t="s">
        <v>120</v>
      </c>
      <c r="B162" s="124">
        <v>366</v>
      </c>
      <c r="C162" s="76">
        <v>-1.6129032299999999E-2</v>
      </c>
      <c r="D162" s="13">
        <v>355</v>
      </c>
      <c r="E162" s="14">
        <f>IF(ISNUMBER(D162), (D162 - $B162) / $B162, "")</f>
        <v>-3.0054644808743168E-2</v>
      </c>
      <c r="F162" s="16">
        <f>IF(ISNUMBER(D162), $B172 * E162, "")</f>
        <v>-4508.1967213114749</v>
      </c>
      <c r="G162" s="29">
        <v>357</v>
      </c>
      <c r="H162" s="14">
        <f>IF(ISNUMBER(G162), (G162 - $B162) / $B162, "")</f>
        <v>-2.4590163934426229E-2</v>
      </c>
      <c r="I162" s="100">
        <f>IF(ISNUMBER(G162), $B172 * H162, "")</f>
        <v>-3688.5245901639341</v>
      </c>
      <c r="J162" s="13">
        <v>361</v>
      </c>
      <c r="K162" s="14">
        <f>IF(ISNUMBER(J162), (J162 - $B162) / $B162, "")</f>
        <v>-1.3661202185792349E-2</v>
      </c>
      <c r="L162" s="16">
        <f>IF(ISNUMBER(J162), $B172 * K162, "")</f>
        <v>-2049.1803278688526</v>
      </c>
      <c r="M162" s="29">
        <v>356</v>
      </c>
      <c r="N162" s="14">
        <f>IF(ISNUMBER(M162), (M162 - $B162) / $B162, "")</f>
        <v>-2.7322404371584699E-2</v>
      </c>
      <c r="O162" s="16">
        <f>IF(ISNUMBER(M162), $B172 * N162, "")</f>
        <v>-4098.3606557377052</v>
      </c>
      <c r="Q162" s="208"/>
      <c r="R162" s="209"/>
      <c r="S162" s="210"/>
    </row>
    <row r="163" spans="1:19" ht="17.25" thickBot="1">
      <c r="A163" s="125" t="s">
        <v>231</v>
      </c>
      <c r="B163" s="126">
        <v>410</v>
      </c>
      <c r="C163" s="77">
        <v>-1.67865707E-2</v>
      </c>
      <c r="D163" s="15">
        <v>402</v>
      </c>
      <c r="E163" s="32">
        <f t="shared" ref="E163:E166" si="86">IF(ISNUMBER(D163), (D163 - $B163) / $B163, "")</f>
        <v>-1.9512195121951219E-2</v>
      </c>
      <c r="F163" s="18">
        <f>IF(ISNUMBER(D163), $B172 * E163, "")</f>
        <v>-2926.8292682926831</v>
      </c>
      <c r="G163" s="31">
        <v>403</v>
      </c>
      <c r="H163" s="32">
        <f t="shared" ref="H163:H166" si="87">IF(ISNUMBER(G163), (G163 - $B163) / $B163, "")</f>
        <v>-1.7073170731707318E-2</v>
      </c>
      <c r="I163" s="101">
        <f>IF(ISNUMBER(G163), $B172 * H163, "")</f>
        <v>-2560.9756097560976</v>
      </c>
      <c r="J163" s="15">
        <v>403</v>
      </c>
      <c r="K163" s="32">
        <f t="shared" ref="K163:K166" si="88">IF(ISNUMBER(J163), (J163 - $B163) / $B163, "")</f>
        <v>-1.7073170731707318E-2</v>
      </c>
      <c r="L163" s="18">
        <f>IF(ISNUMBER(J163), $B172 * K163, "")</f>
        <v>-2560.9756097560976</v>
      </c>
      <c r="M163" s="31">
        <v>403</v>
      </c>
      <c r="N163" s="32">
        <f t="shared" ref="N163:N166" si="89">IF(ISNUMBER(M163), (M163 - $B163) / $B163, "")</f>
        <v>-1.7073170731707318E-2</v>
      </c>
      <c r="O163" s="18">
        <f>IF(ISNUMBER(M163), $B172 * N163, "")</f>
        <v>-2560.9756097560976</v>
      </c>
      <c r="Q163" s="211"/>
      <c r="R163" s="212"/>
      <c r="S163" s="213"/>
    </row>
    <row r="164" spans="1:19" ht="17.25" thickBot="1">
      <c r="A164" s="125" t="s">
        <v>107</v>
      </c>
      <c r="B164" s="126">
        <v>110</v>
      </c>
      <c r="C164" s="77">
        <v>-1.7857142900000001E-2</v>
      </c>
      <c r="D164" s="15">
        <v>108</v>
      </c>
      <c r="E164" s="32">
        <f t="shared" si="86"/>
        <v>-1.8181818181818181E-2</v>
      </c>
      <c r="F164" s="18">
        <f>IF(ISNUMBER(D164), $B172 * E164, "")</f>
        <v>-2727.272727272727</v>
      </c>
      <c r="G164" s="31">
        <v>108</v>
      </c>
      <c r="H164" s="32">
        <f t="shared" si="87"/>
        <v>-1.8181818181818181E-2</v>
      </c>
      <c r="I164" s="101">
        <f>IF(ISNUMBER(G164), $B172 * H164, "")</f>
        <v>-2727.272727272727</v>
      </c>
      <c r="J164" s="15">
        <v>108</v>
      </c>
      <c r="K164" s="32">
        <f t="shared" si="88"/>
        <v>-1.8181818181818181E-2</v>
      </c>
      <c r="L164" s="18">
        <f>IF(ISNUMBER(J164), $B172 * K164, "")</f>
        <v>-2727.272727272727</v>
      </c>
      <c r="M164" s="31">
        <v>110</v>
      </c>
      <c r="N164" s="32">
        <f t="shared" si="89"/>
        <v>0</v>
      </c>
      <c r="O164" s="18">
        <f>IF(ISNUMBER(M164), $B172 * N164, "")</f>
        <v>0</v>
      </c>
      <c r="Q164" s="196"/>
      <c r="R164" s="196"/>
      <c r="S164" s="196"/>
    </row>
    <row r="165" spans="1:19" ht="17.25" thickBot="1">
      <c r="A165" s="125" t="s">
        <v>221</v>
      </c>
      <c r="B165" s="126">
        <v>967</v>
      </c>
      <c r="C165" s="77">
        <v>-1.8274111700000002E-2</v>
      </c>
      <c r="D165" s="15">
        <v>943</v>
      </c>
      <c r="E165" s="32">
        <f t="shared" si="86"/>
        <v>-2.481902792140641E-2</v>
      </c>
      <c r="F165" s="18">
        <f>IF(ISNUMBER(D165), $B172 * E165, "")</f>
        <v>-3722.8541882109616</v>
      </c>
      <c r="G165" s="31">
        <v>953</v>
      </c>
      <c r="H165" s="32">
        <f t="shared" si="87"/>
        <v>-1.4477766287487074E-2</v>
      </c>
      <c r="I165" s="101">
        <f>IF(ISNUMBER(G165), $B172 * H165, "")</f>
        <v>-2171.6649431230612</v>
      </c>
      <c r="J165" s="15">
        <v>956</v>
      </c>
      <c r="K165" s="32">
        <f t="shared" si="88"/>
        <v>-1.1375387797311272E-2</v>
      </c>
      <c r="L165" s="18">
        <f>IF(ISNUMBER(J165), $B172 * K165, "")</f>
        <v>-1706.3081695966907</v>
      </c>
      <c r="M165" s="31">
        <v>957</v>
      </c>
      <c r="N165" s="32">
        <f t="shared" si="89"/>
        <v>-1.0341261633919338E-2</v>
      </c>
      <c r="O165" s="18">
        <f>IF(ISNUMBER(M165), $B172 * N165, "")</f>
        <v>-1551.1892450879006</v>
      </c>
      <c r="Q165" s="191"/>
      <c r="R165" s="191"/>
      <c r="S165" s="191"/>
    </row>
    <row r="166" spans="1:19" ht="17.25" thickBot="1">
      <c r="A166" s="127" t="s">
        <v>223</v>
      </c>
      <c r="B166" s="128">
        <v>990</v>
      </c>
      <c r="C166" s="78">
        <v>-1.9801980199999999E-2</v>
      </c>
      <c r="D166" s="20">
        <v>964</v>
      </c>
      <c r="E166" s="21">
        <f t="shared" si="86"/>
        <v>-2.6262626262626262E-2</v>
      </c>
      <c r="F166" s="22">
        <f>IF(ISNUMBER(D166), $B172 * E166, "")</f>
        <v>-3939.393939393939</v>
      </c>
      <c r="G166" s="30">
        <v>974</v>
      </c>
      <c r="H166" s="21">
        <f t="shared" si="87"/>
        <v>-1.6161616161616162E-2</v>
      </c>
      <c r="I166" s="105">
        <f>IF(ISNUMBER(G166), $B172 * H166, "")</f>
        <v>-2424.242424242424</v>
      </c>
      <c r="J166" s="20">
        <v>978</v>
      </c>
      <c r="K166" s="21">
        <f t="shared" si="88"/>
        <v>-1.2121212121212121E-2</v>
      </c>
      <c r="L166" s="22">
        <f>IF(ISNUMBER(J166), $B172 * K166, "")</f>
        <v>-1818.1818181818182</v>
      </c>
      <c r="M166" s="30">
        <v>973</v>
      </c>
      <c r="N166" s="21">
        <f t="shared" si="89"/>
        <v>-1.7171717171717171E-2</v>
      </c>
      <c r="O166" s="22">
        <f>IF(ISNUMBER(M166), $B172 * N166, "")</f>
        <v>-2575.7575757575755</v>
      </c>
      <c r="Q166" s="191"/>
      <c r="R166" s="191"/>
      <c r="S166" s="191"/>
    </row>
    <row r="167" spans="1:19" ht="17.25" thickBot="1">
      <c r="A167" s="125" t="s">
        <v>160</v>
      </c>
      <c r="B167" s="129">
        <v>420</v>
      </c>
      <c r="C167" s="80">
        <v>-2.3255814E-2</v>
      </c>
      <c r="D167" s="106">
        <v>413</v>
      </c>
      <c r="E167" s="107">
        <f>IF(ISNUMBER(D167), (D167 - $B167) / $B167, "")</f>
        <v>-1.6666666666666666E-2</v>
      </c>
      <c r="F167" s="108">
        <f>IF(ISNUMBER(D167), $B172 * E167, "")</f>
        <v>-2500</v>
      </c>
      <c r="G167" s="109">
        <v>413</v>
      </c>
      <c r="H167" s="107">
        <f>IF(ISNUMBER(G167), (G167 - $B167) / $B167, "")</f>
        <v>-1.6666666666666666E-2</v>
      </c>
      <c r="I167" s="110">
        <f>IF(ISNUMBER(G167), $B172 * H167, "")</f>
        <v>-2500</v>
      </c>
      <c r="J167" s="106">
        <v>414</v>
      </c>
      <c r="K167" s="107">
        <f>IF(ISNUMBER(J167), (J167 - $B167) / $B167, "")</f>
        <v>-1.4285714285714285E-2</v>
      </c>
      <c r="L167" s="108">
        <f>IF(ISNUMBER(J167), $B172 * K167, "")</f>
        <v>-2142.8571428571427</v>
      </c>
      <c r="M167" s="109">
        <v>413</v>
      </c>
      <c r="N167" s="107">
        <f>IF(ISNUMBER(M167), (M167 - $B167) / $B167, "")</f>
        <v>-1.6666666666666666E-2</v>
      </c>
      <c r="O167" s="108">
        <f>IF(ISNUMBER(M167), $B172 * N167, "")</f>
        <v>-2500</v>
      </c>
      <c r="Q167" s="196"/>
      <c r="R167" s="196"/>
      <c r="S167" s="196"/>
    </row>
    <row r="168" spans="1:19" ht="17.25" thickBot="1">
      <c r="A168" s="125" t="s">
        <v>180</v>
      </c>
      <c r="B168" s="126">
        <v>954</v>
      </c>
      <c r="C168" s="77">
        <v>-2.4539877299999999E-2</v>
      </c>
      <c r="D168" s="15">
        <v>931</v>
      </c>
      <c r="E168" s="32">
        <f t="shared" ref="E168:E171" si="90">IF(ISNUMBER(D168), (D168 - $B168) / $B168, "")</f>
        <v>-2.4109014675052411E-2</v>
      </c>
      <c r="F168" s="18">
        <f>IF(ISNUMBER(D168), $B172 * E168, "")</f>
        <v>-3616.3522012578619</v>
      </c>
      <c r="G168" s="31">
        <v>936</v>
      </c>
      <c r="H168" s="32">
        <f t="shared" ref="H168:H171" si="91">IF(ISNUMBER(G168), (G168 - $B168) / $B168, "")</f>
        <v>-1.8867924528301886E-2</v>
      </c>
      <c r="I168" s="101">
        <f>IF(ISNUMBER(G168), $B172 * H168, "")</f>
        <v>-2830.1886792452829</v>
      </c>
      <c r="J168" s="15">
        <v>940</v>
      </c>
      <c r="K168" s="32">
        <f t="shared" ref="K168:K171" si="92">IF(ISNUMBER(J168), (J168 - $B168) / $B168, "")</f>
        <v>-1.4675052410901468E-2</v>
      </c>
      <c r="L168" s="18">
        <f>IF(ISNUMBER(J168), $B172 * K168, "")</f>
        <v>-2201.2578616352203</v>
      </c>
      <c r="M168" s="31">
        <v>937</v>
      </c>
      <c r="N168" s="32">
        <f t="shared" ref="N168:N171" si="93">IF(ISNUMBER(M168), (M168 - $B168) / $B168, "")</f>
        <v>-1.781970649895178E-2</v>
      </c>
      <c r="O168" s="18">
        <f>IF(ISNUMBER(M168), $B172 * N168, "")</f>
        <v>-2672.9559748427669</v>
      </c>
      <c r="Q168" s="196"/>
      <c r="R168" s="196"/>
      <c r="S168" s="196"/>
    </row>
    <row r="169" spans="1:19" ht="17.25" thickBot="1">
      <c r="A169" s="125" t="s">
        <v>170</v>
      </c>
      <c r="B169" s="126">
        <v>681</v>
      </c>
      <c r="C169" s="77">
        <v>-2.5751072999999999E-2</v>
      </c>
      <c r="D169" s="15">
        <v>669</v>
      </c>
      <c r="E169" s="32">
        <f t="shared" si="90"/>
        <v>-1.7621145374449341E-2</v>
      </c>
      <c r="F169" s="18">
        <f>IF(ISNUMBER(D169), $B172 * E169, "")</f>
        <v>-2643.171806167401</v>
      </c>
      <c r="G169" s="31">
        <v>673</v>
      </c>
      <c r="H169" s="32">
        <f t="shared" si="91"/>
        <v>-1.1747430249632892E-2</v>
      </c>
      <c r="I169" s="101">
        <f>IF(ISNUMBER(G169), $B172 * H169, "")</f>
        <v>-1762.1145374449338</v>
      </c>
      <c r="J169" s="15">
        <v>684</v>
      </c>
      <c r="K169" s="32">
        <f t="shared" si="92"/>
        <v>4.4052863436123352E-3</v>
      </c>
      <c r="L169" s="18">
        <f>IF(ISNUMBER(J169), $B172 * K169, "")</f>
        <v>660.79295154185024</v>
      </c>
      <c r="M169" s="31">
        <v>679</v>
      </c>
      <c r="N169" s="32">
        <f t="shared" si="93"/>
        <v>-2.936857562408223E-3</v>
      </c>
      <c r="O169" s="18">
        <f>IF(ISNUMBER(M169), $B172 * N169, "")</f>
        <v>-440.52863436123346</v>
      </c>
      <c r="Q169" s="196"/>
      <c r="R169" s="196"/>
      <c r="S169" s="196"/>
    </row>
    <row r="170" spans="1:19">
      <c r="A170" s="125" t="s">
        <v>237</v>
      </c>
      <c r="B170" s="126">
        <v>551</v>
      </c>
      <c r="C170" s="77">
        <v>-4.0069686399999999E-2</v>
      </c>
      <c r="D170" s="15">
        <v>531</v>
      </c>
      <c r="E170" s="32">
        <f t="shared" si="90"/>
        <v>-3.6297640653357534E-2</v>
      </c>
      <c r="F170" s="18">
        <f>IF(ISNUMBER(D170), $B172 * E170, "")</f>
        <v>-5444.64609800363</v>
      </c>
      <c r="G170" s="31">
        <v>533</v>
      </c>
      <c r="H170" s="32">
        <f t="shared" si="91"/>
        <v>-3.2667876588021776E-2</v>
      </c>
      <c r="I170" s="101">
        <f>IF(ISNUMBER(G170), $B172 * H170, "")</f>
        <v>-4900.1814882032668</v>
      </c>
      <c r="J170" s="15">
        <v>536</v>
      </c>
      <c r="K170" s="32">
        <f t="shared" si="92"/>
        <v>-2.7223230490018149E-2</v>
      </c>
      <c r="L170" s="18">
        <f>IF(ISNUMBER(J170), $B172 * K170, "")</f>
        <v>-4083.4845735027225</v>
      </c>
      <c r="M170" s="31">
        <v>534</v>
      </c>
      <c r="N170" s="32">
        <f t="shared" si="93"/>
        <v>-3.0852994555353903E-2</v>
      </c>
      <c r="O170" s="18">
        <f>IF(ISNUMBER(M170), $B172 * N170, "")</f>
        <v>-4627.9491833030852</v>
      </c>
      <c r="Q170" s="218"/>
      <c r="R170" s="219"/>
      <c r="S170" s="220"/>
    </row>
    <row r="171" spans="1:19" ht="17.25" thickBot="1">
      <c r="A171" s="130" t="s">
        <v>201</v>
      </c>
      <c r="B171" s="131">
        <v>550</v>
      </c>
      <c r="C171" s="79">
        <v>-4.0139616099999997E-2</v>
      </c>
      <c r="D171" s="24">
        <v>533</v>
      </c>
      <c r="E171" s="25">
        <f t="shared" si="90"/>
        <v>-3.090909090909091E-2</v>
      </c>
      <c r="F171" s="104">
        <f>IF(ISNUMBER(D171), $B172 * E171, "")</f>
        <v>-4636.3636363636369</v>
      </c>
      <c r="G171" s="102">
        <v>540</v>
      </c>
      <c r="H171" s="25">
        <f t="shared" si="91"/>
        <v>-1.8181818181818181E-2</v>
      </c>
      <c r="I171" s="103">
        <f>IF(ISNUMBER(G171), $B172 * H171, "")</f>
        <v>-2727.272727272727</v>
      </c>
      <c r="J171" s="24">
        <v>543</v>
      </c>
      <c r="K171" s="25">
        <f t="shared" si="92"/>
        <v>-1.2727272727272728E-2</v>
      </c>
      <c r="L171" s="104">
        <f>IF(ISNUMBER(J171), $B172 * K171, "")</f>
        <v>-1909.0909090909092</v>
      </c>
      <c r="M171" s="102">
        <v>536</v>
      </c>
      <c r="N171" s="25">
        <f t="shared" si="93"/>
        <v>-2.5454545454545455E-2</v>
      </c>
      <c r="O171" s="104">
        <f>IF(ISNUMBER(M171), $B172 * N171, "")</f>
        <v>-3818.1818181818185</v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-2.3683958390203208E-2</v>
      </c>
      <c r="F172" s="28">
        <f>SUM(F152:F171)</f>
        <v>-71051.875170609637</v>
      </c>
      <c r="G172" s="26" t="s">
        <v>266</v>
      </c>
      <c r="H172" s="27">
        <f>IF(COUNT(H152:H171), SUM(H152:H171) / COUNT(H152:H171), 0)</f>
        <v>-1.6487931360202636E-2</v>
      </c>
      <c r="I172" s="28">
        <f>SUM(I152:I171)</f>
        <v>-49463.79408060792</v>
      </c>
      <c r="J172" s="26" t="s">
        <v>266</v>
      </c>
      <c r="K172" s="27">
        <f>IF(COUNT(K152:K171), SUM(K152:K171) / COUNT(K152:K171), 0)</f>
        <v>-1.0410338123342289E-2</v>
      </c>
      <c r="L172" s="28">
        <f>SUM(L152:L171)</f>
        <v>-31231.014370026867</v>
      </c>
      <c r="M172" s="26" t="s">
        <v>266</v>
      </c>
      <c r="N172" s="27">
        <f>IF(COUNT(N152:N171), SUM(N152:N171) / COUNT(N152:N171), 0)</f>
        <v>-1.2055592045467151E-2</v>
      </c>
      <c r="O172" s="28">
        <f>SUM(O152:O171)</f>
        <v>-36166.776136401459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2022-03-02(수) 오전 00:00</v>
      </c>
      <c r="C177" s="234"/>
      <c r="D177" s="193" t="str">
        <f>TEXT($G$1, "[$-ko-KR]yyyy-mm-dd(ddd) ") &amp; "오후 14:00"</f>
        <v>2022-03-02(수) 오후 14:00</v>
      </c>
      <c r="E177" s="194"/>
      <c r="F177" s="195"/>
      <c r="G177" s="193" t="str">
        <f>TEXT($G$1, "[$-ko-KR]yyyy-mm-dd(ddd) ") &amp; "오후 19:00"</f>
        <v>2022-03-02(수) 오후 19:00</v>
      </c>
      <c r="H177" s="194"/>
      <c r="I177" s="195"/>
      <c r="J177" s="193" t="str">
        <f>TEXT($G$1, "[$-ko-KR]yyyy-mm-dd(ddd) ") &amp; "오후 21:00"</f>
        <v>2022-03-02(수) 오후 21:00</v>
      </c>
      <c r="K177" s="194"/>
      <c r="L177" s="195"/>
      <c r="M177" s="193" t="str">
        <f>TEXT($G$1+1, "[$-ko-KR]yyyy-mm-dd(ddd) ") &amp; "오전 00:00"</f>
        <v>2022-03-03(목)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162</v>
      </c>
      <c r="B179" s="124">
        <v>1165</v>
      </c>
      <c r="C179" s="76">
        <v>-1.6877637099999999E-2</v>
      </c>
      <c r="D179" s="13">
        <v>1135</v>
      </c>
      <c r="E179" s="14">
        <f>IF(ISNUMBER(D179), (D179 - $B179) / $B179, "")</f>
        <v>-2.575107296137339E-2</v>
      </c>
      <c r="F179" s="16">
        <f>IF(ISNUMBER(D179), $B199 * E179, "")</f>
        <v>-3862.6609442060085</v>
      </c>
      <c r="G179" s="29">
        <v>1145</v>
      </c>
      <c r="H179" s="14">
        <f>IF(ISNUMBER(G179), (G179 - $B179) / $B179, "")</f>
        <v>-1.7167381974248927E-2</v>
      </c>
      <c r="I179" s="100">
        <f>IF(ISNUMBER(G179), $B199 * H179, "")</f>
        <v>-2575.1072961373388</v>
      </c>
      <c r="J179" s="13">
        <v>1155</v>
      </c>
      <c r="K179" s="14">
        <f>IF(ISNUMBER(J179), (J179 - $B179) / $B179, "")</f>
        <v>-8.5836909871244635E-3</v>
      </c>
      <c r="L179" s="16">
        <f>IF(ISNUMBER(J179), $B199 * K179, "")</f>
        <v>-1287.5536480686694</v>
      </c>
      <c r="M179" s="29">
        <v>1145</v>
      </c>
      <c r="N179" s="14">
        <f>IF(ISNUMBER(M179), (M179 - $B179) / $B179, "")</f>
        <v>-1.7167381974248927E-2</v>
      </c>
      <c r="O179" s="16">
        <f>IF(ISNUMBER(M179), $B199 * N179, "")</f>
        <v>-2575.1072961373388</v>
      </c>
      <c r="Q179" s="191"/>
      <c r="R179" s="191"/>
      <c r="S179" s="191"/>
    </row>
    <row r="180" spans="1:19" ht="17.25" thickBot="1">
      <c r="A180" s="125" t="s">
        <v>107</v>
      </c>
      <c r="B180" s="126">
        <v>110</v>
      </c>
      <c r="C180" s="77">
        <v>-1.7857142900000001E-2</v>
      </c>
      <c r="D180" s="15">
        <v>108</v>
      </c>
      <c r="E180" s="32">
        <f t="shared" ref="E180:E183" si="94">IF(ISNUMBER(D180), (D180 - $B180) / $B180, "")</f>
        <v>-1.8181818181818181E-2</v>
      </c>
      <c r="F180" s="18">
        <f>IF(ISNUMBER(D180), $B199 * E180, "")</f>
        <v>-2727.272727272727</v>
      </c>
      <c r="G180" s="31">
        <v>108</v>
      </c>
      <c r="H180" s="32">
        <f t="shared" ref="H180:H183" si="95">IF(ISNUMBER(G180), (G180 - $B180) / $B180, "")</f>
        <v>-1.8181818181818181E-2</v>
      </c>
      <c r="I180" s="101">
        <f>IF(ISNUMBER(G180), $B199 * H180, "")</f>
        <v>-2727.272727272727</v>
      </c>
      <c r="J180" s="15">
        <v>108</v>
      </c>
      <c r="K180" s="32">
        <f t="shared" ref="K180:K183" si="96">IF(ISNUMBER(J180), (J180 - $B180) / $B180, "")</f>
        <v>-1.8181818181818181E-2</v>
      </c>
      <c r="L180" s="18">
        <f>IF(ISNUMBER(J180), $B199 * K180, "")</f>
        <v>-2727.272727272727</v>
      </c>
      <c r="M180" s="31">
        <v>110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1"/>
      <c r="R180" s="191"/>
      <c r="S180" s="191"/>
    </row>
    <row r="181" spans="1:19" ht="17.25" thickBot="1">
      <c r="A181" s="125" t="s">
        <v>221</v>
      </c>
      <c r="B181" s="126">
        <v>967</v>
      </c>
      <c r="C181" s="77">
        <v>-1.8274111700000002E-2</v>
      </c>
      <c r="D181" s="15">
        <v>943</v>
      </c>
      <c r="E181" s="32">
        <f t="shared" si="94"/>
        <v>-2.481902792140641E-2</v>
      </c>
      <c r="F181" s="18">
        <f>IF(ISNUMBER(D181), $B199 * E181, "")</f>
        <v>-3722.8541882109616</v>
      </c>
      <c r="G181" s="31">
        <v>953</v>
      </c>
      <c r="H181" s="32">
        <f t="shared" si="95"/>
        <v>-1.4477766287487074E-2</v>
      </c>
      <c r="I181" s="101">
        <f>IF(ISNUMBER(G181), $B199 * H181, "")</f>
        <v>-2171.6649431230612</v>
      </c>
      <c r="J181" s="15">
        <v>956</v>
      </c>
      <c r="K181" s="32">
        <f t="shared" si="96"/>
        <v>-1.1375387797311272E-2</v>
      </c>
      <c r="L181" s="18">
        <f>IF(ISNUMBER(J181), $B199 * K181, "")</f>
        <v>-1706.3081695966907</v>
      </c>
      <c r="M181" s="31">
        <v>957</v>
      </c>
      <c r="N181" s="32">
        <f t="shared" si="97"/>
        <v>-1.0341261633919338E-2</v>
      </c>
      <c r="O181" s="18">
        <f>IF(ISNUMBER(M181), $B199 * N181, "")</f>
        <v>-1551.1892450879006</v>
      </c>
      <c r="Q181" s="196"/>
      <c r="R181" s="196"/>
      <c r="S181" s="196"/>
    </row>
    <row r="182" spans="1:19" ht="17.25" thickBot="1">
      <c r="A182" s="125" t="s">
        <v>158</v>
      </c>
      <c r="B182" s="126">
        <v>69.599999999999994</v>
      </c>
      <c r="C182" s="77">
        <v>-1.8335684099999999E-2</v>
      </c>
      <c r="D182" s="15">
        <v>68</v>
      </c>
      <c r="E182" s="32">
        <f t="shared" si="94"/>
        <v>-2.2988505747126357E-2</v>
      </c>
      <c r="F182" s="18">
        <f>IF(ISNUMBER(D182), $B199 * E182, "")</f>
        <v>-3448.2758620689533</v>
      </c>
      <c r="G182" s="31">
        <v>68.2</v>
      </c>
      <c r="H182" s="32">
        <f t="shared" si="95"/>
        <v>-2.011494252873551E-2</v>
      </c>
      <c r="I182" s="101">
        <f>IF(ISNUMBER(G182), $B199 * H182, "")</f>
        <v>-3017.2413793103265</v>
      </c>
      <c r="J182" s="15">
        <v>68.900000000000006</v>
      </c>
      <c r="K182" s="32">
        <f t="shared" si="96"/>
        <v>-1.0057471264367653E-2</v>
      </c>
      <c r="L182" s="18">
        <f>IF(ISNUMBER(J182), $B199 * K182, "")</f>
        <v>-1508.620689655148</v>
      </c>
      <c r="M182" s="31">
        <v>68.8</v>
      </c>
      <c r="N182" s="32">
        <f t="shared" si="97"/>
        <v>-1.1494252873563178E-2</v>
      </c>
      <c r="O182" s="18">
        <f>IF(ISNUMBER(M182), $B199 * N182, "")</f>
        <v>-1724.1379310344767</v>
      </c>
      <c r="Q182" s="196"/>
      <c r="R182" s="196"/>
      <c r="S182" s="196"/>
    </row>
    <row r="183" spans="1:19" ht="17.25" thickBot="1">
      <c r="A183" s="127" t="s">
        <v>185</v>
      </c>
      <c r="B183" s="128">
        <v>10.7</v>
      </c>
      <c r="C183" s="78">
        <v>-1.83486239E-2</v>
      </c>
      <c r="D183" s="20">
        <v>10.6</v>
      </c>
      <c r="E183" s="21">
        <f t="shared" si="94"/>
        <v>-9.3457943925233326E-3</v>
      </c>
      <c r="F183" s="22">
        <f>IF(ISNUMBER(D183), $B199 * E183, "")</f>
        <v>-1401.8691588784998</v>
      </c>
      <c r="G183" s="30">
        <v>10.6</v>
      </c>
      <c r="H183" s="21">
        <f t="shared" si="95"/>
        <v>-9.3457943925233326E-3</v>
      </c>
      <c r="I183" s="105">
        <f>IF(ISNUMBER(G183), $B199 * H183, "")</f>
        <v>-1401.8691588784998</v>
      </c>
      <c r="J183" s="20">
        <v>10.5</v>
      </c>
      <c r="K183" s="21">
        <f t="shared" si="96"/>
        <v>-1.8691588785046665E-2</v>
      </c>
      <c r="L183" s="22">
        <f>IF(ISNUMBER(J183), $B199 * K183, "")</f>
        <v>-2803.7383177569995</v>
      </c>
      <c r="M183" s="30">
        <v>10.6</v>
      </c>
      <c r="N183" s="21">
        <f t="shared" si="97"/>
        <v>-9.3457943925233326E-3</v>
      </c>
      <c r="O183" s="22">
        <f>IF(ISNUMBER(M183), $B199 * N183, "")</f>
        <v>-1401.8691588784998</v>
      </c>
      <c r="Q183" s="196"/>
      <c r="R183" s="196"/>
      <c r="S183" s="196"/>
    </row>
    <row r="184" spans="1:19" ht="17.25" thickBot="1">
      <c r="A184" s="125" t="s">
        <v>343</v>
      </c>
      <c r="B184" s="129">
        <v>6605</v>
      </c>
      <c r="C184" s="80">
        <v>-1.8573551300000001E-2</v>
      </c>
      <c r="D184" s="106">
        <v>6465</v>
      </c>
      <c r="E184" s="107">
        <f>IF(ISNUMBER(D184), (D184 - $B184) / $B184, "")</f>
        <v>-2.1196063588190765E-2</v>
      </c>
      <c r="F184" s="108">
        <f>IF(ISNUMBER(D184), $B199 * E184, "")</f>
        <v>-3179.4095382286146</v>
      </c>
      <c r="G184" s="109">
        <v>6480</v>
      </c>
      <c r="H184" s="107">
        <f>IF(ISNUMBER(G184), (G184 - $B184) / $B184, "")</f>
        <v>-1.8925056775170326E-2</v>
      </c>
      <c r="I184" s="110">
        <f>IF(ISNUMBER(G184), $B199 * H184, "")</f>
        <v>-2838.758516275549</v>
      </c>
      <c r="J184" s="106">
        <v>6510</v>
      </c>
      <c r="K184" s="107">
        <f>IF(ISNUMBER(J184), (J184 - $B184) / $B184, "")</f>
        <v>-1.4383043149129448E-2</v>
      </c>
      <c r="L184" s="108">
        <f>IF(ISNUMBER(J184), $B199 * K184, "")</f>
        <v>-2157.456472369417</v>
      </c>
      <c r="M184" s="109">
        <v>6485</v>
      </c>
      <c r="N184" s="107">
        <f>IF(ISNUMBER(M184), (M184 - $B184) / $B184, "")</f>
        <v>-1.8168054504163512E-2</v>
      </c>
      <c r="O184" s="108">
        <f>IF(ISNUMBER(M184), $B199 * N184, "")</f>
        <v>-2725.208175624527</v>
      </c>
      <c r="Q184" s="196"/>
      <c r="R184" s="196"/>
      <c r="S184" s="196"/>
    </row>
    <row r="185" spans="1:19" ht="17.25" thickBot="1">
      <c r="A185" s="125" t="s">
        <v>164</v>
      </c>
      <c r="B185" s="126">
        <v>1525</v>
      </c>
      <c r="C185" s="77">
        <v>-1.9292604500000001E-2</v>
      </c>
      <c r="D185" s="15">
        <v>1505</v>
      </c>
      <c r="E185" s="32">
        <f t="shared" ref="E185:E188" si="98">IF(ISNUMBER(D185), (D185 - $B185) / $B185, "")</f>
        <v>-1.3114754098360656E-2</v>
      </c>
      <c r="F185" s="18">
        <f>IF(ISNUMBER(D185), $B199 * E185, "")</f>
        <v>-1967.2131147540983</v>
      </c>
      <c r="G185" s="31">
        <v>1520</v>
      </c>
      <c r="H185" s="32">
        <f t="shared" ref="H185:H188" si="99">IF(ISNUMBER(G185), (G185 - $B185) / $B185, "")</f>
        <v>-3.2786885245901639E-3</v>
      </c>
      <c r="I185" s="101">
        <f>IF(ISNUMBER(G185), $B199 * H185, "")</f>
        <v>-491.80327868852459</v>
      </c>
      <c r="J185" s="15">
        <v>1525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1520</v>
      </c>
      <c r="N185" s="32">
        <f t="shared" ref="N185:N188" si="101">IF(ISNUMBER(M185), (M185 - $B185) / $B185, "")</f>
        <v>-3.2786885245901639E-3</v>
      </c>
      <c r="O185" s="18">
        <f>IF(ISNUMBER(M185), $B199 * N185, "")</f>
        <v>-491.80327868852459</v>
      </c>
      <c r="Q185" s="196"/>
      <c r="R185" s="196"/>
      <c r="S185" s="196"/>
    </row>
    <row r="186" spans="1:19" ht="17.25" thickBot="1">
      <c r="A186" s="125" t="s">
        <v>223</v>
      </c>
      <c r="B186" s="126">
        <v>990</v>
      </c>
      <c r="C186" s="77">
        <v>-1.9801980199999999E-2</v>
      </c>
      <c r="D186" s="15">
        <v>964</v>
      </c>
      <c r="E186" s="32">
        <f t="shared" si="98"/>
        <v>-2.6262626262626262E-2</v>
      </c>
      <c r="F186" s="18">
        <f>IF(ISNUMBER(D186), $B199 * E186, "")</f>
        <v>-3939.393939393939</v>
      </c>
      <c r="G186" s="31">
        <v>974</v>
      </c>
      <c r="H186" s="32">
        <f t="shared" si="99"/>
        <v>-1.6161616161616162E-2</v>
      </c>
      <c r="I186" s="101">
        <f>IF(ISNUMBER(G186), $B199 * H186, "")</f>
        <v>-2424.242424242424</v>
      </c>
      <c r="J186" s="15">
        <v>978</v>
      </c>
      <c r="K186" s="32">
        <f t="shared" si="100"/>
        <v>-1.2121212121212121E-2</v>
      </c>
      <c r="L186" s="18">
        <f>IF(ISNUMBER(J186), $B199 * K186, "")</f>
        <v>-1818.1818181818182</v>
      </c>
      <c r="M186" s="31">
        <v>973</v>
      </c>
      <c r="N186" s="32">
        <f t="shared" si="101"/>
        <v>-1.7171717171717171E-2</v>
      </c>
      <c r="O186" s="18">
        <f>IF(ISNUMBER(M186), $B199 * N186, "")</f>
        <v>-2575.7575757575755</v>
      </c>
      <c r="Q186" s="196"/>
      <c r="R186" s="196"/>
      <c r="S186" s="196"/>
    </row>
    <row r="187" spans="1:19" ht="17.25" thickBot="1">
      <c r="A187" s="125" t="s">
        <v>189</v>
      </c>
      <c r="B187" s="126">
        <v>92.2</v>
      </c>
      <c r="C187" s="77">
        <v>-2.22693531E-2</v>
      </c>
      <c r="D187" s="15">
        <v>90.4</v>
      </c>
      <c r="E187" s="32">
        <f t="shared" si="98"/>
        <v>-1.9522776572668082E-2</v>
      </c>
      <c r="F187" s="18">
        <f>IF(ISNUMBER(D187), $B199 * E187, "")</f>
        <v>-2928.4164859002121</v>
      </c>
      <c r="G187" s="31">
        <v>90.6</v>
      </c>
      <c r="H187" s="32">
        <f t="shared" si="99"/>
        <v>-1.735357917570508E-2</v>
      </c>
      <c r="I187" s="101">
        <f>IF(ISNUMBER(G187), $B199 * H187, "")</f>
        <v>-2603.0368763557622</v>
      </c>
      <c r="J187" s="15">
        <v>90.5</v>
      </c>
      <c r="K187" s="32">
        <f t="shared" si="100"/>
        <v>-1.8438177874186581E-2</v>
      </c>
      <c r="L187" s="18">
        <f>IF(ISNUMBER(J187), $B199 * K187, "")</f>
        <v>-2765.7266811279869</v>
      </c>
      <c r="M187" s="31">
        <v>90.5</v>
      </c>
      <c r="N187" s="32">
        <f t="shared" si="101"/>
        <v>-1.8438177874186581E-2</v>
      </c>
      <c r="O187" s="18">
        <f>IF(ISNUMBER(M187), $B199 * N187, "")</f>
        <v>-2765.7266811279869</v>
      </c>
      <c r="Q187" s="33"/>
      <c r="R187" s="33"/>
    </row>
    <row r="188" spans="1:19" ht="17.25" thickBot="1">
      <c r="A188" s="130" t="s">
        <v>178</v>
      </c>
      <c r="B188" s="131">
        <v>48060</v>
      </c>
      <c r="C188" s="79">
        <v>-2.2574740699999998E-2</v>
      </c>
      <c r="D188" s="24">
        <v>47450</v>
      </c>
      <c r="E188" s="25">
        <f t="shared" si="98"/>
        <v>-1.2692467748647523E-2</v>
      </c>
      <c r="F188" s="104">
        <f>IF(ISNUMBER(D188), $B199 * E188, "")</f>
        <v>-1903.8701622971284</v>
      </c>
      <c r="G188" s="102">
        <v>46790</v>
      </c>
      <c r="H188" s="25">
        <f t="shared" si="99"/>
        <v>-2.6425301706200582E-2</v>
      </c>
      <c r="I188" s="103">
        <f>IF(ISNUMBER(G188), $B199 * H188, "")</f>
        <v>-3963.7952559300875</v>
      </c>
      <c r="J188" s="24">
        <v>47170</v>
      </c>
      <c r="K188" s="25">
        <f t="shared" si="100"/>
        <v>-1.8518518518518517E-2</v>
      </c>
      <c r="L188" s="104">
        <f>IF(ISNUMBER(J188), $B199 * K188, "")</f>
        <v>-2777.7777777777778</v>
      </c>
      <c r="M188" s="102">
        <v>47040</v>
      </c>
      <c r="N188" s="25">
        <f t="shared" si="101"/>
        <v>-2.1223470661672909E-2</v>
      </c>
      <c r="O188" s="104">
        <f>IF(ISNUMBER(M188), $B199 * N188, "")</f>
        <v>-3183.5205992509364</v>
      </c>
      <c r="Q188" s="205"/>
      <c r="R188" s="206"/>
      <c r="S188" s="207"/>
    </row>
    <row r="189" spans="1:19">
      <c r="A189" s="123" t="s">
        <v>160</v>
      </c>
      <c r="B189" s="124">
        <v>420</v>
      </c>
      <c r="C189" s="76">
        <v>-2.3255814E-2</v>
      </c>
      <c r="D189" s="13">
        <v>413</v>
      </c>
      <c r="E189" s="14">
        <f>IF(ISNUMBER(D189), (D189 - $B189) / $B189, "")</f>
        <v>-1.6666666666666666E-2</v>
      </c>
      <c r="F189" s="16">
        <f>IF(ISNUMBER(D189), $B199 * E189, "")</f>
        <v>-2500</v>
      </c>
      <c r="G189" s="29">
        <v>413</v>
      </c>
      <c r="H189" s="14">
        <f>IF(ISNUMBER(G189), (G189 - $B189) / $B189, "")</f>
        <v>-1.6666666666666666E-2</v>
      </c>
      <c r="I189" s="100">
        <f>IF(ISNUMBER(G189), $B199 * H189, "")</f>
        <v>-2500</v>
      </c>
      <c r="J189" s="13">
        <v>414</v>
      </c>
      <c r="K189" s="14">
        <f>IF(ISNUMBER(J189), (J189 - $B189) / $B189, "")</f>
        <v>-1.4285714285714285E-2</v>
      </c>
      <c r="L189" s="16">
        <f>IF(ISNUMBER(J189), $B199 * K189, "")</f>
        <v>-2142.8571428571427</v>
      </c>
      <c r="M189" s="29">
        <v>413</v>
      </c>
      <c r="N189" s="14">
        <f>IF(ISNUMBER(M189), (M189 - $B189) / $B189, "")</f>
        <v>-1.6666666666666666E-2</v>
      </c>
      <c r="O189" s="16">
        <f>IF(ISNUMBER(M189), $B199 * N189, "")</f>
        <v>-2500</v>
      </c>
      <c r="Q189" s="208"/>
      <c r="R189" s="209"/>
      <c r="S189" s="210"/>
    </row>
    <row r="190" spans="1:19" ht="17.25" thickBot="1">
      <c r="A190" s="125" t="s">
        <v>219</v>
      </c>
      <c r="B190" s="126">
        <v>2905</v>
      </c>
      <c r="C190" s="77">
        <v>-2.35294118E-2</v>
      </c>
      <c r="D190" s="15">
        <v>2855</v>
      </c>
      <c r="E190" s="32">
        <f t="shared" ref="E190:E193" si="102">IF(ISNUMBER(D190), (D190 - $B190) / $B190, "")</f>
        <v>-1.7211703958691909E-2</v>
      </c>
      <c r="F190" s="18">
        <f>IF(ISNUMBER(D190), $B199 * E190, "")</f>
        <v>-2581.7555938037863</v>
      </c>
      <c r="G190" s="31">
        <v>2860</v>
      </c>
      <c r="H190" s="32">
        <f t="shared" ref="H190:H193" si="103">IF(ISNUMBER(G190), (G190 - $B190) / $B190, "")</f>
        <v>-1.549053356282272E-2</v>
      </c>
      <c r="I190" s="101">
        <f>IF(ISNUMBER(G190), $B199 * H190, "")</f>
        <v>-2323.5800344234081</v>
      </c>
      <c r="J190" s="15">
        <v>2875</v>
      </c>
      <c r="K190" s="32">
        <f t="shared" ref="K190:K193" si="104">IF(ISNUMBER(J190), (J190 - $B190) / $B190, "")</f>
        <v>-1.0327022375215147E-2</v>
      </c>
      <c r="L190" s="18">
        <f>IF(ISNUMBER(J190), $B199 * K190, "")</f>
        <v>-1549.053356282272</v>
      </c>
      <c r="M190" s="31">
        <v>2875</v>
      </c>
      <c r="N190" s="32">
        <f t="shared" ref="N190:N193" si="105">IF(ISNUMBER(M190), (M190 - $B190) / $B190, "")</f>
        <v>-1.0327022375215147E-2</v>
      </c>
      <c r="O190" s="18">
        <f>IF(ISNUMBER(M190), $B199 * N190, "")</f>
        <v>-1549.053356282272</v>
      </c>
      <c r="Q190" s="211"/>
      <c r="R190" s="212"/>
      <c r="S190" s="213"/>
    </row>
    <row r="191" spans="1:19" ht="17.25" thickBot="1">
      <c r="A191" s="125" t="s">
        <v>180</v>
      </c>
      <c r="B191" s="126">
        <v>954</v>
      </c>
      <c r="C191" s="77">
        <v>-2.4539877299999999E-2</v>
      </c>
      <c r="D191" s="15">
        <v>931</v>
      </c>
      <c r="E191" s="32">
        <f t="shared" si="102"/>
        <v>-2.4109014675052411E-2</v>
      </c>
      <c r="F191" s="18">
        <f>IF(ISNUMBER(D191), $B199 * E191, "")</f>
        <v>-3616.3522012578619</v>
      </c>
      <c r="G191" s="31">
        <v>936</v>
      </c>
      <c r="H191" s="32">
        <f t="shared" si="103"/>
        <v>-1.8867924528301886E-2</v>
      </c>
      <c r="I191" s="101">
        <f>IF(ISNUMBER(G191), $B199 * H191, "")</f>
        <v>-2830.1886792452829</v>
      </c>
      <c r="J191" s="15">
        <v>940</v>
      </c>
      <c r="K191" s="32">
        <f t="shared" si="104"/>
        <v>-1.4675052410901468E-2</v>
      </c>
      <c r="L191" s="18">
        <f>IF(ISNUMBER(J191), $B199 * K191, "")</f>
        <v>-2201.2578616352203</v>
      </c>
      <c r="M191" s="31">
        <v>937</v>
      </c>
      <c r="N191" s="32">
        <f t="shared" si="105"/>
        <v>-1.781970649895178E-2</v>
      </c>
      <c r="O191" s="18">
        <f>IF(ISNUMBER(M191), $B199 * N191, "")</f>
        <v>-2672.9559748427669</v>
      </c>
      <c r="Q191" s="196"/>
      <c r="R191" s="196"/>
      <c r="S191" s="196"/>
    </row>
    <row r="192" spans="1:19" ht="17.25" thickBot="1">
      <c r="A192" s="125" t="s">
        <v>170</v>
      </c>
      <c r="B192" s="126">
        <v>681</v>
      </c>
      <c r="C192" s="77">
        <v>-2.5751072999999999E-2</v>
      </c>
      <c r="D192" s="15">
        <v>669</v>
      </c>
      <c r="E192" s="32">
        <f t="shared" si="102"/>
        <v>-1.7621145374449341E-2</v>
      </c>
      <c r="F192" s="18">
        <f>IF(ISNUMBER(D192), $B199 * E192, "")</f>
        <v>-2643.171806167401</v>
      </c>
      <c r="G192" s="31">
        <v>673</v>
      </c>
      <c r="H192" s="32">
        <f t="shared" si="103"/>
        <v>-1.1747430249632892E-2</v>
      </c>
      <c r="I192" s="101">
        <f>IF(ISNUMBER(G192), $B199 * H192, "")</f>
        <v>-1762.1145374449338</v>
      </c>
      <c r="J192" s="15">
        <v>684</v>
      </c>
      <c r="K192" s="32">
        <f t="shared" si="104"/>
        <v>4.4052863436123352E-3</v>
      </c>
      <c r="L192" s="18">
        <f>IF(ISNUMBER(J192), $B199 * K192, "")</f>
        <v>660.79295154185024</v>
      </c>
      <c r="M192" s="31">
        <v>679</v>
      </c>
      <c r="N192" s="32">
        <f t="shared" si="105"/>
        <v>-2.936857562408223E-3</v>
      </c>
      <c r="O192" s="18">
        <f>IF(ISNUMBER(M192), $B199 * N192, "")</f>
        <v>-440.52863436123346</v>
      </c>
      <c r="Q192" s="191"/>
      <c r="R192" s="191"/>
      <c r="S192" s="191"/>
    </row>
    <row r="193" spans="1:19" ht="17.25" thickBot="1">
      <c r="A193" s="127" t="s">
        <v>245</v>
      </c>
      <c r="B193" s="128">
        <v>60.5</v>
      </c>
      <c r="C193" s="78">
        <v>-2.57648953E-2</v>
      </c>
      <c r="D193" s="20">
        <v>59.3</v>
      </c>
      <c r="E193" s="21">
        <f t="shared" si="102"/>
        <v>-1.9834710743801699E-2</v>
      </c>
      <c r="F193" s="22">
        <f>IF(ISNUMBER(D193), $B199 * E193, "")</f>
        <v>-2975.2066115702551</v>
      </c>
      <c r="G193" s="30">
        <v>59.5</v>
      </c>
      <c r="H193" s="21">
        <f t="shared" si="103"/>
        <v>-1.6528925619834711E-2</v>
      </c>
      <c r="I193" s="105">
        <f>IF(ISNUMBER(G193), $B199 * H193, "")</f>
        <v>-2479.3388429752067</v>
      </c>
      <c r="J193" s="20">
        <v>59.7</v>
      </c>
      <c r="K193" s="21">
        <f t="shared" si="104"/>
        <v>-1.3223140495867721E-2</v>
      </c>
      <c r="L193" s="22">
        <f>IF(ISNUMBER(J193), $B199 * K193, "")</f>
        <v>-1983.4710743801581</v>
      </c>
      <c r="M193" s="30">
        <v>59.6</v>
      </c>
      <c r="N193" s="21">
        <f t="shared" si="105"/>
        <v>-1.4876033057851215E-2</v>
      </c>
      <c r="O193" s="22">
        <f>IF(ISNUMBER(M193), $B199 * N193, "")</f>
        <v>-2231.4049586776823</v>
      </c>
      <c r="Q193" s="191"/>
      <c r="R193" s="191"/>
      <c r="S193" s="191"/>
    </row>
    <row r="194" spans="1:19" ht="17.25" thickBot="1">
      <c r="A194" s="125" t="s">
        <v>337</v>
      </c>
      <c r="B194" s="129">
        <v>13970</v>
      </c>
      <c r="C194" s="80">
        <v>-2.5801952600000001E-2</v>
      </c>
      <c r="D194" s="106">
        <v>13490</v>
      </c>
      <c r="E194" s="107">
        <f>IF(ISNUMBER(D194), (D194 - $B194) / $B194, "")</f>
        <v>-3.4359341445955621E-2</v>
      </c>
      <c r="F194" s="108">
        <f>IF(ISNUMBER(D194), $B199 * E194, "")</f>
        <v>-5153.9012168933432</v>
      </c>
      <c r="G194" s="109">
        <v>13790</v>
      </c>
      <c r="H194" s="107">
        <f>IF(ISNUMBER(G194), (G194 - $B194) / $B194, "")</f>
        <v>-1.2884753042233358E-2</v>
      </c>
      <c r="I194" s="110">
        <f>IF(ISNUMBER(G194), $B199 * H194, "")</f>
        <v>-1932.7129563350036</v>
      </c>
      <c r="J194" s="106">
        <v>13840</v>
      </c>
      <c r="K194" s="107">
        <f>IF(ISNUMBER(J194), (J194 - $B194) / $B194, "")</f>
        <v>-9.3056549749463129E-3</v>
      </c>
      <c r="L194" s="108">
        <f>IF(ISNUMBER(J194), $B199 * K194, "")</f>
        <v>-1395.848246241947</v>
      </c>
      <c r="M194" s="109">
        <v>13460</v>
      </c>
      <c r="N194" s="107">
        <f>IF(ISNUMBER(M194), (M194 - $B194) / $B194, "")</f>
        <v>-3.6506800286327842E-2</v>
      </c>
      <c r="O194" s="108">
        <f>IF(ISNUMBER(M194), $B199 * N194, "")</f>
        <v>-5476.0200429491761</v>
      </c>
      <c r="Q194" s="196"/>
      <c r="R194" s="196"/>
      <c r="S194" s="196"/>
    </row>
    <row r="195" spans="1:19" ht="17.25" thickBot="1">
      <c r="A195" s="125" t="s">
        <v>227</v>
      </c>
      <c r="B195" s="126">
        <v>1225</v>
      </c>
      <c r="C195" s="77">
        <v>-2.77777778E-2</v>
      </c>
      <c r="D195" s="15">
        <v>1190</v>
      </c>
      <c r="E195" s="32">
        <f t="shared" ref="E195:E198" si="106">IF(ISNUMBER(D195), (D195 - $B195) / $B195, "")</f>
        <v>-2.8571428571428571E-2</v>
      </c>
      <c r="F195" s="18">
        <f>IF(ISNUMBER(D195), $B199 * E195, "")</f>
        <v>-4285.7142857142853</v>
      </c>
      <c r="G195" s="31">
        <v>1200</v>
      </c>
      <c r="H195" s="32">
        <f t="shared" ref="H195:H198" si="107">IF(ISNUMBER(G195), (G195 - $B195) / $B195, "")</f>
        <v>-2.0408163265306121E-2</v>
      </c>
      <c r="I195" s="101">
        <f>IF(ISNUMBER(G195), $B199 * H195, "")</f>
        <v>-3061.2244897959181</v>
      </c>
      <c r="J195" s="15">
        <v>1210</v>
      </c>
      <c r="K195" s="32">
        <f t="shared" ref="K195:K198" si="108">IF(ISNUMBER(J195), (J195 - $B195) / $B195, "")</f>
        <v>-1.2244897959183673E-2</v>
      </c>
      <c r="L195" s="18">
        <f>IF(ISNUMBER(J195), $B199 * K195, "")</f>
        <v>-1836.7346938775509</v>
      </c>
      <c r="M195" s="31">
        <v>1210</v>
      </c>
      <c r="N195" s="32">
        <f t="shared" ref="N195:N198" si="109">IF(ISNUMBER(M195), (M195 - $B195) / $B195, "")</f>
        <v>-1.2244897959183673E-2</v>
      </c>
      <c r="O195" s="18">
        <f>IF(ISNUMBER(M195), $B199 * N195, "")</f>
        <v>-1836.7346938775509</v>
      </c>
      <c r="Q195" s="196"/>
      <c r="R195" s="196"/>
      <c r="S195" s="196"/>
    </row>
    <row r="196" spans="1:19" ht="17.25" thickBot="1">
      <c r="A196" s="125" t="s">
        <v>132</v>
      </c>
      <c r="B196" s="126">
        <v>3020</v>
      </c>
      <c r="C196" s="77">
        <v>-2.8938906800000001E-2</v>
      </c>
      <c r="D196" s="15">
        <v>3035</v>
      </c>
      <c r="E196" s="32">
        <f t="shared" si="106"/>
        <v>4.9668874172185433E-3</v>
      </c>
      <c r="F196" s="18">
        <f>IF(ISNUMBER(D196), $B199 * E196, "")</f>
        <v>745.03311258278154</v>
      </c>
      <c r="G196" s="31">
        <v>3060</v>
      </c>
      <c r="H196" s="32">
        <f t="shared" si="107"/>
        <v>1.3245033112582781E-2</v>
      </c>
      <c r="I196" s="101">
        <f>IF(ISNUMBER(G196), $B199 * H196, "")</f>
        <v>1986.7549668874171</v>
      </c>
      <c r="J196" s="15">
        <v>3110</v>
      </c>
      <c r="K196" s="32">
        <f t="shared" si="108"/>
        <v>2.9801324503311258E-2</v>
      </c>
      <c r="L196" s="18">
        <f>IF(ISNUMBER(J196), $B199 * K196, "")</f>
        <v>4470.1986754966883</v>
      </c>
      <c r="M196" s="31">
        <v>3475</v>
      </c>
      <c r="N196" s="32">
        <f t="shared" si="109"/>
        <v>0.15066225165562913</v>
      </c>
      <c r="O196" s="18">
        <f>IF(ISNUMBER(M196), $B199 * N196, "")</f>
        <v>22599.337748344369</v>
      </c>
      <c r="Q196" s="196"/>
      <c r="R196" s="196"/>
      <c r="S196" s="196"/>
    </row>
    <row r="197" spans="1:19">
      <c r="A197" s="125" t="s">
        <v>237</v>
      </c>
      <c r="B197" s="126">
        <v>551</v>
      </c>
      <c r="C197" s="77">
        <v>-4.0069686399999999E-2</v>
      </c>
      <c r="D197" s="15">
        <v>531</v>
      </c>
      <c r="E197" s="32">
        <f t="shared" si="106"/>
        <v>-3.6297640653357534E-2</v>
      </c>
      <c r="F197" s="18">
        <f>IF(ISNUMBER(D197), $B199 * E197, "")</f>
        <v>-5444.64609800363</v>
      </c>
      <c r="G197" s="31">
        <v>533</v>
      </c>
      <c r="H197" s="32">
        <f t="shared" si="107"/>
        <v>-3.2667876588021776E-2</v>
      </c>
      <c r="I197" s="101">
        <f>IF(ISNUMBER(G197), $B199 * H197, "")</f>
        <v>-4900.1814882032668</v>
      </c>
      <c r="J197" s="15">
        <v>536</v>
      </c>
      <c r="K197" s="32">
        <f t="shared" si="108"/>
        <v>-2.7223230490018149E-2</v>
      </c>
      <c r="L197" s="18">
        <f>IF(ISNUMBER(J197), $B199 * K197, "")</f>
        <v>-4083.4845735027225</v>
      </c>
      <c r="M197" s="31">
        <v>534</v>
      </c>
      <c r="N197" s="32">
        <f t="shared" si="109"/>
        <v>-3.0852994555353903E-2</v>
      </c>
      <c r="O197" s="18">
        <f>IF(ISNUMBER(M197), $B199 * N197, "")</f>
        <v>-4627.9491833030852</v>
      </c>
      <c r="Q197" s="218"/>
      <c r="R197" s="219"/>
      <c r="S197" s="220"/>
    </row>
    <row r="198" spans="1:19" ht="17.25" thickBot="1">
      <c r="A198" s="130" t="s">
        <v>201</v>
      </c>
      <c r="B198" s="131">
        <v>550</v>
      </c>
      <c r="C198" s="79">
        <v>-4.0139616099999997E-2</v>
      </c>
      <c r="D198" s="24">
        <v>533</v>
      </c>
      <c r="E198" s="25">
        <f t="shared" si="106"/>
        <v>-3.090909090909091E-2</v>
      </c>
      <c r="F198" s="104">
        <f>IF(ISNUMBER(D198), $B199 * E198, "")</f>
        <v>-4636.3636363636369</v>
      </c>
      <c r="G198" s="102">
        <v>540</v>
      </c>
      <c r="H198" s="25">
        <f t="shared" si="107"/>
        <v>-1.8181818181818181E-2</v>
      </c>
      <c r="I198" s="103">
        <f>IF(ISNUMBER(G198), $B199 * H198, "")</f>
        <v>-2727.272727272727</v>
      </c>
      <c r="J198" s="24">
        <v>543</v>
      </c>
      <c r="K198" s="25">
        <f t="shared" si="108"/>
        <v>-1.2727272727272728E-2</v>
      </c>
      <c r="L198" s="104">
        <f>IF(ISNUMBER(J198), $B199 * K198, "")</f>
        <v>-1909.0909090909092</v>
      </c>
      <c r="M198" s="102">
        <v>536</v>
      </c>
      <c r="N198" s="25">
        <f t="shared" si="109"/>
        <v>-2.5454545454545455E-2</v>
      </c>
      <c r="O198" s="104">
        <f>IF(ISNUMBER(M198), $B199 * N198, "")</f>
        <v>-3818.1818181818185</v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-2.0724438152800857E-2</v>
      </c>
      <c r="F199" s="28">
        <f>SUM(F179:F198)</f>
        <v>-62173.314458402558</v>
      </c>
      <c r="G199" s="26" t="s">
        <v>266</v>
      </c>
      <c r="H199" s="27">
        <f>IF(COUNT(H179:H198), SUM(H179:H198) / COUNT(H179:H198), 0)</f>
        <v>-1.5581550215007544E-2</v>
      </c>
      <c r="I199" s="28">
        <f>SUM(I179:I198)</f>
        <v>-46744.650645022637</v>
      </c>
      <c r="J199" s="26" t="s">
        <v>266</v>
      </c>
      <c r="K199" s="27">
        <f>IF(COUNT(K179:K198), SUM(K179:K198) / COUNT(K179:K198), 0)</f>
        <v>-1.0507814177545542E-2</v>
      </c>
      <c r="L199" s="28">
        <f>SUM(L179:L198)</f>
        <v>-31523.442532636614</v>
      </c>
      <c r="M199" s="26" t="s">
        <v>266</v>
      </c>
      <c r="N199" s="27">
        <f>IF(COUNT(N179:N198), SUM(N179:N198) / COUNT(N179:N198), 0)</f>
        <v>-7.1826036185729959E-3</v>
      </c>
      <c r="O199" s="28">
        <f>SUM(O179:O198)</f>
        <v>-21547.810855718988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F2702-EA54-4C0E-A54C-8104B04C751C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44623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-90,457 KRW (-3.02%)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-42,686 KRW (-1.42%)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-78,873 KRW (-2.63%)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-25,707 KRW (-0.86%)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2022-03-03(목) 오전 00:00</v>
      </c>
      <c r="C15" s="237"/>
      <c r="D15" s="193" t="str">
        <f>TEXT($G$1, "[$-ko-KR]yyyy-mm-dd(ddd) ") &amp; "오후 14:00"</f>
        <v>2022-03-03(목) 오후 14:00</v>
      </c>
      <c r="E15" s="194"/>
      <c r="F15" s="195"/>
      <c r="G15" s="193" t="str">
        <f>TEXT($G$1, "[$-ko-KR]yyyy-mm-dd(ddd) ") &amp; "오후 19:00"</f>
        <v>2022-03-03(목) 오후 19:00</v>
      </c>
      <c r="H15" s="194"/>
      <c r="I15" s="195"/>
      <c r="J15" s="193" t="str">
        <f>TEXT($G$1, "[$-ko-KR]yyyy-mm-dd(ddd) ") &amp; "오후 21:00"</f>
        <v>2022-03-03(목) 오후 21:00</v>
      </c>
      <c r="K15" s="194"/>
      <c r="L15" s="195"/>
      <c r="M15" s="193" t="str">
        <f>TEXT($G$1+1, "[$-ko-KR]yyyy-mm-dd(ddd) ") &amp; "오전 00:00"</f>
        <v>2022-03-04(금)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2022-03-03(목) 오전 00:00</v>
      </c>
      <c r="C42" s="234"/>
      <c r="D42" s="193" t="str">
        <f>TEXT($G$1, "[$-ko-KR]yyyy-mm-dd(ddd) ") &amp; "오후 14:00"</f>
        <v>2022-03-03(목) 오후 14:00</v>
      </c>
      <c r="E42" s="194"/>
      <c r="F42" s="195"/>
      <c r="G42" s="193" t="str">
        <f>TEXT($G$1, "[$-ko-KR]yyyy-mm-dd(ddd) ") &amp; "오후 19:00"</f>
        <v>2022-03-03(목) 오후 19:00</v>
      </c>
      <c r="H42" s="194"/>
      <c r="I42" s="195"/>
      <c r="J42" s="193" t="str">
        <f>TEXT($G$1, "[$-ko-KR]yyyy-mm-dd(ddd) ") &amp; "오후 21:00"</f>
        <v>2022-03-03(목) 오후 21:00</v>
      </c>
      <c r="K42" s="194"/>
      <c r="L42" s="195"/>
      <c r="M42" s="193" t="str">
        <f>TEXT($G$1+1, "[$-ko-KR]yyyy-mm-dd(ddd) ") &amp; "오전 00:00"</f>
        <v>2022-03-04(금)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71</v>
      </c>
      <c r="B44" s="124">
        <v>20.399999999999999</v>
      </c>
      <c r="C44" s="76">
        <v>1.49253731E-2</v>
      </c>
      <c r="D44" s="13">
        <v>19.8</v>
      </c>
      <c r="E44" s="14">
        <f>IF(ISNUMBER(D44), (D44 - $B44) / $B44, "")</f>
        <v>-2.9411764705882252E-2</v>
      </c>
      <c r="F44" s="16">
        <f>IF(ISNUMBER(D44), $B64 * E44, "")</f>
        <v>-4411.7647058823377</v>
      </c>
      <c r="G44" s="29">
        <v>19.8</v>
      </c>
      <c r="H44" s="14">
        <f>IF(ISNUMBER(G44), (G44 - $B44) / $B44, "")</f>
        <v>-2.9411764705882252E-2</v>
      </c>
      <c r="I44" s="100">
        <f>IF(ISNUMBER(G44), $B64 * H44, "")</f>
        <v>-4411.7647058823377</v>
      </c>
      <c r="J44" s="13">
        <v>19.899999999999999</v>
      </c>
      <c r="K44" s="14">
        <f>IF(ISNUMBER(J44), (J44 - $B44) / $B44, "")</f>
        <v>-2.4509803921568631E-2</v>
      </c>
      <c r="L44" s="16">
        <f>IF(ISNUMBER(J44), $B64 * K44, "")</f>
        <v>-3676.4705882352946</v>
      </c>
      <c r="M44" s="29">
        <v>19.899999999999999</v>
      </c>
      <c r="N44" s="14">
        <f>IF(ISNUMBER(M44), (M44 - $B44) / $B44, "")</f>
        <v>-2.4509803921568631E-2</v>
      </c>
      <c r="O44" s="16">
        <f>IF(ISNUMBER(M44), $B64 * N44, "")</f>
        <v>-3676.4705882352946</v>
      </c>
      <c r="Q44" s="191"/>
      <c r="R44" s="191"/>
      <c r="S44" s="191"/>
    </row>
    <row r="45" spans="1:19" ht="17.25" customHeight="1" thickBot="1">
      <c r="A45" s="125" t="s">
        <v>64</v>
      </c>
      <c r="B45" s="126">
        <v>31.3</v>
      </c>
      <c r="C45" s="77">
        <v>0</v>
      </c>
      <c r="D45" s="15">
        <v>30.5</v>
      </c>
      <c r="E45" s="32">
        <f t="shared" ref="E45:E48" si="14">IF(ISNUMBER(D45), (D45 - $B45) / $B45, "")</f>
        <v>-2.5559105431309927E-2</v>
      </c>
      <c r="F45" s="18">
        <f>IF(ISNUMBER(D45), $B64 * E45, "")</f>
        <v>-3833.865814696489</v>
      </c>
      <c r="G45" s="31">
        <v>30.5</v>
      </c>
      <c r="H45" s="32">
        <f t="shared" ref="H45:H48" si="15">IF(ISNUMBER(G45), (G45 - $B45) / $B45, "")</f>
        <v>-2.5559105431309927E-2</v>
      </c>
      <c r="I45" s="101">
        <f>IF(ISNUMBER(G45), $B64 * H45, "")</f>
        <v>-3833.865814696489</v>
      </c>
      <c r="J45" s="15">
        <v>30.6</v>
      </c>
      <c r="K45" s="32">
        <f t="shared" ref="K45:K48" si="16">IF(ISNUMBER(J45), (J45 - $B45) / $B45, "")</f>
        <v>-2.2364217252396144E-2</v>
      </c>
      <c r="L45" s="18">
        <f>IF(ISNUMBER(J45), $B64 * K45, "")</f>
        <v>-3354.6325878594216</v>
      </c>
      <c r="M45" s="31">
        <v>30.2</v>
      </c>
      <c r="N45" s="32">
        <f t="shared" ref="N45:N48" si="17">IF(ISNUMBER(M45), (M45 - $B45) / $B45, "")</f>
        <v>-3.5143769968051165E-2</v>
      </c>
      <c r="O45" s="18">
        <f>IF(ISNUMBER(M45), $B64 * N45, "")</f>
        <v>-5271.5654952076748</v>
      </c>
      <c r="Q45" s="191"/>
      <c r="R45" s="191"/>
      <c r="S45" s="191"/>
    </row>
    <row r="46" spans="1:19" ht="17.25" customHeight="1" thickBot="1">
      <c r="A46" s="125" t="s">
        <v>124</v>
      </c>
      <c r="B46" s="126">
        <v>64.099999999999994</v>
      </c>
      <c r="C46" s="77">
        <v>0</v>
      </c>
      <c r="D46" s="15">
        <v>64.2</v>
      </c>
      <c r="E46" s="32">
        <f t="shared" si="14"/>
        <v>1.560062402496233E-3</v>
      </c>
      <c r="F46" s="18">
        <f>IF(ISNUMBER(D46), $B64 * E46, "")</f>
        <v>234.00936037443495</v>
      </c>
      <c r="G46" s="31">
        <v>67.599999999999994</v>
      </c>
      <c r="H46" s="32">
        <f t="shared" si="15"/>
        <v>5.4602184087363496E-2</v>
      </c>
      <c r="I46" s="101">
        <f>IF(ISNUMBER(G46), $B64 * H46, "")</f>
        <v>8190.3276131045241</v>
      </c>
      <c r="J46" s="15">
        <v>67.8</v>
      </c>
      <c r="K46" s="32">
        <f t="shared" si="16"/>
        <v>5.7722308892355745E-2</v>
      </c>
      <c r="L46" s="18">
        <f>IF(ISNUMBER(J46), $B64 * K46, "")</f>
        <v>8658.346333853362</v>
      </c>
      <c r="M46" s="31">
        <v>67.7</v>
      </c>
      <c r="N46" s="32">
        <f t="shared" si="17"/>
        <v>5.6162246489859735E-2</v>
      </c>
      <c r="O46" s="18">
        <f>IF(ISNUMBER(M46), $B64 * N46, "")</f>
        <v>8424.3369734789594</v>
      </c>
      <c r="Q46" s="196"/>
      <c r="R46" s="196"/>
      <c r="S46" s="196"/>
    </row>
    <row r="47" spans="1:19" ht="17.25" customHeight="1" thickBot="1">
      <c r="A47" s="125" t="s">
        <v>148</v>
      </c>
      <c r="B47" s="126">
        <v>75.2</v>
      </c>
      <c r="C47" s="77">
        <v>-2.6525199000000002E-3</v>
      </c>
      <c r="D47" s="15">
        <v>74</v>
      </c>
      <c r="E47" s="32">
        <f t="shared" si="14"/>
        <v>-1.5957446808510675E-2</v>
      </c>
      <c r="F47" s="18">
        <f>IF(ISNUMBER(D47), $B64 * E47, "")</f>
        <v>-2393.6170212766015</v>
      </c>
      <c r="G47" s="31">
        <v>74.099999999999994</v>
      </c>
      <c r="H47" s="32">
        <f t="shared" si="15"/>
        <v>-1.4627659574468198E-2</v>
      </c>
      <c r="I47" s="101">
        <f>IF(ISNUMBER(G47), $B64 * H47, "")</f>
        <v>-2194.1489361702297</v>
      </c>
      <c r="J47" s="15">
        <v>73.8</v>
      </c>
      <c r="K47" s="32">
        <f t="shared" si="16"/>
        <v>-1.861702127659582E-2</v>
      </c>
      <c r="L47" s="18">
        <f>IF(ISNUMBER(J47), $B64 * K47, "")</f>
        <v>-2792.5531914893731</v>
      </c>
      <c r="M47" s="31">
        <v>74</v>
      </c>
      <c r="N47" s="32">
        <f t="shared" si="17"/>
        <v>-1.5957446808510675E-2</v>
      </c>
      <c r="O47" s="18">
        <f>IF(ISNUMBER(M47), $B64 * N47, "")</f>
        <v>-2393.6170212766015</v>
      </c>
      <c r="Q47" s="196"/>
      <c r="R47" s="196"/>
      <c r="S47" s="196"/>
    </row>
    <row r="48" spans="1:19" ht="17.25" customHeight="1" thickBot="1">
      <c r="A48" s="127" t="s">
        <v>144</v>
      </c>
      <c r="B48" s="128">
        <v>11.6</v>
      </c>
      <c r="C48" s="78">
        <v>-1.6949152499999998E-2</v>
      </c>
      <c r="D48" s="20">
        <v>11.4</v>
      </c>
      <c r="E48" s="21">
        <f t="shared" si="14"/>
        <v>-1.7241379310344768E-2</v>
      </c>
      <c r="F48" s="22">
        <f>IF(ISNUMBER(D48), $B64 * E48, "")</f>
        <v>-2586.2068965517151</v>
      </c>
      <c r="G48" s="30">
        <v>11.5</v>
      </c>
      <c r="H48" s="21">
        <f t="shared" si="15"/>
        <v>-8.6206896551723842E-3</v>
      </c>
      <c r="I48" s="105">
        <f>IF(ISNUMBER(G48), $B64 * H48, "")</f>
        <v>-1293.1034482758575</v>
      </c>
      <c r="J48" s="20">
        <v>11.4</v>
      </c>
      <c r="K48" s="21">
        <f t="shared" si="16"/>
        <v>-1.7241379310344768E-2</v>
      </c>
      <c r="L48" s="22">
        <f>IF(ISNUMBER(J48), $B64 * K48, "")</f>
        <v>-2586.2068965517151</v>
      </c>
      <c r="M48" s="30">
        <v>11.4</v>
      </c>
      <c r="N48" s="21">
        <f t="shared" si="17"/>
        <v>-1.7241379310344768E-2</v>
      </c>
      <c r="O48" s="22">
        <f>IF(ISNUMBER(M48), $B64 * N48, "")</f>
        <v>-2586.2068965517151</v>
      </c>
      <c r="Q48" s="196"/>
      <c r="R48" s="196"/>
      <c r="S48" s="196"/>
    </row>
    <row r="49" spans="1:19" ht="17.25" customHeight="1" thickBot="1">
      <c r="A49" s="125" t="s">
        <v>126</v>
      </c>
      <c r="B49" s="129">
        <v>86.2</v>
      </c>
      <c r="C49" s="80">
        <v>-2.0454545500000001E-2</v>
      </c>
      <c r="D49" s="106">
        <v>84.8</v>
      </c>
      <c r="E49" s="107">
        <f>IF(ISNUMBER(D49), (D49 - $B49) / $B49, "")</f>
        <v>-1.6241299303944381E-2</v>
      </c>
      <c r="F49" s="108">
        <f>IF(ISNUMBER(D49), $B64 * E49, "")</f>
        <v>-2436.1948955916573</v>
      </c>
      <c r="G49" s="109">
        <v>85.6</v>
      </c>
      <c r="H49" s="107">
        <f>IF(ISNUMBER(G49), (G49 - $B49) / $B49, "")</f>
        <v>-6.9605568445476624E-3</v>
      </c>
      <c r="I49" s="110">
        <f>IF(ISNUMBER(G49), $B64 * H49, "")</f>
        <v>-1044.0835266821493</v>
      </c>
      <c r="J49" s="106">
        <v>85.5</v>
      </c>
      <c r="K49" s="107">
        <f>IF(ISNUMBER(J49), (J49 - $B49) / $B49, "")</f>
        <v>-8.1206496519721904E-3</v>
      </c>
      <c r="L49" s="108">
        <f>IF(ISNUMBER(J49), $B64 * K49, "")</f>
        <v>-1218.0974477958287</v>
      </c>
      <c r="M49" s="109">
        <v>87.7</v>
      </c>
      <c r="N49" s="107">
        <f>IF(ISNUMBER(M49), (M49 - $B49) / $B49, "")</f>
        <v>1.7401392111368909E-2</v>
      </c>
      <c r="O49" s="108">
        <f>IF(ISNUMBER(M49), $B64 * N49, "")</f>
        <v>2610.2088167053362</v>
      </c>
      <c r="Q49" s="196"/>
      <c r="R49" s="196"/>
      <c r="S49" s="196"/>
    </row>
    <row r="50" spans="1:19" ht="17.25" customHeight="1" thickBot="1">
      <c r="A50" s="125" t="s">
        <v>128</v>
      </c>
      <c r="B50" s="126">
        <v>52.5</v>
      </c>
      <c r="C50" s="77">
        <v>-2.05223881E-2</v>
      </c>
      <c r="D50" s="15">
        <v>51.5</v>
      </c>
      <c r="E50" s="32">
        <f t="shared" ref="E50:E53" si="18">IF(ISNUMBER(D50), (D50 - $B50) / $B50, "")</f>
        <v>-1.9047619047619049E-2</v>
      </c>
      <c r="F50" s="18">
        <f>IF(ISNUMBER(D50), $B64 * E50, "")</f>
        <v>-2857.1428571428573</v>
      </c>
      <c r="G50" s="31">
        <v>52.2</v>
      </c>
      <c r="H50" s="32">
        <f t="shared" ref="H50:H53" si="19">IF(ISNUMBER(G50), (G50 - $B50) / $B50, "")</f>
        <v>-5.7142857142856605E-3</v>
      </c>
      <c r="I50" s="101">
        <f>IF(ISNUMBER(G50), $B64 * H50, "")</f>
        <v>-857.14285714284904</v>
      </c>
      <c r="J50" s="15">
        <v>52.2</v>
      </c>
      <c r="K50" s="32">
        <f t="shared" ref="K50:K53" si="20">IF(ISNUMBER(J50), (J50 - $B50) / $B50, "")</f>
        <v>-5.7142857142856605E-3</v>
      </c>
      <c r="L50" s="18">
        <f>IF(ISNUMBER(J50), $B64 * K50, "")</f>
        <v>-857.14285714284904</v>
      </c>
      <c r="M50" s="31">
        <v>51.9</v>
      </c>
      <c r="N50" s="32">
        <f t="shared" ref="N50:N53" si="21">IF(ISNUMBER(M50), (M50 - $B50) / $B50, "")</f>
        <v>-1.1428571428571456E-2</v>
      </c>
      <c r="O50" s="18">
        <f>IF(ISNUMBER(M50), $B64 * N50, "")</f>
        <v>-1714.2857142857185</v>
      </c>
      <c r="Q50" s="196"/>
      <c r="R50" s="196"/>
      <c r="S50" s="196"/>
    </row>
    <row r="51" spans="1:19" ht="17.25" customHeight="1" thickBot="1">
      <c r="A51" s="125" t="s">
        <v>341</v>
      </c>
      <c r="B51" s="126">
        <v>9.3100000000000002E-2</v>
      </c>
      <c r="C51" s="77">
        <v>-2.5130890100000001E-2</v>
      </c>
      <c r="D51" s="15">
        <v>9.11E-2</v>
      </c>
      <c r="E51" s="32">
        <f t="shared" si="18"/>
        <v>-2.1482277121374883E-2</v>
      </c>
      <c r="F51" s="18">
        <f>IF(ISNUMBER(D51), $B64 * E51, "")</f>
        <v>-3222.3415682062323</v>
      </c>
      <c r="G51" s="31">
        <v>9.1999999999999998E-2</v>
      </c>
      <c r="H51" s="32">
        <f t="shared" si="19"/>
        <v>-1.1815252416756216E-2</v>
      </c>
      <c r="I51" s="101">
        <f>IF(ISNUMBER(G51), $B64 * H51, "")</f>
        <v>-1772.2878625134324</v>
      </c>
      <c r="J51" s="15">
        <v>9.2100000000000001E-2</v>
      </c>
      <c r="K51" s="32">
        <f t="shared" si="20"/>
        <v>-1.0741138560687442E-2</v>
      </c>
      <c r="L51" s="18">
        <f>IF(ISNUMBER(J51), $B64 * K51, "")</f>
        <v>-1611.1707841031161</v>
      </c>
      <c r="M51" s="31">
        <v>9.1600000000000001E-2</v>
      </c>
      <c r="N51" s="32">
        <f t="shared" si="21"/>
        <v>-1.6111707841031164E-2</v>
      </c>
      <c r="O51" s="18">
        <f>IF(ISNUMBER(M51), $B64 * N51, "")</f>
        <v>-2416.7561761546744</v>
      </c>
      <c r="Q51" s="196"/>
      <c r="R51" s="196"/>
      <c r="S51" s="196"/>
    </row>
    <row r="52" spans="1:19" ht="17.25" customHeight="1" thickBot="1">
      <c r="A52" s="125" t="s">
        <v>174</v>
      </c>
      <c r="B52" s="126">
        <v>11.1</v>
      </c>
      <c r="C52" s="77">
        <v>-2.6315789499999999E-2</v>
      </c>
      <c r="D52" s="15">
        <v>10.8</v>
      </c>
      <c r="E52" s="32">
        <f t="shared" si="18"/>
        <v>-2.7027027027026931E-2</v>
      </c>
      <c r="F52" s="18">
        <f>IF(ISNUMBER(D52), $B64 * E52, "")</f>
        <v>-4054.0540540540396</v>
      </c>
      <c r="G52" s="31">
        <v>11</v>
      </c>
      <c r="H52" s="32">
        <f t="shared" si="19"/>
        <v>-9.0090090090089777E-3</v>
      </c>
      <c r="I52" s="101">
        <f>IF(ISNUMBER(G52), $B64 * H52, "")</f>
        <v>-1351.3513513513467</v>
      </c>
      <c r="J52" s="15">
        <v>10.9</v>
      </c>
      <c r="K52" s="32">
        <f t="shared" si="20"/>
        <v>-1.8018018018017955E-2</v>
      </c>
      <c r="L52" s="18">
        <f>IF(ISNUMBER(J52), $B64 * K52, "")</f>
        <v>-2702.7027027026934</v>
      </c>
      <c r="M52" s="31">
        <v>10.9</v>
      </c>
      <c r="N52" s="32">
        <f t="shared" si="21"/>
        <v>-1.8018018018017955E-2</v>
      </c>
      <c r="O52" s="18">
        <f>IF(ISNUMBER(M52), $B64 * N52, "")</f>
        <v>-2702.7027027026934</v>
      </c>
      <c r="Q52" s="33"/>
      <c r="R52" s="33"/>
    </row>
    <row r="53" spans="1:19" ht="17.25" customHeight="1" thickBot="1">
      <c r="A53" s="130" t="s">
        <v>203</v>
      </c>
      <c r="B53" s="131">
        <v>8.0299999999999994</v>
      </c>
      <c r="C53" s="79">
        <v>-2.6666666700000001E-2</v>
      </c>
      <c r="D53" s="24">
        <v>7.79</v>
      </c>
      <c r="E53" s="25">
        <f t="shared" si="18"/>
        <v>-2.9887920298879121E-2</v>
      </c>
      <c r="F53" s="104">
        <f>IF(ISNUMBER(D53), $B64 * E53, "")</f>
        <v>-4483.188044831868</v>
      </c>
      <c r="G53" s="102">
        <v>7.93</v>
      </c>
      <c r="H53" s="25">
        <f t="shared" si="19"/>
        <v>-1.2453300124532957E-2</v>
      </c>
      <c r="I53" s="103">
        <f>IF(ISNUMBER(G53), $B64 * H53, "")</f>
        <v>-1867.9950186799435</v>
      </c>
      <c r="J53" s="24">
        <v>7.88</v>
      </c>
      <c r="K53" s="25">
        <f t="shared" si="20"/>
        <v>-1.8679950186799438E-2</v>
      </c>
      <c r="L53" s="104">
        <f>IF(ISNUMBER(J53), $B64 * K53, "")</f>
        <v>-2801.9925280199159</v>
      </c>
      <c r="M53" s="102">
        <v>7.85</v>
      </c>
      <c r="N53" s="25">
        <f t="shared" si="21"/>
        <v>-2.2415940224159367E-2</v>
      </c>
      <c r="O53" s="104">
        <f>IF(ISNUMBER(M53), $B64 * N53, "")</f>
        <v>-3362.3910336239051</v>
      </c>
      <c r="Q53" s="205"/>
      <c r="R53" s="206"/>
      <c r="S53" s="207"/>
    </row>
    <row r="54" spans="1:19" ht="17.25" customHeight="1">
      <c r="A54" s="123" t="s">
        <v>118</v>
      </c>
      <c r="B54" s="124">
        <v>18.100000000000001</v>
      </c>
      <c r="C54" s="76">
        <v>-2.68817204E-2</v>
      </c>
      <c r="D54" s="13">
        <v>17.399999999999999</v>
      </c>
      <c r="E54" s="14">
        <f>IF(ISNUMBER(D54), (D54 - $B54) / $B54, "")</f>
        <v>-3.8674033149171422E-2</v>
      </c>
      <c r="F54" s="16">
        <f>IF(ISNUMBER(D54), $B64 * E54, "")</f>
        <v>-5801.1049723757133</v>
      </c>
      <c r="G54" s="29">
        <v>17.600000000000001</v>
      </c>
      <c r="H54" s="14">
        <f>IF(ISNUMBER(G54), (G54 - $B54) / $B54, "")</f>
        <v>-2.7624309392265192E-2</v>
      </c>
      <c r="I54" s="100">
        <f>IF(ISNUMBER(G54), $B64 * H54, "")</f>
        <v>-4143.6464088397788</v>
      </c>
      <c r="J54" s="13">
        <v>17.5</v>
      </c>
      <c r="K54" s="14">
        <f>IF(ISNUMBER(J54), (J54 - $B54) / $B54, "")</f>
        <v>-3.3149171270718307E-2</v>
      </c>
      <c r="L54" s="16">
        <f>IF(ISNUMBER(J54), $B64 * K54, "")</f>
        <v>-4972.375690607746</v>
      </c>
      <c r="M54" s="29">
        <v>17.8</v>
      </c>
      <c r="N54" s="14">
        <f>IF(ISNUMBER(M54), (M54 - $B54) / $B54, "")</f>
        <v>-1.6574585635359153E-2</v>
      </c>
      <c r="O54" s="16">
        <f>IF(ISNUMBER(M54), $B64 * N54, "")</f>
        <v>-2486.187845303873</v>
      </c>
      <c r="Q54" s="208"/>
      <c r="R54" s="209"/>
      <c r="S54" s="210"/>
    </row>
    <row r="55" spans="1:19" ht="17.25" customHeight="1" thickBot="1">
      <c r="A55" s="125" t="s">
        <v>185</v>
      </c>
      <c r="B55" s="126">
        <v>10.6</v>
      </c>
      <c r="C55" s="77">
        <v>-2.7522935799999999E-2</v>
      </c>
      <c r="D55" s="15">
        <v>10.3</v>
      </c>
      <c r="E55" s="32">
        <f t="shared" ref="E55:E58" si="22">IF(ISNUMBER(D55), (D55 - $B55) / $B55, "")</f>
        <v>-2.830188679245273E-2</v>
      </c>
      <c r="F55" s="18">
        <f>IF(ISNUMBER(D55), $B64 * E55, "")</f>
        <v>-4245.28301886791</v>
      </c>
      <c r="G55" s="31">
        <v>10.3</v>
      </c>
      <c r="H55" s="32">
        <f t="shared" ref="H55:H58" si="23">IF(ISNUMBER(G55), (G55 - $B55) / $B55, "")</f>
        <v>-2.830188679245273E-2</v>
      </c>
      <c r="I55" s="101">
        <f>IF(ISNUMBER(G55), $B64 * H55, "")</f>
        <v>-4245.28301886791</v>
      </c>
      <c r="J55" s="15">
        <v>10.3</v>
      </c>
      <c r="K55" s="32">
        <f t="shared" ref="K55:K58" si="24">IF(ISNUMBER(J55), (J55 - $B55) / $B55, "")</f>
        <v>-2.830188679245273E-2</v>
      </c>
      <c r="L55" s="18">
        <f>IF(ISNUMBER(J55), $B64 * K55, "")</f>
        <v>-4245.28301886791</v>
      </c>
      <c r="M55" s="31">
        <v>10.3</v>
      </c>
      <c r="N55" s="32">
        <f t="shared" ref="N55:N58" si="25">IF(ISNUMBER(M55), (M55 - $B55) / $B55, "")</f>
        <v>-2.830188679245273E-2</v>
      </c>
      <c r="O55" s="18">
        <f>IF(ISNUMBER(M55), $B64 * N55, "")</f>
        <v>-4245.28301886791</v>
      </c>
      <c r="Q55" s="211"/>
      <c r="R55" s="212"/>
      <c r="S55" s="213"/>
    </row>
    <row r="56" spans="1:19" ht="17.25" customHeight="1" thickBot="1">
      <c r="A56" s="125" t="s">
        <v>197</v>
      </c>
      <c r="B56" s="126">
        <v>49.1</v>
      </c>
      <c r="C56" s="77">
        <v>-2.77227723E-2</v>
      </c>
      <c r="D56" s="15">
        <v>48.2</v>
      </c>
      <c r="E56" s="32">
        <f t="shared" si="22"/>
        <v>-1.8329938900203638E-2</v>
      </c>
      <c r="F56" s="18">
        <f>IF(ISNUMBER(D56), $B64 * E56, "")</f>
        <v>-2749.4908350305459</v>
      </c>
      <c r="G56" s="31">
        <v>48.2</v>
      </c>
      <c r="H56" s="32">
        <f t="shared" si="23"/>
        <v>-1.8329938900203638E-2</v>
      </c>
      <c r="I56" s="101">
        <f>IF(ISNUMBER(G56), $B64 * H56, "")</f>
        <v>-2749.4908350305459</v>
      </c>
      <c r="J56" s="15">
        <v>48.3</v>
      </c>
      <c r="K56" s="32">
        <f t="shared" si="24"/>
        <v>-1.6293279022403344E-2</v>
      </c>
      <c r="L56" s="18">
        <f>IF(ISNUMBER(J56), $B64 * K56, "")</f>
        <v>-2443.9918533605014</v>
      </c>
      <c r="M56" s="31">
        <v>48.2</v>
      </c>
      <c r="N56" s="32">
        <f t="shared" si="25"/>
        <v>-1.8329938900203638E-2</v>
      </c>
      <c r="O56" s="18">
        <f>IF(ISNUMBER(M56), $B64 * N56, "")</f>
        <v>-2749.4908350305459</v>
      </c>
      <c r="Q56" s="196"/>
      <c r="R56" s="196"/>
      <c r="S56" s="196"/>
    </row>
    <row r="57" spans="1:19" ht="17.25" customHeight="1" thickBot="1">
      <c r="A57" s="125" t="s">
        <v>146</v>
      </c>
      <c r="B57" s="126">
        <v>8.85</v>
      </c>
      <c r="C57" s="77">
        <v>-2.8540065900000001E-2</v>
      </c>
      <c r="D57" s="15">
        <v>8.65</v>
      </c>
      <c r="E57" s="32">
        <f t="shared" si="22"/>
        <v>-2.2598870056497095E-2</v>
      </c>
      <c r="F57" s="18">
        <f>IF(ISNUMBER(D57), $B64 * E57, "")</f>
        <v>-3389.8305084745643</v>
      </c>
      <c r="G57" s="31">
        <v>8.6999999999999993</v>
      </c>
      <c r="H57" s="32">
        <f t="shared" si="23"/>
        <v>-1.6949152542372923E-2</v>
      </c>
      <c r="I57" s="101">
        <f>IF(ISNUMBER(G57), $B64 * H57, "")</f>
        <v>-2542.3728813559383</v>
      </c>
      <c r="J57" s="15">
        <v>8.73</v>
      </c>
      <c r="K57" s="32">
        <f t="shared" si="24"/>
        <v>-1.3559322033898218E-2</v>
      </c>
      <c r="L57" s="18">
        <f>IF(ISNUMBER(J57), $B64 * K57, "")</f>
        <v>-2033.8983050847328</v>
      </c>
      <c r="M57" s="31">
        <v>8.6999999999999993</v>
      </c>
      <c r="N57" s="32">
        <f t="shared" si="25"/>
        <v>-1.6949152542372923E-2</v>
      </c>
      <c r="O57" s="18">
        <f>IF(ISNUMBER(M57), $B64 * N57, "")</f>
        <v>-2542.3728813559383</v>
      </c>
      <c r="Q57" s="191"/>
      <c r="R57" s="191"/>
      <c r="S57" s="191"/>
    </row>
    <row r="58" spans="1:19" ht="17.25" customHeight="1" thickBot="1">
      <c r="A58" s="127" t="s">
        <v>158</v>
      </c>
      <c r="B58" s="128">
        <v>68.8</v>
      </c>
      <c r="C58" s="78">
        <v>-2.96191819E-2</v>
      </c>
      <c r="D58" s="20">
        <v>67.900000000000006</v>
      </c>
      <c r="E58" s="21">
        <f t="shared" si="22"/>
        <v>-1.3081395348837085E-2</v>
      </c>
      <c r="F58" s="22">
        <f>IF(ISNUMBER(D58), $B64 * E58, "")</f>
        <v>-1962.2093023255627</v>
      </c>
      <c r="G58" s="30">
        <v>68.599999999999994</v>
      </c>
      <c r="H58" s="21">
        <f t="shared" si="23"/>
        <v>-2.9069767441860881E-3</v>
      </c>
      <c r="I58" s="105">
        <f>IF(ISNUMBER(G58), $B64 * H58, "")</f>
        <v>-436.04651162791322</v>
      </c>
      <c r="J58" s="20">
        <v>68.7</v>
      </c>
      <c r="K58" s="21">
        <f t="shared" si="24"/>
        <v>-1.4534883720929406E-3</v>
      </c>
      <c r="L58" s="22">
        <f>IF(ISNUMBER(J58), $B64 * K58, "")</f>
        <v>-218.02325581394109</v>
      </c>
      <c r="M58" s="30">
        <v>68.099999999999994</v>
      </c>
      <c r="N58" s="21">
        <f t="shared" si="25"/>
        <v>-1.0174418604651205E-2</v>
      </c>
      <c r="O58" s="22">
        <f>IF(ISNUMBER(M58), $B64 * N58, "")</f>
        <v>-1526.1627906976807</v>
      </c>
      <c r="Q58" s="191"/>
      <c r="R58" s="191"/>
      <c r="S58" s="191"/>
    </row>
    <row r="59" spans="1:19" ht="17.25" customHeight="1" thickBot="1">
      <c r="A59" s="125" t="s">
        <v>205</v>
      </c>
      <c r="B59" s="129">
        <v>12</v>
      </c>
      <c r="C59" s="80">
        <v>-3.2258064500000003E-2</v>
      </c>
      <c r="D59" s="106">
        <v>11.6</v>
      </c>
      <c r="E59" s="107">
        <f>IF(ISNUMBER(D59), (D59 - $B59) / $B59, "")</f>
        <v>-3.3333333333333361E-2</v>
      </c>
      <c r="F59" s="108">
        <f>IF(ISNUMBER(D59), $B64 * E59, "")</f>
        <v>-5000.0000000000045</v>
      </c>
      <c r="G59" s="109">
        <v>11.7</v>
      </c>
      <c r="H59" s="107">
        <f>IF(ISNUMBER(G59), (G59 - $B59) / $B59, "")</f>
        <v>-2.500000000000006E-2</v>
      </c>
      <c r="I59" s="110">
        <f>IF(ISNUMBER(G59), $B64 * H59, "")</f>
        <v>-3750.0000000000091</v>
      </c>
      <c r="J59" s="106">
        <v>11.6</v>
      </c>
      <c r="K59" s="107">
        <f>IF(ISNUMBER(J59), (J59 - $B59) / $B59, "")</f>
        <v>-3.3333333333333361E-2</v>
      </c>
      <c r="L59" s="108">
        <f>IF(ISNUMBER(J59), $B64 * K59, "")</f>
        <v>-5000.0000000000045</v>
      </c>
      <c r="M59" s="109">
        <v>11.8</v>
      </c>
      <c r="N59" s="107">
        <f>IF(ISNUMBER(M59), (M59 - $B59) / $B59, "")</f>
        <v>-1.6666666666666607E-2</v>
      </c>
      <c r="O59" s="108">
        <f>IF(ISNUMBER(M59), $B64 * N59, "")</f>
        <v>-2499.9999999999909</v>
      </c>
      <c r="Q59" s="196"/>
      <c r="R59" s="196"/>
      <c r="S59" s="196"/>
    </row>
    <row r="60" spans="1:19" ht="17.25" customHeight="1" thickBot="1">
      <c r="A60" s="125" t="s">
        <v>199</v>
      </c>
      <c r="B60" s="126">
        <v>11.7</v>
      </c>
      <c r="C60" s="77">
        <v>-3.3057851200000002E-2</v>
      </c>
      <c r="D60" s="15">
        <v>11.4</v>
      </c>
      <c r="E60" s="32">
        <f t="shared" ref="E60:E63" si="26">IF(ISNUMBER(D60), (D60 - $B60) / $B60, "")</f>
        <v>-2.564102564102555E-2</v>
      </c>
      <c r="F60" s="18">
        <f>IF(ISNUMBER(D60), $B64 * E60, "")</f>
        <v>-3846.1538461538325</v>
      </c>
      <c r="G60" s="31">
        <v>11.6</v>
      </c>
      <c r="H60" s="32">
        <f t="shared" ref="H60:H63" si="27">IF(ISNUMBER(G60), (G60 - $B60) / $B60, "")</f>
        <v>-8.5470085470085166E-3</v>
      </c>
      <c r="I60" s="101">
        <f>IF(ISNUMBER(G60), $B64 * H60, "")</f>
        <v>-1282.0512820512774</v>
      </c>
      <c r="J60" s="15">
        <v>11.6</v>
      </c>
      <c r="K60" s="32">
        <f t="shared" ref="K60:K63" si="28">IF(ISNUMBER(J60), (J60 - $B60) / $B60, "")</f>
        <v>-8.5470085470085166E-3</v>
      </c>
      <c r="L60" s="18">
        <f>IF(ISNUMBER(J60), $B64 * K60, "")</f>
        <v>-1282.0512820512774</v>
      </c>
      <c r="M60" s="31">
        <v>11.6</v>
      </c>
      <c r="N60" s="32">
        <f t="shared" ref="N60:N63" si="29">IF(ISNUMBER(M60), (M60 - $B60) / $B60, "")</f>
        <v>-8.5470085470085166E-3</v>
      </c>
      <c r="O60" s="18">
        <f>IF(ISNUMBER(M60), $B64 * N60, "")</f>
        <v>-1282.0512820512774</v>
      </c>
      <c r="Q60" s="196"/>
      <c r="R60" s="196"/>
      <c r="S60" s="196"/>
    </row>
    <row r="61" spans="1:19" ht="17.25" customHeight="1" thickBot="1">
      <c r="A61" s="125" t="s">
        <v>346</v>
      </c>
      <c r="B61" s="126">
        <v>9.75</v>
      </c>
      <c r="C61" s="77">
        <v>-3.4653465299999998E-2</v>
      </c>
      <c r="D61" s="15">
        <v>9.56</v>
      </c>
      <c r="E61" s="32">
        <f t="shared" si="26"/>
        <v>-1.9487179487179436E-2</v>
      </c>
      <c r="F61" s="18">
        <f>IF(ISNUMBER(D61), $B64 * E61, "")</f>
        <v>-2923.0769230769156</v>
      </c>
      <c r="G61" s="31">
        <v>9.57</v>
      </c>
      <c r="H61" s="32">
        <f t="shared" si="27"/>
        <v>-1.8461538461538432E-2</v>
      </c>
      <c r="I61" s="101">
        <f>IF(ISNUMBER(G61), $B64 * H61, "")</f>
        <v>-2769.230769230765</v>
      </c>
      <c r="J61" s="15">
        <v>9.6</v>
      </c>
      <c r="K61" s="32">
        <f t="shared" si="28"/>
        <v>-1.5384615384615422E-2</v>
      </c>
      <c r="L61" s="18">
        <f>IF(ISNUMBER(J61), $B64 * K61, "")</f>
        <v>-2307.6923076923131</v>
      </c>
      <c r="M61" s="31">
        <v>9.5299999999999994</v>
      </c>
      <c r="N61" s="32">
        <f t="shared" si="29"/>
        <v>-2.2564102564102628E-2</v>
      </c>
      <c r="O61" s="18">
        <f>IF(ISNUMBER(M61), $B64 * N61, "")</f>
        <v>-3384.6153846153943</v>
      </c>
      <c r="Q61" s="196"/>
      <c r="R61" s="196"/>
      <c r="S61" s="196"/>
    </row>
    <row r="62" spans="1:19" ht="17.25" customHeight="1">
      <c r="A62" s="125" t="s">
        <v>211</v>
      </c>
      <c r="B62" s="126">
        <v>7.72</v>
      </c>
      <c r="C62" s="77">
        <v>-3.7406483800000001E-2</v>
      </c>
      <c r="D62" s="15">
        <v>7.46</v>
      </c>
      <c r="E62" s="32">
        <f t="shared" si="26"/>
        <v>-3.3678756476683912E-2</v>
      </c>
      <c r="F62" s="18">
        <f>IF(ISNUMBER(D62), $B64 * E62, "")</f>
        <v>-5051.8134715025872</v>
      </c>
      <c r="G62" s="31">
        <v>7.5</v>
      </c>
      <c r="H62" s="32">
        <f t="shared" si="27"/>
        <v>-2.849740932642484E-2</v>
      </c>
      <c r="I62" s="101">
        <f>IF(ISNUMBER(G62), $B64 * H62, "")</f>
        <v>-4274.6113989637261</v>
      </c>
      <c r="J62" s="15">
        <v>7.53</v>
      </c>
      <c r="K62" s="32">
        <f t="shared" si="28"/>
        <v>-2.4611398963730505E-2</v>
      </c>
      <c r="L62" s="18">
        <f>IF(ISNUMBER(J62), $B64 * K62, "")</f>
        <v>-3691.7098445595757</v>
      </c>
      <c r="M62" s="31">
        <v>7.49</v>
      </c>
      <c r="N62" s="32">
        <f t="shared" si="29"/>
        <v>-2.979274611398958E-2</v>
      </c>
      <c r="O62" s="18">
        <f>IF(ISNUMBER(M62), $B64 * N62, "")</f>
        <v>-4468.9119170984368</v>
      </c>
      <c r="Q62" s="218"/>
      <c r="R62" s="219"/>
      <c r="S62" s="220"/>
    </row>
    <row r="63" spans="1:19" ht="17.25" customHeight="1" thickBot="1">
      <c r="A63" s="130" t="s">
        <v>229</v>
      </c>
      <c r="B63" s="131">
        <v>54.4</v>
      </c>
      <c r="C63" s="79">
        <v>-3.8869257999999997E-2</v>
      </c>
      <c r="D63" s="24">
        <v>52.8</v>
      </c>
      <c r="E63" s="25">
        <f t="shared" si="26"/>
        <v>-2.941176470588238E-2</v>
      </c>
      <c r="F63" s="104">
        <f>IF(ISNUMBER(D63), $B64 * E63, "")</f>
        <v>-4411.7647058823568</v>
      </c>
      <c r="G63" s="102">
        <v>53</v>
      </c>
      <c r="H63" s="25">
        <f t="shared" si="27"/>
        <v>-2.5735294117647033E-2</v>
      </c>
      <c r="I63" s="103">
        <f>IF(ISNUMBER(G63), $B64 * H63, "")</f>
        <v>-3860.2941176470549</v>
      </c>
      <c r="J63" s="24">
        <v>53.3</v>
      </c>
      <c r="K63" s="25">
        <f t="shared" si="28"/>
        <v>-2.0220588235294143E-2</v>
      </c>
      <c r="L63" s="104">
        <f>IF(ISNUMBER(J63), $B64 * K63, "")</f>
        <v>-3033.0882352941217</v>
      </c>
      <c r="M63" s="102">
        <v>52.8</v>
      </c>
      <c r="N63" s="25">
        <f t="shared" si="29"/>
        <v>-2.941176470588238E-2</v>
      </c>
      <c r="O63" s="104">
        <f>IF(ISNUMBER(M63), $B64 * N63, "")</f>
        <v>-4411.7647058823568</v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-2.3141698027183112E-2</v>
      </c>
      <c r="F64" s="28">
        <f>SUM(F44:F63)</f>
        <v>-69425.094081549352</v>
      </c>
      <c r="G64" s="26" t="s">
        <v>266</v>
      </c>
      <c r="H64" s="27">
        <f>IF(COUNT(H44:H63), SUM(H44:H63) / COUNT(H44:H63), 0)</f>
        <v>-1.3496147710635009E-2</v>
      </c>
      <c r="I64" s="28">
        <f>SUM(I44:I63)</f>
        <v>-40488.443131905035</v>
      </c>
      <c r="J64" s="26" t="s">
        <v>266</v>
      </c>
      <c r="K64" s="27">
        <f>IF(COUNT(K44:K63), SUM(K44:K63) / COUNT(K44:K63), 0)</f>
        <v>-1.405691234779299E-2</v>
      </c>
      <c r="L64" s="28">
        <f>SUM(L44:L63)</f>
        <v>-42170.737043378969</v>
      </c>
      <c r="M64" s="26" t="s">
        <v>266</v>
      </c>
      <c r="N64" s="27">
        <f>IF(COUNT(N44:N63), SUM(N44:N63) / COUNT(N44:N63), 0)</f>
        <v>-1.4228763499585795E-2</v>
      </c>
      <c r="O64" s="28">
        <f>SUM(O44:O63)</f>
        <v>-42686.290498757386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2022-03-03(목) 오전 00:00</v>
      </c>
      <c r="C69" s="234"/>
      <c r="D69" s="193" t="str">
        <f>TEXT($G$1, "[$-ko-KR]yyyy-mm-dd(ddd) ") &amp; "오후 14:00"</f>
        <v>2022-03-03(목) 오후 14:00</v>
      </c>
      <c r="E69" s="194"/>
      <c r="F69" s="195"/>
      <c r="G69" s="193" t="str">
        <f>TEXT($G$1, "[$-ko-KR]yyyy-mm-dd(ddd) ") &amp; "오후 19:00"</f>
        <v>2022-03-03(목) 오후 19:00</v>
      </c>
      <c r="H69" s="194"/>
      <c r="I69" s="195"/>
      <c r="J69" s="193" t="str">
        <f>TEXT($G$1, "[$-ko-KR]yyyy-mm-dd(ddd) ") &amp; "오후 21:00"</f>
        <v>2022-03-03(목) 오후 21:00</v>
      </c>
      <c r="K69" s="194"/>
      <c r="L69" s="195"/>
      <c r="M69" s="193" t="str">
        <f>TEXT($G$1+1, "[$-ko-KR]yyyy-mm-dd(ddd) ") &amp; "오전 00:00"</f>
        <v>2022-03-04(금)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348</v>
      </c>
      <c r="B71" s="124">
        <v>230</v>
      </c>
      <c r="C71" s="76">
        <v>9.0047393399999995E-2</v>
      </c>
      <c r="D71" s="13">
        <v>212</v>
      </c>
      <c r="E71" s="14">
        <f>IF(ISNUMBER(D71), (D71 - $B71) / $B71, "")</f>
        <v>-7.8260869565217397E-2</v>
      </c>
      <c r="F71" s="16">
        <f>IF(ISNUMBER(D71), $B91 * E71, "")</f>
        <v>-11739.13043478261</v>
      </c>
      <c r="G71" s="29">
        <v>212</v>
      </c>
      <c r="H71" s="14">
        <f>IF(ISNUMBER(G71), (G71 - $B71) / $B71, "")</f>
        <v>-7.8260869565217397E-2</v>
      </c>
      <c r="I71" s="100">
        <f>IF(ISNUMBER(G71), $B91 * H71, "")</f>
        <v>-11739.13043478261</v>
      </c>
      <c r="J71" s="13">
        <v>212</v>
      </c>
      <c r="K71" s="14">
        <f>IF(ISNUMBER(J71), (J71 - $B71) / $B71, "")</f>
        <v>-7.8260869565217397E-2</v>
      </c>
      <c r="L71" s="16">
        <f>IF(ISNUMBER(J71), $B91 * K71, "")</f>
        <v>-11739.13043478261</v>
      </c>
      <c r="M71" s="29">
        <v>209</v>
      </c>
      <c r="N71" s="14">
        <f>IF(ISNUMBER(M71), (M71 - $B71) / $B71, "")</f>
        <v>-9.1304347826086957E-2</v>
      </c>
      <c r="O71" s="16">
        <f>IF(ISNUMBER(M71), $B91 * N71, "")</f>
        <v>-13695.652173913044</v>
      </c>
      <c r="Q71" s="191"/>
      <c r="R71" s="191"/>
      <c r="S71" s="191"/>
    </row>
    <row r="72" spans="1:19" ht="17.25" thickBot="1">
      <c r="A72" s="125" t="s">
        <v>327</v>
      </c>
      <c r="B72" s="126">
        <v>744</v>
      </c>
      <c r="C72" s="77">
        <v>3.7656903800000002E-2</v>
      </c>
      <c r="D72" s="15">
        <v>681</v>
      </c>
      <c r="E72" s="32">
        <f t="shared" ref="E72:E75" si="30">IF(ISNUMBER(D72), (D72 - $B72) / $B72, "")</f>
        <v>-8.4677419354838704E-2</v>
      </c>
      <c r="F72" s="18">
        <f>IF(ISNUMBER(D72), $B91 * E72, "")</f>
        <v>-12701.612903225805</v>
      </c>
      <c r="G72" s="31">
        <v>690</v>
      </c>
      <c r="H72" s="32">
        <f t="shared" ref="H72:H75" si="31">IF(ISNUMBER(G72), (G72 - $B72) / $B72, "")</f>
        <v>-7.2580645161290328E-2</v>
      </c>
      <c r="I72" s="101">
        <f>IF(ISNUMBER(G72), $B91 * H72, "")</f>
        <v>-10887.096774193549</v>
      </c>
      <c r="J72" s="15">
        <v>691</v>
      </c>
      <c r="K72" s="32">
        <f t="shared" ref="K72:K75" si="32">IF(ISNUMBER(J72), (J72 - $B72) / $B72, "")</f>
        <v>-7.1236559139784952E-2</v>
      </c>
      <c r="L72" s="18">
        <f>IF(ISNUMBER(J72), $B91 * K72, "")</f>
        <v>-10685.483870967742</v>
      </c>
      <c r="M72" s="31">
        <v>679</v>
      </c>
      <c r="N72" s="32">
        <f t="shared" ref="N72:N75" si="33">IF(ISNUMBER(M72), (M72 - $B72) / $B72, "")</f>
        <v>-8.7365591397849468E-2</v>
      </c>
      <c r="O72" s="18">
        <f>IF(ISNUMBER(M72), $B91 * N72, "")</f>
        <v>-13104.83870967742</v>
      </c>
      <c r="Q72" s="191"/>
      <c r="R72" s="191"/>
      <c r="S72" s="191"/>
    </row>
    <row r="73" spans="1:19" ht="17.25" thickBot="1">
      <c r="A73" s="125" t="s">
        <v>103</v>
      </c>
      <c r="B73" s="126">
        <v>716</v>
      </c>
      <c r="C73" s="77">
        <v>2.87356322E-2</v>
      </c>
      <c r="D73" s="15">
        <v>660</v>
      </c>
      <c r="E73" s="32">
        <f t="shared" si="30"/>
        <v>-7.8212290502793297E-2</v>
      </c>
      <c r="F73" s="18">
        <f>IF(ISNUMBER(D73), $B91 * E73, "")</f>
        <v>-11731.843575418994</v>
      </c>
      <c r="G73" s="31">
        <v>670</v>
      </c>
      <c r="H73" s="32">
        <f t="shared" si="31"/>
        <v>-6.4245810055865923E-2</v>
      </c>
      <c r="I73" s="101">
        <f>IF(ISNUMBER(G73), $B91 * H73, "")</f>
        <v>-9636.8715083798888</v>
      </c>
      <c r="J73" s="15">
        <v>669</v>
      </c>
      <c r="K73" s="32">
        <f t="shared" si="32"/>
        <v>-6.5642458100558659E-2</v>
      </c>
      <c r="L73" s="18">
        <f>IF(ISNUMBER(J73), $B91 * K73, "")</f>
        <v>-9846.3687150837995</v>
      </c>
      <c r="M73" s="31">
        <v>660</v>
      </c>
      <c r="N73" s="32">
        <f t="shared" si="33"/>
        <v>-7.8212290502793297E-2</v>
      </c>
      <c r="O73" s="18">
        <f>IF(ISNUMBER(M73), $B91 * N73, "")</f>
        <v>-11731.843575418994</v>
      </c>
      <c r="Q73" s="196"/>
      <c r="R73" s="196"/>
      <c r="S73" s="196"/>
    </row>
    <row r="74" spans="1:19" ht="17.25" thickBot="1">
      <c r="A74" s="125" t="s">
        <v>85</v>
      </c>
      <c r="B74" s="126">
        <v>241</v>
      </c>
      <c r="C74" s="77">
        <v>1.6877637099999999E-2</v>
      </c>
      <c r="D74" s="15">
        <v>238</v>
      </c>
      <c r="E74" s="32">
        <f t="shared" si="30"/>
        <v>-1.2448132780082987E-2</v>
      </c>
      <c r="F74" s="18">
        <f>IF(ISNUMBER(D74), $B91 * E74, "")</f>
        <v>-1867.2199170124479</v>
      </c>
      <c r="G74" s="31">
        <v>238</v>
      </c>
      <c r="H74" s="32">
        <f t="shared" si="31"/>
        <v>-1.2448132780082987E-2</v>
      </c>
      <c r="I74" s="101">
        <f>IF(ISNUMBER(G74), $B91 * H74, "")</f>
        <v>-1867.2199170124479</v>
      </c>
      <c r="J74" s="15">
        <v>237</v>
      </c>
      <c r="K74" s="32">
        <f t="shared" si="32"/>
        <v>-1.6597510373443983E-2</v>
      </c>
      <c r="L74" s="18">
        <f>IF(ISNUMBER(J74), $B91 * K74, "")</f>
        <v>-2489.6265560165975</v>
      </c>
      <c r="M74" s="31">
        <v>238</v>
      </c>
      <c r="N74" s="32">
        <f t="shared" si="33"/>
        <v>-1.2448132780082987E-2</v>
      </c>
      <c r="O74" s="18">
        <f>IF(ISNUMBER(M74), $B91 * N74, "")</f>
        <v>-1867.2199170124479</v>
      </c>
      <c r="Q74" s="196"/>
      <c r="R74" s="196"/>
      <c r="S74" s="196"/>
    </row>
    <row r="75" spans="1:19" ht="17.25" thickBot="1">
      <c r="A75" s="127" t="s">
        <v>339</v>
      </c>
      <c r="B75" s="128">
        <v>543</v>
      </c>
      <c r="C75" s="78">
        <v>1.68539326E-2</v>
      </c>
      <c r="D75" s="20">
        <v>531</v>
      </c>
      <c r="E75" s="21">
        <f t="shared" si="30"/>
        <v>-2.2099447513812154E-2</v>
      </c>
      <c r="F75" s="22">
        <f>IF(ISNUMBER(D75), $B91 * E75, "")</f>
        <v>-3314.917127071823</v>
      </c>
      <c r="G75" s="30">
        <v>532</v>
      </c>
      <c r="H75" s="21">
        <f t="shared" si="31"/>
        <v>-2.0257826887661142E-2</v>
      </c>
      <c r="I75" s="105">
        <f>IF(ISNUMBER(G75), $B91 * H75, "")</f>
        <v>-3038.6740331491715</v>
      </c>
      <c r="J75" s="20">
        <v>530</v>
      </c>
      <c r="K75" s="21">
        <f t="shared" si="32"/>
        <v>-2.3941068139963169E-2</v>
      </c>
      <c r="L75" s="22">
        <f>IF(ISNUMBER(J75), $B91 * K75, "")</f>
        <v>-3591.1602209944754</v>
      </c>
      <c r="M75" s="30">
        <v>530</v>
      </c>
      <c r="N75" s="21">
        <f t="shared" si="33"/>
        <v>-2.3941068139963169E-2</v>
      </c>
      <c r="O75" s="22">
        <f>IF(ISNUMBER(M75), $B91 * N75, "")</f>
        <v>-3591.1602209944754</v>
      </c>
      <c r="Q75" s="196"/>
      <c r="R75" s="196"/>
      <c r="S75" s="196"/>
    </row>
    <row r="76" spans="1:19" ht="17.25" thickBot="1">
      <c r="A76" s="125" t="s">
        <v>261</v>
      </c>
      <c r="B76" s="129">
        <v>163</v>
      </c>
      <c r="C76" s="80">
        <v>6.1728395E-3</v>
      </c>
      <c r="D76" s="106">
        <v>160</v>
      </c>
      <c r="E76" s="107">
        <f>IF(ISNUMBER(D76), (D76 - $B76) / $B76, "")</f>
        <v>-1.8404907975460124E-2</v>
      </c>
      <c r="F76" s="108">
        <f>IF(ISNUMBER(D76), $B91 * E76, "")</f>
        <v>-2760.7361963190187</v>
      </c>
      <c r="G76" s="109">
        <v>162</v>
      </c>
      <c r="H76" s="107">
        <f>IF(ISNUMBER(G76), (G76 - $B76) / $B76, "")</f>
        <v>-6.1349693251533744E-3</v>
      </c>
      <c r="I76" s="110">
        <f>IF(ISNUMBER(G76), $B91 * H76, "")</f>
        <v>-920.24539877300617</v>
      </c>
      <c r="J76" s="106">
        <v>162</v>
      </c>
      <c r="K76" s="107">
        <f>IF(ISNUMBER(J76), (J76 - $B76) / $B76, "")</f>
        <v>-6.1349693251533744E-3</v>
      </c>
      <c r="L76" s="108">
        <f>IF(ISNUMBER(J76), $B91 * K76, "")</f>
        <v>-920.24539877300617</v>
      </c>
      <c r="M76" s="109">
        <v>160</v>
      </c>
      <c r="N76" s="107">
        <f>IF(ISNUMBER(M76), (M76 - $B76) / $B76, "")</f>
        <v>-1.8404907975460124E-2</v>
      </c>
      <c r="O76" s="108">
        <f>IF(ISNUMBER(M76), $B91 * N76, "")</f>
        <v>-2760.7361963190187</v>
      </c>
      <c r="Q76" s="196"/>
      <c r="R76" s="196"/>
      <c r="S76" s="196"/>
    </row>
    <row r="77" spans="1:19" ht="17.25" thickBot="1">
      <c r="A77" s="125" t="s">
        <v>247</v>
      </c>
      <c r="B77" s="126">
        <v>770</v>
      </c>
      <c r="C77" s="77">
        <v>-1.2970169000000001E-3</v>
      </c>
      <c r="D77" s="15">
        <v>738</v>
      </c>
      <c r="E77" s="32">
        <f t="shared" ref="E77:E80" si="34">IF(ISNUMBER(D77), (D77 - $B77) / $B77, "")</f>
        <v>-4.1558441558441558E-2</v>
      </c>
      <c r="F77" s="18">
        <f>IF(ISNUMBER(D77), $B91 * E77, "")</f>
        <v>-6233.7662337662341</v>
      </c>
      <c r="G77" s="31">
        <v>742</v>
      </c>
      <c r="H77" s="32">
        <f t="shared" ref="H77:H80" si="35">IF(ISNUMBER(G77), (G77 - $B77) / $B77, "")</f>
        <v>-3.6363636363636362E-2</v>
      </c>
      <c r="I77" s="101">
        <f>IF(ISNUMBER(G77), $B91 * H77, "")</f>
        <v>-5454.545454545454</v>
      </c>
      <c r="J77" s="15">
        <v>741</v>
      </c>
      <c r="K77" s="32">
        <f t="shared" ref="K77:K80" si="36">IF(ISNUMBER(J77), (J77 - $B77) / $B77, "")</f>
        <v>-3.7662337662337661E-2</v>
      </c>
      <c r="L77" s="18">
        <f>IF(ISNUMBER(J77), $B91 * K77, "")</f>
        <v>-5649.3506493506493</v>
      </c>
      <c r="M77" s="31">
        <v>744</v>
      </c>
      <c r="N77" s="32">
        <f t="shared" ref="N77:N80" si="37">IF(ISNUMBER(M77), (M77 - $B77) / $B77, "")</f>
        <v>-3.3766233766233764E-2</v>
      </c>
      <c r="O77" s="18">
        <f>IF(ISNUMBER(M77), $B91 * N77, "")</f>
        <v>-5064.9350649350645</v>
      </c>
      <c r="Q77" s="196"/>
      <c r="R77" s="196"/>
      <c r="S77" s="196"/>
    </row>
    <row r="78" spans="1:19" ht="17.25" thickBot="1">
      <c r="A78" s="125" t="s">
        <v>101</v>
      </c>
      <c r="B78" s="126">
        <v>691</v>
      </c>
      <c r="C78" s="77">
        <v>-4.3227665999999998E-3</v>
      </c>
      <c r="D78" s="15">
        <v>691</v>
      </c>
      <c r="E78" s="32">
        <f t="shared" si="34"/>
        <v>0</v>
      </c>
      <c r="F78" s="18">
        <f>IF(ISNUMBER(D78), $B91 * E78, "")</f>
        <v>0</v>
      </c>
      <c r="G78" s="31">
        <v>714</v>
      </c>
      <c r="H78" s="32">
        <f t="shared" si="35"/>
        <v>3.3285094066570188E-2</v>
      </c>
      <c r="I78" s="101">
        <f>IF(ISNUMBER(G78), $B91 * H78, "")</f>
        <v>4992.7641099855282</v>
      </c>
      <c r="J78" s="15">
        <v>713</v>
      </c>
      <c r="K78" s="32">
        <f t="shared" si="36"/>
        <v>3.1837916063675829E-2</v>
      </c>
      <c r="L78" s="18">
        <f>IF(ISNUMBER(J78), $B91 * K78, "")</f>
        <v>4775.687409551374</v>
      </c>
      <c r="M78" s="31">
        <v>699</v>
      </c>
      <c r="N78" s="32">
        <f t="shared" si="37"/>
        <v>1.1577424023154847E-2</v>
      </c>
      <c r="O78" s="18">
        <f>IF(ISNUMBER(M78), $B91 * N78, "")</f>
        <v>1736.6136034732272</v>
      </c>
      <c r="Q78" s="196"/>
      <c r="R78" s="196"/>
      <c r="S78" s="196"/>
    </row>
    <row r="79" spans="1:19" ht="17.25" thickBot="1">
      <c r="A79" s="125" t="s">
        <v>172</v>
      </c>
      <c r="B79" s="126">
        <v>967</v>
      </c>
      <c r="C79" s="77">
        <v>-5.1440328999999996E-3</v>
      </c>
      <c r="D79" s="15">
        <v>943</v>
      </c>
      <c r="E79" s="32">
        <f t="shared" si="34"/>
        <v>-2.481902792140641E-2</v>
      </c>
      <c r="F79" s="18">
        <f>IF(ISNUMBER(D79), $B91 * E79, "")</f>
        <v>-3722.8541882109616</v>
      </c>
      <c r="G79" s="31">
        <v>958</v>
      </c>
      <c r="H79" s="32">
        <f t="shared" si="35"/>
        <v>-9.3071354705274046E-3</v>
      </c>
      <c r="I79" s="101">
        <f>IF(ISNUMBER(G79), $B91 * H79, "")</f>
        <v>-1396.0703205791108</v>
      </c>
      <c r="J79" s="15">
        <v>958</v>
      </c>
      <c r="K79" s="32">
        <f t="shared" si="36"/>
        <v>-9.3071354705274046E-3</v>
      </c>
      <c r="L79" s="18">
        <f>IF(ISNUMBER(J79), $B91 * K79, "")</f>
        <v>-1396.0703205791108</v>
      </c>
      <c r="M79" s="31">
        <v>938</v>
      </c>
      <c r="N79" s="32">
        <f t="shared" si="37"/>
        <v>-2.9989658738366079E-2</v>
      </c>
      <c r="O79" s="18">
        <f>IF(ISNUMBER(M79), $B91 * N79, "")</f>
        <v>-4498.4488107549123</v>
      </c>
      <c r="Q79" s="33"/>
      <c r="R79" s="33"/>
    </row>
    <row r="80" spans="1:19" ht="17.25" thickBot="1">
      <c r="A80" s="130" t="s">
        <v>56</v>
      </c>
      <c r="B80" s="131">
        <v>131</v>
      </c>
      <c r="C80" s="79">
        <v>-7.5757576E-3</v>
      </c>
      <c r="D80" s="24">
        <v>127</v>
      </c>
      <c r="E80" s="25">
        <f t="shared" si="34"/>
        <v>-3.0534351145038167E-2</v>
      </c>
      <c r="F80" s="104">
        <f>IF(ISNUMBER(D80), $B91 * E80, "")</f>
        <v>-4580.1526717557254</v>
      </c>
      <c r="G80" s="102">
        <v>129</v>
      </c>
      <c r="H80" s="25">
        <f t="shared" si="35"/>
        <v>-1.5267175572519083E-2</v>
      </c>
      <c r="I80" s="103">
        <f>IF(ISNUMBER(G80), $B91 * H80, "")</f>
        <v>-2290.0763358778627</v>
      </c>
      <c r="J80" s="24">
        <v>127</v>
      </c>
      <c r="K80" s="25">
        <f t="shared" si="36"/>
        <v>-3.0534351145038167E-2</v>
      </c>
      <c r="L80" s="104">
        <f>IF(ISNUMBER(J80), $B91 * K80, "")</f>
        <v>-4580.1526717557254</v>
      </c>
      <c r="M80" s="102">
        <v>128</v>
      </c>
      <c r="N80" s="25">
        <f t="shared" si="37"/>
        <v>-2.2900763358778626E-2</v>
      </c>
      <c r="O80" s="104">
        <f>IF(ISNUMBER(M80), $B91 * N80, "")</f>
        <v>-3435.1145038167938</v>
      </c>
      <c r="Q80" s="205"/>
      <c r="R80" s="206"/>
      <c r="S80" s="207"/>
    </row>
    <row r="81" spans="1:19">
      <c r="A81" s="123" t="s">
        <v>235</v>
      </c>
      <c r="B81" s="124">
        <v>115</v>
      </c>
      <c r="C81" s="76">
        <v>-8.6206896999999998E-3</v>
      </c>
      <c r="D81" s="13">
        <v>113</v>
      </c>
      <c r="E81" s="14">
        <f>IF(ISNUMBER(D81), (D81 - $B81) / $B81, "")</f>
        <v>-1.7391304347826087E-2</v>
      </c>
      <c r="F81" s="16">
        <f>IF(ISNUMBER(D81), $B91 * E81, "")</f>
        <v>-2608.695652173913</v>
      </c>
      <c r="G81" s="29">
        <v>114</v>
      </c>
      <c r="H81" s="14">
        <f>IF(ISNUMBER(G81), (G81 - $B81) / $B81, "")</f>
        <v>-8.6956521739130436E-3</v>
      </c>
      <c r="I81" s="100">
        <f>IF(ISNUMBER(G81), $B91 * H81, "")</f>
        <v>-1304.3478260869565</v>
      </c>
      <c r="J81" s="13">
        <v>114</v>
      </c>
      <c r="K81" s="14">
        <f>IF(ISNUMBER(J81), (J81 - $B81) / $B81, "")</f>
        <v>-8.6956521739130436E-3</v>
      </c>
      <c r="L81" s="16">
        <f>IF(ISNUMBER(J81), $B91 * K81, "")</f>
        <v>-1304.3478260869565</v>
      </c>
      <c r="M81" s="29">
        <v>114</v>
      </c>
      <c r="N81" s="14">
        <f>IF(ISNUMBER(M81), (M81 - $B81) / $B81, "")</f>
        <v>-8.6956521739130436E-3</v>
      </c>
      <c r="O81" s="16">
        <f>IF(ISNUMBER(M81), $B91 * N81, "")</f>
        <v>-1304.3478260869565</v>
      </c>
      <c r="Q81" s="208"/>
      <c r="R81" s="209"/>
      <c r="S81" s="210"/>
    </row>
    <row r="82" spans="1:19" ht="17.25" thickBot="1">
      <c r="A82" s="125" t="s">
        <v>233</v>
      </c>
      <c r="B82" s="126">
        <v>103</v>
      </c>
      <c r="C82" s="77">
        <v>-9.6153846000000005E-3</v>
      </c>
      <c r="D82" s="15">
        <v>102</v>
      </c>
      <c r="E82" s="32">
        <f t="shared" ref="E82:E85" si="38">IF(ISNUMBER(D82), (D82 - $B82) / $B82, "")</f>
        <v>-9.7087378640776691E-3</v>
      </c>
      <c r="F82" s="18">
        <f>IF(ISNUMBER(D82), $B91 * E82, "")</f>
        <v>-1456.3106796116504</v>
      </c>
      <c r="G82" s="31">
        <v>102</v>
      </c>
      <c r="H82" s="32">
        <f t="shared" ref="H82:H85" si="39">IF(ISNUMBER(G82), (G82 - $B82) / $B82, "")</f>
        <v>-9.7087378640776691E-3</v>
      </c>
      <c r="I82" s="101">
        <f>IF(ISNUMBER(G82), $B91 * H82, "")</f>
        <v>-1456.3106796116504</v>
      </c>
      <c r="J82" s="15">
        <v>102</v>
      </c>
      <c r="K82" s="32">
        <f t="shared" ref="K82:K85" si="40">IF(ISNUMBER(J82), (J82 - $B82) / $B82, "")</f>
        <v>-9.7087378640776691E-3</v>
      </c>
      <c r="L82" s="18">
        <f>IF(ISNUMBER(J82), $B91 * K82, "")</f>
        <v>-1456.3106796116504</v>
      </c>
      <c r="M82" s="31">
        <v>103</v>
      </c>
      <c r="N82" s="32">
        <f t="shared" ref="N82:N85" si="41">IF(ISNUMBER(M82), (M82 - $B82) / $B82, "")</f>
        <v>0</v>
      </c>
      <c r="O82" s="18">
        <f>IF(ISNUMBER(M82), $B91 * N82, "")</f>
        <v>0</v>
      </c>
      <c r="Q82" s="211"/>
      <c r="R82" s="212"/>
      <c r="S82" s="213"/>
    </row>
    <row r="83" spans="1:19" ht="17.25" thickBot="1">
      <c r="A83" s="125" t="s">
        <v>338</v>
      </c>
      <c r="B83" s="126">
        <v>273</v>
      </c>
      <c r="C83" s="77">
        <v>-1.08695652E-2</v>
      </c>
      <c r="D83" s="15">
        <v>271</v>
      </c>
      <c r="E83" s="32">
        <f t="shared" si="38"/>
        <v>-7.326007326007326E-3</v>
      </c>
      <c r="F83" s="18">
        <f>IF(ISNUMBER(D83), $B91 * E83, "")</f>
        <v>-1098.901098901099</v>
      </c>
      <c r="G83" s="31">
        <v>275</v>
      </c>
      <c r="H83" s="32">
        <f t="shared" si="39"/>
        <v>7.326007326007326E-3</v>
      </c>
      <c r="I83" s="101">
        <f>IF(ISNUMBER(G83), $B91 * H83, "")</f>
        <v>1098.901098901099</v>
      </c>
      <c r="J83" s="15">
        <v>275</v>
      </c>
      <c r="K83" s="32">
        <f t="shared" si="40"/>
        <v>7.326007326007326E-3</v>
      </c>
      <c r="L83" s="18">
        <f>IF(ISNUMBER(J83), $B91 * K83, "")</f>
        <v>1098.901098901099</v>
      </c>
      <c r="M83" s="31">
        <v>272</v>
      </c>
      <c r="N83" s="32">
        <f t="shared" si="41"/>
        <v>-3.663003663003663E-3</v>
      </c>
      <c r="O83" s="18">
        <f>IF(ISNUMBER(M83), $B91 * N83, "")</f>
        <v>-549.45054945054949</v>
      </c>
      <c r="Q83" s="196"/>
      <c r="R83" s="196"/>
      <c r="S83" s="196"/>
    </row>
    <row r="84" spans="1:19" ht="17.25" thickBot="1">
      <c r="A84" s="125" t="s">
        <v>105</v>
      </c>
      <c r="B84" s="126">
        <v>869</v>
      </c>
      <c r="C84" s="77">
        <v>-1.3620885399999999E-2</v>
      </c>
      <c r="D84" s="15">
        <v>838</v>
      </c>
      <c r="E84" s="32">
        <f t="shared" si="38"/>
        <v>-3.5673187571921748E-2</v>
      </c>
      <c r="F84" s="18">
        <f>IF(ISNUMBER(D84), $B91 * E84, "")</f>
        <v>-5350.9781357882621</v>
      </c>
      <c r="G84" s="31">
        <v>847</v>
      </c>
      <c r="H84" s="32">
        <f t="shared" si="39"/>
        <v>-2.5316455696202531E-2</v>
      </c>
      <c r="I84" s="101">
        <f>IF(ISNUMBER(G84), $B91 * H84, "")</f>
        <v>-3797.4683544303798</v>
      </c>
      <c r="J84" s="15">
        <v>844</v>
      </c>
      <c r="K84" s="32">
        <f t="shared" si="40"/>
        <v>-2.8768699654775604E-2</v>
      </c>
      <c r="L84" s="18">
        <f>IF(ISNUMBER(J84), $B91 * K84, "")</f>
        <v>-4315.3049482163406</v>
      </c>
      <c r="M84" s="31">
        <v>830</v>
      </c>
      <c r="N84" s="32">
        <f t="shared" si="41"/>
        <v>-4.4879171461449943E-2</v>
      </c>
      <c r="O84" s="18">
        <f>IF(ISNUMBER(M84), $B91 * N84, "")</f>
        <v>-6731.8757192174917</v>
      </c>
      <c r="Q84" s="191"/>
      <c r="R84" s="191"/>
      <c r="S84" s="191"/>
    </row>
    <row r="85" spans="1:19" ht="17.25" thickBot="1">
      <c r="A85" s="127" t="s">
        <v>89</v>
      </c>
      <c r="B85" s="128">
        <v>936</v>
      </c>
      <c r="C85" s="78">
        <v>-1.3698630099999999E-2</v>
      </c>
      <c r="D85" s="20">
        <v>932</v>
      </c>
      <c r="E85" s="21">
        <f t="shared" si="38"/>
        <v>-4.2735042735042739E-3</v>
      </c>
      <c r="F85" s="22">
        <f>IF(ISNUMBER(D85), $B91 * E85, "")</f>
        <v>-641.02564102564111</v>
      </c>
      <c r="G85" s="30">
        <v>937</v>
      </c>
      <c r="H85" s="21">
        <f t="shared" si="39"/>
        <v>1.0683760683760685E-3</v>
      </c>
      <c r="I85" s="105">
        <f>IF(ISNUMBER(G85), $B91 * H85, "")</f>
        <v>160.25641025641028</v>
      </c>
      <c r="J85" s="20">
        <v>934</v>
      </c>
      <c r="K85" s="21">
        <f t="shared" si="40"/>
        <v>-2.136752136752137E-3</v>
      </c>
      <c r="L85" s="22">
        <f>IF(ISNUMBER(J85), $B91 * K85, "")</f>
        <v>-320.51282051282055</v>
      </c>
      <c r="M85" s="30">
        <v>934</v>
      </c>
      <c r="N85" s="21">
        <f t="shared" si="41"/>
        <v>-2.136752136752137E-3</v>
      </c>
      <c r="O85" s="22">
        <f>IF(ISNUMBER(M85), $B91 * N85, "")</f>
        <v>-320.51282051282055</v>
      </c>
      <c r="Q85" s="191"/>
      <c r="R85" s="191"/>
      <c r="S85" s="191"/>
    </row>
    <row r="86" spans="1:19" ht="17.25" thickBot="1">
      <c r="A86" s="125" t="s">
        <v>107</v>
      </c>
      <c r="B86" s="129">
        <v>110</v>
      </c>
      <c r="C86" s="80">
        <v>-1.7857142900000001E-2</v>
      </c>
      <c r="D86" s="106">
        <v>108</v>
      </c>
      <c r="E86" s="107">
        <f>IF(ISNUMBER(D86), (D86 - $B86) / $B86, "")</f>
        <v>-1.8181818181818181E-2</v>
      </c>
      <c r="F86" s="108">
        <f>IF(ISNUMBER(D86), $B91 * E86, "")</f>
        <v>-2727.272727272727</v>
      </c>
      <c r="G86" s="109">
        <v>109</v>
      </c>
      <c r="H86" s="107">
        <f>IF(ISNUMBER(G86), (G86 - $B86) / $B86, "")</f>
        <v>-9.0909090909090905E-3</v>
      </c>
      <c r="I86" s="110">
        <f>IF(ISNUMBER(G86), $B91 * H86, "")</f>
        <v>-1363.6363636363635</v>
      </c>
      <c r="J86" s="106">
        <v>109</v>
      </c>
      <c r="K86" s="107">
        <f>IF(ISNUMBER(J86), (J86 - $B86) / $B86, "")</f>
        <v>-9.0909090909090905E-3</v>
      </c>
      <c r="L86" s="108">
        <f>IF(ISNUMBER(J86), $B91 * K86, "")</f>
        <v>-1363.6363636363635</v>
      </c>
      <c r="M86" s="109">
        <v>114</v>
      </c>
      <c r="N86" s="107">
        <f>IF(ISNUMBER(M86), (M86 - $B86) / $B86, "")</f>
        <v>3.6363636363636362E-2</v>
      </c>
      <c r="O86" s="108">
        <f>IF(ISNUMBER(M86), $B91 * N86, "")</f>
        <v>5454.545454545454</v>
      </c>
      <c r="Q86" s="196"/>
      <c r="R86" s="196"/>
      <c r="S86" s="196"/>
    </row>
    <row r="87" spans="1:19" ht="17.25" thickBot="1">
      <c r="A87" s="125" t="s">
        <v>51</v>
      </c>
      <c r="B87" s="126">
        <v>236</v>
      </c>
      <c r="C87" s="77">
        <v>-2.0746888000000002E-2</v>
      </c>
      <c r="D87" s="15">
        <v>235</v>
      </c>
      <c r="E87" s="32">
        <f t="shared" ref="E87:E90" si="42">IF(ISNUMBER(D87), (D87 - $B87) / $B87, "")</f>
        <v>-4.2372881355932203E-3</v>
      </c>
      <c r="F87" s="18">
        <f>IF(ISNUMBER(D87), $B91 * E87, "")</f>
        <v>-635.59322033898309</v>
      </c>
      <c r="G87" s="31">
        <v>236</v>
      </c>
      <c r="H87" s="32">
        <f t="shared" ref="H87:H90" si="43">IF(ISNUMBER(G87), (G87 - $B87) / $B87, "")</f>
        <v>0</v>
      </c>
      <c r="I87" s="101">
        <f>IF(ISNUMBER(G87), $B91 * H87, "")</f>
        <v>0</v>
      </c>
      <c r="J87" s="15">
        <v>234</v>
      </c>
      <c r="K87" s="32">
        <f t="shared" ref="K87:K90" si="44">IF(ISNUMBER(J87), (J87 - $B87) / $B87, "")</f>
        <v>-8.4745762711864406E-3</v>
      </c>
      <c r="L87" s="18">
        <f>IF(ISNUMBER(J87), $B91 * K87, "")</f>
        <v>-1271.1864406779662</v>
      </c>
      <c r="M87" s="31">
        <v>232</v>
      </c>
      <c r="N87" s="32">
        <f t="shared" ref="N87:N90" si="45">IF(ISNUMBER(M87), (M87 - $B87) / $B87, "")</f>
        <v>-1.6949152542372881E-2</v>
      </c>
      <c r="O87" s="18">
        <f>IF(ISNUMBER(M87), $B91 * N87, "")</f>
        <v>-2542.3728813559323</v>
      </c>
      <c r="Q87" s="196"/>
      <c r="R87" s="196"/>
      <c r="S87" s="196"/>
    </row>
    <row r="88" spans="1:19" ht="17.25" thickBot="1">
      <c r="A88" s="125" t="s">
        <v>134</v>
      </c>
      <c r="B88" s="126">
        <v>215</v>
      </c>
      <c r="C88" s="77">
        <v>-2.2727272699999999E-2</v>
      </c>
      <c r="D88" s="15">
        <v>204</v>
      </c>
      <c r="E88" s="32">
        <f t="shared" si="42"/>
        <v>-5.1162790697674418E-2</v>
      </c>
      <c r="F88" s="18">
        <f>IF(ISNUMBER(D88), $B91 * E88, "")</f>
        <v>-7674.4186046511622</v>
      </c>
      <c r="G88" s="31">
        <v>207</v>
      </c>
      <c r="H88" s="32">
        <f t="shared" si="43"/>
        <v>-3.7209302325581395E-2</v>
      </c>
      <c r="I88" s="101">
        <f>IF(ISNUMBER(G88), $B91 * H88, "")</f>
        <v>-5581.395348837209</v>
      </c>
      <c r="J88" s="15">
        <v>206</v>
      </c>
      <c r="K88" s="32">
        <f t="shared" si="44"/>
        <v>-4.1860465116279069E-2</v>
      </c>
      <c r="L88" s="18">
        <f>IF(ISNUMBER(J88), $B91 * K88, "")</f>
        <v>-6279.0697674418607</v>
      </c>
      <c r="M88" s="31">
        <v>205</v>
      </c>
      <c r="N88" s="32">
        <f t="shared" si="45"/>
        <v>-4.6511627906976744E-2</v>
      </c>
      <c r="O88" s="18">
        <f>IF(ISNUMBER(M88), $B91 * N88, "")</f>
        <v>-6976.7441860465115</v>
      </c>
      <c r="Q88" s="196"/>
      <c r="R88" s="196"/>
      <c r="S88" s="196"/>
    </row>
    <row r="89" spans="1:19">
      <c r="A89" s="125" t="s">
        <v>79</v>
      </c>
      <c r="B89" s="126">
        <v>891</v>
      </c>
      <c r="C89" s="77">
        <v>-2.5164113799999999E-2</v>
      </c>
      <c r="D89" s="15">
        <v>873</v>
      </c>
      <c r="E89" s="32">
        <f t="shared" si="42"/>
        <v>-2.0202020202020204E-2</v>
      </c>
      <c r="F89" s="18">
        <f>IF(ISNUMBER(D89), $B91 * E89, "")</f>
        <v>-3030.3030303030305</v>
      </c>
      <c r="G89" s="31">
        <v>881</v>
      </c>
      <c r="H89" s="32">
        <f t="shared" si="43"/>
        <v>-1.1223344556677889E-2</v>
      </c>
      <c r="I89" s="101">
        <f>IF(ISNUMBER(G89), $B91 * H89, "")</f>
        <v>-1683.5016835016834</v>
      </c>
      <c r="J89" s="15">
        <v>880</v>
      </c>
      <c r="K89" s="32">
        <f t="shared" si="44"/>
        <v>-1.2345679012345678E-2</v>
      </c>
      <c r="L89" s="18">
        <f>IF(ISNUMBER(J89), $B91 * K89, "")</f>
        <v>-1851.8518518518517</v>
      </c>
      <c r="M89" s="31">
        <v>870</v>
      </c>
      <c r="N89" s="32">
        <f t="shared" si="45"/>
        <v>-2.3569023569023569E-2</v>
      </c>
      <c r="O89" s="18">
        <f>IF(ISNUMBER(M89), $B91 * N89, "")</f>
        <v>-3535.3535353535353</v>
      </c>
      <c r="Q89" s="218"/>
      <c r="R89" s="219"/>
      <c r="S89" s="220"/>
    </row>
    <row r="90" spans="1:19" ht="17.25" thickBot="1">
      <c r="A90" s="130" t="s">
        <v>225</v>
      </c>
      <c r="B90" s="131">
        <v>379</v>
      </c>
      <c r="C90" s="79">
        <v>-2.5706940899999999E-2</v>
      </c>
      <c r="D90" s="24">
        <v>370</v>
      </c>
      <c r="E90" s="25">
        <f t="shared" si="42"/>
        <v>-2.3746701846965697E-2</v>
      </c>
      <c r="F90" s="104">
        <f>IF(ISNUMBER(D90), $B91 * E90, "")</f>
        <v>-3562.0052770448547</v>
      </c>
      <c r="G90" s="102">
        <v>369</v>
      </c>
      <c r="H90" s="25">
        <f t="shared" si="43"/>
        <v>-2.6385224274406333E-2</v>
      </c>
      <c r="I90" s="103">
        <f>IF(ISNUMBER(G90), $B91 * H90, "")</f>
        <v>-3957.7836411609501</v>
      </c>
      <c r="J90" s="24">
        <v>368</v>
      </c>
      <c r="K90" s="25">
        <f t="shared" si="44"/>
        <v>-2.9023746701846966E-2</v>
      </c>
      <c r="L90" s="104">
        <f>IF(ISNUMBER(J90), $B91 * K90, "")</f>
        <v>-4353.5620052770446</v>
      </c>
      <c r="M90" s="102">
        <v>368</v>
      </c>
      <c r="N90" s="25">
        <f t="shared" si="45"/>
        <v>-2.9023746701846966E-2</v>
      </c>
      <c r="O90" s="104">
        <f>IF(ISNUMBER(M90), $B91 * N90, "")</f>
        <v>-4353.5620052770446</v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-2.914591243822498E-2</v>
      </c>
      <c r="F91" s="28">
        <f>SUM(F71:F90)</f>
        <v>-87437.737314674931</v>
      </c>
      <c r="G91" s="26" t="s">
        <v>266</v>
      </c>
      <c r="H91" s="27">
        <f>IF(COUNT(H71:H90), SUM(H71:H90) / COUNT(H71:H90), 0)</f>
        <v>-2.0040817485138425E-2</v>
      </c>
      <c r="I91" s="28">
        <f>SUM(I71:I90)</f>
        <v>-60122.452455415267</v>
      </c>
      <c r="J91" s="26" t="s">
        <v>266</v>
      </c>
      <c r="K91" s="27">
        <f>IF(COUNT(K71:K90), SUM(K71:K90) / COUNT(K71:K90), 0)</f>
        <v>-2.2512927677721371E-2</v>
      </c>
      <c r="L91" s="28">
        <f>SUM(L71:L90)</f>
        <v>-67538.783033164102</v>
      </c>
      <c r="M91" s="26" t="s">
        <v>266</v>
      </c>
      <c r="N91" s="27">
        <f>IF(COUNT(N71:N90), SUM(N71:N90) / COUNT(N71:N90), 0)</f>
        <v>-2.6291003212708101E-2</v>
      </c>
      <c r="O91" s="28">
        <f>SUM(O71:O90)</f>
        <v>-78873.009638124349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2022-03-03(목) 오전 00:00</v>
      </c>
      <c r="C96" s="234"/>
      <c r="D96" s="193" t="str">
        <f>TEXT($G$1, "[$-ko-KR]yyyy-mm-dd(ddd) ") &amp; "오후 14:00"</f>
        <v>2022-03-03(목) 오후 14:00</v>
      </c>
      <c r="E96" s="194"/>
      <c r="F96" s="195"/>
      <c r="G96" s="193" t="str">
        <f>TEXT($G$1, "[$-ko-KR]yyyy-mm-dd(ddd) ") &amp; "오후 19:00"</f>
        <v>2022-03-03(목) 오후 19:00</v>
      </c>
      <c r="H96" s="194"/>
      <c r="I96" s="195"/>
      <c r="J96" s="193" t="str">
        <f>TEXT($G$1, "[$-ko-KR]yyyy-mm-dd(ddd) ") &amp; "오후 21:00"</f>
        <v>2022-03-03(목) 오후 21:00</v>
      </c>
      <c r="K96" s="194"/>
      <c r="L96" s="195"/>
      <c r="M96" s="193" t="str">
        <f>TEXT($G$1+1, "[$-ko-KR]yyyy-mm-dd(ddd) ") &amp; "오전 00:00"</f>
        <v>2022-03-04(금)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132</v>
      </c>
      <c r="B98" s="124">
        <v>3475</v>
      </c>
      <c r="C98" s="76">
        <v>0.1173633441</v>
      </c>
      <c r="D98" s="13">
        <v>3335</v>
      </c>
      <c r="E98" s="14">
        <f>IF(ISNUMBER(D98), (D98 - $B98) / $B98, "")</f>
        <v>-4.0287769784172658E-2</v>
      </c>
      <c r="F98" s="16">
        <f>IF(ISNUMBER(D98), $B118 * E98, "")</f>
        <v>-6043.1654676258986</v>
      </c>
      <c r="G98" s="29">
        <v>3415</v>
      </c>
      <c r="H98" s="14">
        <f>IF(ISNUMBER(G98), (G98 - $B98) / $B98, "")</f>
        <v>-1.7266187050359712E-2</v>
      </c>
      <c r="I98" s="100">
        <f>IF(ISNUMBER(G98), $B118 * H98, "")</f>
        <v>-2589.9280575539569</v>
      </c>
      <c r="J98" s="13">
        <v>3415</v>
      </c>
      <c r="K98" s="14">
        <f>IF(ISNUMBER(J98), (J98 - $B98) / $B98, "")</f>
        <v>-1.7266187050359712E-2</v>
      </c>
      <c r="L98" s="16">
        <f>IF(ISNUMBER(J98), $B118 * K98, "")</f>
        <v>-2589.9280575539569</v>
      </c>
      <c r="M98" s="29">
        <v>3425</v>
      </c>
      <c r="N98" s="14">
        <f>IF(ISNUMBER(M98), (M98 - $B98) / $B98, "")</f>
        <v>-1.4388489208633094E-2</v>
      </c>
      <c r="O98" s="16">
        <f>IF(ISNUMBER(M98), $B118 * N98, "")</f>
        <v>-2158.2733812949641</v>
      </c>
      <c r="Q98" s="191"/>
      <c r="R98" s="191"/>
      <c r="S98" s="191"/>
    </row>
    <row r="99" spans="1:19" ht="17.25" thickBot="1">
      <c r="A99" s="125" t="s">
        <v>348</v>
      </c>
      <c r="B99" s="126">
        <v>230</v>
      </c>
      <c r="C99" s="77">
        <v>9.0047393399999995E-2</v>
      </c>
      <c r="D99" s="15">
        <v>212</v>
      </c>
      <c r="E99" s="32">
        <f t="shared" ref="E99:E102" si="46">IF(ISNUMBER(D99), (D99 - $B99) / $B99, "")</f>
        <v>-7.8260869565217397E-2</v>
      </c>
      <c r="F99" s="18">
        <f>IF(ISNUMBER(D99), $B118 * E99, "")</f>
        <v>-11739.13043478261</v>
      </c>
      <c r="G99" s="31">
        <v>212</v>
      </c>
      <c r="H99" s="32">
        <f t="shared" ref="H99:H102" si="47">IF(ISNUMBER(G99), (G99 - $B99) / $B99, "")</f>
        <v>-7.8260869565217397E-2</v>
      </c>
      <c r="I99" s="101">
        <f>IF(ISNUMBER(G99), $B118 * H99, "")</f>
        <v>-11739.13043478261</v>
      </c>
      <c r="J99" s="15">
        <v>212</v>
      </c>
      <c r="K99" s="32">
        <f t="shared" ref="K99:K102" si="48">IF(ISNUMBER(J99), (J99 - $B99) / $B99, "")</f>
        <v>-7.8260869565217397E-2</v>
      </c>
      <c r="L99" s="18">
        <f>IF(ISNUMBER(J99), $B118 * K99, "")</f>
        <v>-11739.13043478261</v>
      </c>
      <c r="M99" s="31">
        <v>209</v>
      </c>
      <c r="N99" s="32">
        <f t="shared" ref="N99:N102" si="49">IF(ISNUMBER(M99), (M99 - $B99) / $B99, "")</f>
        <v>-9.1304347826086957E-2</v>
      </c>
      <c r="O99" s="18">
        <f>IF(ISNUMBER(M99), $B118 * N99, "")</f>
        <v>-13695.652173913044</v>
      </c>
      <c r="Q99" s="191"/>
      <c r="R99" s="191"/>
      <c r="S99" s="191"/>
    </row>
    <row r="100" spans="1:19" ht="17.25" thickBot="1">
      <c r="A100" s="125" t="s">
        <v>136</v>
      </c>
      <c r="B100" s="126">
        <v>5465</v>
      </c>
      <c r="C100" s="77">
        <v>5.2986512499999999E-2</v>
      </c>
      <c r="D100" s="15">
        <v>5230</v>
      </c>
      <c r="E100" s="32">
        <f t="shared" si="46"/>
        <v>-4.3000914913083256E-2</v>
      </c>
      <c r="F100" s="18">
        <f>IF(ISNUMBER(D100), $B118 * E100, "")</f>
        <v>-6450.1372369624887</v>
      </c>
      <c r="G100" s="31">
        <v>5255</v>
      </c>
      <c r="H100" s="32">
        <f t="shared" si="47"/>
        <v>-3.8426349496797803E-2</v>
      </c>
      <c r="I100" s="101">
        <f>IF(ISNUMBER(G100), $B118 * H100, "")</f>
        <v>-5763.9524245196708</v>
      </c>
      <c r="J100" s="15">
        <v>5235</v>
      </c>
      <c r="K100" s="32">
        <f t="shared" si="48"/>
        <v>-4.2086001829826164E-2</v>
      </c>
      <c r="L100" s="18">
        <f>IF(ISNUMBER(J100), $B118 * K100, "")</f>
        <v>-6312.9002744739246</v>
      </c>
      <c r="M100" s="31">
        <v>5245</v>
      </c>
      <c r="N100" s="32">
        <f t="shared" si="49"/>
        <v>-4.0256175663311987E-2</v>
      </c>
      <c r="O100" s="18">
        <f>IF(ISNUMBER(M100), $B118 * N100, "")</f>
        <v>-6038.4263494967981</v>
      </c>
      <c r="Q100" s="196"/>
      <c r="R100" s="196"/>
      <c r="S100" s="196"/>
    </row>
    <row r="101" spans="1:19" ht="17.25" thickBot="1">
      <c r="A101" s="125" t="s">
        <v>95</v>
      </c>
      <c r="B101" s="126">
        <v>4405</v>
      </c>
      <c r="C101" s="77">
        <v>4.1371158399999997E-2</v>
      </c>
      <c r="D101" s="15">
        <v>4150</v>
      </c>
      <c r="E101" s="32">
        <f t="shared" si="46"/>
        <v>-5.7888762769580021E-2</v>
      </c>
      <c r="F101" s="18">
        <f>IF(ISNUMBER(D101), $B118 * E101, "")</f>
        <v>-8683.3144154370038</v>
      </c>
      <c r="G101" s="31">
        <v>4225</v>
      </c>
      <c r="H101" s="32">
        <f t="shared" si="47"/>
        <v>-4.0862656072644721E-2</v>
      </c>
      <c r="I101" s="101">
        <f>IF(ISNUMBER(G101), $B118 * H101, "")</f>
        <v>-6129.3984108967079</v>
      </c>
      <c r="J101" s="15">
        <v>4210</v>
      </c>
      <c r="K101" s="32">
        <f t="shared" si="48"/>
        <v>-4.4267877412031781E-2</v>
      </c>
      <c r="L101" s="18">
        <f>IF(ISNUMBER(J101), $B118 * K101, "")</f>
        <v>-6640.1816118047673</v>
      </c>
      <c r="M101" s="31">
        <v>4195</v>
      </c>
      <c r="N101" s="32">
        <f t="shared" si="49"/>
        <v>-4.7673098751418841E-2</v>
      </c>
      <c r="O101" s="18">
        <f>IF(ISNUMBER(M101), $B118 * N101, "")</f>
        <v>-7150.9648127128257</v>
      </c>
      <c r="Q101" s="196"/>
      <c r="R101" s="196"/>
      <c r="S101" s="196"/>
    </row>
    <row r="102" spans="1:19" ht="17.25" thickBot="1">
      <c r="A102" s="127" t="s">
        <v>327</v>
      </c>
      <c r="B102" s="128">
        <v>744</v>
      </c>
      <c r="C102" s="78">
        <v>3.7656903800000002E-2</v>
      </c>
      <c r="D102" s="20">
        <v>681</v>
      </c>
      <c r="E102" s="21">
        <f t="shared" si="46"/>
        <v>-8.4677419354838704E-2</v>
      </c>
      <c r="F102" s="22">
        <f>IF(ISNUMBER(D102), $B118 * E102, "")</f>
        <v>-12701.612903225805</v>
      </c>
      <c r="G102" s="30">
        <v>690</v>
      </c>
      <c r="H102" s="21">
        <f t="shared" si="47"/>
        <v>-7.2580645161290328E-2</v>
      </c>
      <c r="I102" s="105">
        <f>IF(ISNUMBER(G102), $B118 * H102, "")</f>
        <v>-10887.096774193549</v>
      </c>
      <c r="J102" s="20">
        <v>691</v>
      </c>
      <c r="K102" s="21">
        <f t="shared" si="48"/>
        <v>-7.1236559139784952E-2</v>
      </c>
      <c r="L102" s="22">
        <f>IF(ISNUMBER(J102), $B118 * K102, "")</f>
        <v>-10685.483870967742</v>
      </c>
      <c r="M102" s="30">
        <v>679</v>
      </c>
      <c r="N102" s="21">
        <f t="shared" si="49"/>
        <v>-8.7365591397849468E-2</v>
      </c>
      <c r="O102" s="22">
        <f>IF(ISNUMBER(M102), $B118 * N102, "")</f>
        <v>-13104.83870967742</v>
      </c>
      <c r="Q102" s="196"/>
      <c r="R102" s="196"/>
      <c r="S102" s="196"/>
    </row>
    <row r="103" spans="1:19" ht="17.25" thickBot="1">
      <c r="A103" s="125" t="s">
        <v>325</v>
      </c>
      <c r="B103" s="129">
        <v>123750</v>
      </c>
      <c r="C103" s="80">
        <v>3.6432160800000002E-2</v>
      </c>
      <c r="D103" s="106">
        <v>121400</v>
      </c>
      <c r="E103" s="107">
        <f>IF(ISNUMBER(D103), (D103 - $B103) / $B103, "")</f>
        <v>-1.8989898989898991E-2</v>
      </c>
      <c r="F103" s="108">
        <f>IF(ISNUMBER(D103), $B118 * E103, "")</f>
        <v>-2848.4848484848485</v>
      </c>
      <c r="G103" s="109">
        <v>122500</v>
      </c>
      <c r="H103" s="107">
        <f>IF(ISNUMBER(G103), (G103 - $B103) / $B103, "")</f>
        <v>-1.0101010101010102E-2</v>
      </c>
      <c r="I103" s="110">
        <f>IF(ISNUMBER(G103), $B118 * H103, "")</f>
        <v>-1515.1515151515152</v>
      </c>
      <c r="J103" s="106">
        <v>121750</v>
      </c>
      <c r="K103" s="107">
        <f>IF(ISNUMBER(J103), (J103 - $B103) / $B103, "")</f>
        <v>-1.6161616161616162E-2</v>
      </c>
      <c r="L103" s="108">
        <f>IF(ISNUMBER(J103), $B118 * K103, "")</f>
        <v>-2424.242424242424</v>
      </c>
      <c r="M103" s="109">
        <v>117950</v>
      </c>
      <c r="N103" s="107">
        <f>IF(ISNUMBER(M103), (M103 - $B103) / $B103, "")</f>
        <v>-4.6868686868686872E-2</v>
      </c>
      <c r="O103" s="108">
        <f>IF(ISNUMBER(M103), $B118 * N103, "")</f>
        <v>-7030.3030303030309</v>
      </c>
      <c r="Q103" s="196"/>
      <c r="R103" s="196"/>
      <c r="S103" s="196"/>
    </row>
    <row r="104" spans="1:19" ht="17.25" thickBot="1">
      <c r="A104" s="125" t="s">
        <v>154</v>
      </c>
      <c r="B104" s="126">
        <v>21800</v>
      </c>
      <c r="C104" s="77">
        <v>2.9759093100000002E-2</v>
      </c>
      <c r="D104" s="15">
        <v>22060</v>
      </c>
      <c r="E104" s="32">
        <f t="shared" ref="E104:E107" si="50">IF(ISNUMBER(D104), (D104 - $B104) / $B104, "")</f>
        <v>1.1926605504587157E-2</v>
      </c>
      <c r="F104" s="18">
        <f>IF(ISNUMBER(D104), $B118 * E104, "")</f>
        <v>1788.9908256880735</v>
      </c>
      <c r="G104" s="31">
        <v>22290</v>
      </c>
      <c r="H104" s="32">
        <f t="shared" ref="H104:H107" si="51">IF(ISNUMBER(G104), (G104 - $B104) / $B104, "")</f>
        <v>2.2477064220183487E-2</v>
      </c>
      <c r="I104" s="101">
        <f>IF(ISNUMBER(G104), $B118 * H104, "")</f>
        <v>3371.559633027523</v>
      </c>
      <c r="J104" s="15">
        <v>22350</v>
      </c>
      <c r="K104" s="32">
        <f t="shared" ref="K104:K107" si="52">IF(ISNUMBER(J104), (J104 - $B104) / $B104, "")</f>
        <v>2.5229357798165139E-2</v>
      </c>
      <c r="L104" s="18">
        <f>IF(ISNUMBER(J104), $B118 * K104, "")</f>
        <v>3784.4036697247707</v>
      </c>
      <c r="M104" s="31">
        <v>22490</v>
      </c>
      <c r="N104" s="32">
        <f t="shared" ref="N104:N107" si="53">IF(ISNUMBER(M104), (M104 - $B104) / $B104, "")</f>
        <v>3.1651376146788993E-2</v>
      </c>
      <c r="O104" s="18">
        <f>IF(ISNUMBER(M104), $B118 * N104, "")</f>
        <v>4747.7064220183493</v>
      </c>
      <c r="Q104" s="196"/>
      <c r="R104" s="196"/>
      <c r="S104" s="196"/>
    </row>
    <row r="105" spans="1:19" ht="17.25" thickBot="1">
      <c r="A105" s="125" t="s">
        <v>103</v>
      </c>
      <c r="B105" s="126">
        <v>716</v>
      </c>
      <c r="C105" s="77">
        <v>2.87356322E-2</v>
      </c>
      <c r="D105" s="15">
        <v>660</v>
      </c>
      <c r="E105" s="32">
        <f t="shared" si="50"/>
        <v>-7.8212290502793297E-2</v>
      </c>
      <c r="F105" s="18">
        <f>IF(ISNUMBER(D105), $B118 * E105, "")</f>
        <v>-11731.843575418994</v>
      </c>
      <c r="G105" s="31">
        <v>670</v>
      </c>
      <c r="H105" s="32">
        <f t="shared" si="51"/>
        <v>-6.4245810055865923E-2</v>
      </c>
      <c r="I105" s="101">
        <f>IF(ISNUMBER(G105), $B118 * H105, "")</f>
        <v>-9636.8715083798888</v>
      </c>
      <c r="J105" s="15">
        <v>669</v>
      </c>
      <c r="K105" s="32">
        <f t="shared" si="52"/>
        <v>-6.5642458100558659E-2</v>
      </c>
      <c r="L105" s="18">
        <f>IF(ISNUMBER(J105), $B118 * K105, "")</f>
        <v>-9846.3687150837995</v>
      </c>
      <c r="M105" s="31">
        <v>660</v>
      </c>
      <c r="N105" s="32">
        <f t="shared" si="53"/>
        <v>-7.8212290502793297E-2</v>
      </c>
      <c r="O105" s="18">
        <f>IF(ISNUMBER(M105), $B118 * N105, "")</f>
        <v>-11731.843575418994</v>
      </c>
      <c r="Q105" s="196"/>
      <c r="R105" s="196"/>
      <c r="S105" s="196"/>
    </row>
    <row r="106" spans="1:19" ht="17.25" thickBot="1">
      <c r="A106" s="125" t="s">
        <v>335</v>
      </c>
      <c r="B106" s="126">
        <v>2010</v>
      </c>
      <c r="C106" s="77">
        <v>2.5510204099999999E-2</v>
      </c>
      <c r="D106" s="15">
        <v>1960</v>
      </c>
      <c r="E106" s="32">
        <f t="shared" si="50"/>
        <v>-2.4875621890547265E-2</v>
      </c>
      <c r="F106" s="18">
        <f>IF(ISNUMBER(D106), $B118 * E106, "")</f>
        <v>-3731.34328358209</v>
      </c>
      <c r="G106" s="31">
        <v>1970</v>
      </c>
      <c r="H106" s="32">
        <f t="shared" si="51"/>
        <v>-1.9900497512437811E-2</v>
      </c>
      <c r="I106" s="101">
        <f>IF(ISNUMBER(G106), $B118 * H106, "")</f>
        <v>-2985.0746268656717</v>
      </c>
      <c r="J106" s="15">
        <v>1960</v>
      </c>
      <c r="K106" s="32">
        <f t="shared" si="52"/>
        <v>-2.4875621890547265E-2</v>
      </c>
      <c r="L106" s="18">
        <f>IF(ISNUMBER(J106), $B118 * K106, "")</f>
        <v>-3731.34328358209</v>
      </c>
      <c r="M106" s="31">
        <v>1955</v>
      </c>
      <c r="N106" s="32">
        <f t="shared" si="53"/>
        <v>-2.736318407960199E-2</v>
      </c>
      <c r="O106" s="18">
        <f>IF(ISNUMBER(M106), $B118 * N106, "")</f>
        <v>-4104.4776119402986</v>
      </c>
      <c r="Q106" s="33"/>
      <c r="R106" s="33"/>
    </row>
    <row r="107" spans="1:19" ht="17.25" thickBot="1">
      <c r="A107" s="130" t="s">
        <v>113</v>
      </c>
      <c r="B107" s="131">
        <v>4385</v>
      </c>
      <c r="C107" s="79">
        <v>2.45327103E-2</v>
      </c>
      <c r="D107" s="24">
        <v>4130</v>
      </c>
      <c r="E107" s="25">
        <f t="shared" si="50"/>
        <v>-5.8152793614595209E-2</v>
      </c>
      <c r="F107" s="104">
        <f>IF(ISNUMBER(D107), $B118 * E107, "")</f>
        <v>-8722.9190421892818</v>
      </c>
      <c r="G107" s="102">
        <v>4190</v>
      </c>
      <c r="H107" s="25">
        <f t="shared" si="51"/>
        <v>-4.4469783352337512E-2</v>
      </c>
      <c r="I107" s="103">
        <f>IF(ISNUMBER(G107), $B118 * H107, "")</f>
        <v>-6670.4675028506272</v>
      </c>
      <c r="J107" s="24">
        <v>4210</v>
      </c>
      <c r="K107" s="25">
        <f t="shared" si="52"/>
        <v>-3.9908779931584946E-2</v>
      </c>
      <c r="L107" s="104">
        <f>IF(ISNUMBER(J107), $B118 * K107, "")</f>
        <v>-5986.316989737742</v>
      </c>
      <c r="M107" s="102">
        <v>4180</v>
      </c>
      <c r="N107" s="25">
        <f t="shared" si="53"/>
        <v>-4.6750285062713795E-2</v>
      </c>
      <c r="O107" s="104">
        <f>IF(ISNUMBER(M107), $B118 * N107, "")</f>
        <v>-7012.5427594070688</v>
      </c>
      <c r="Q107" s="205"/>
      <c r="R107" s="206"/>
      <c r="S107" s="207"/>
    </row>
    <row r="108" spans="1:19">
      <c r="A108" s="123" t="s">
        <v>85</v>
      </c>
      <c r="B108" s="124">
        <v>241</v>
      </c>
      <c r="C108" s="76">
        <v>1.6877637099999999E-2</v>
      </c>
      <c r="D108" s="13">
        <v>238</v>
      </c>
      <c r="E108" s="14">
        <f>IF(ISNUMBER(D108), (D108 - $B108) / $B108, "")</f>
        <v>-1.2448132780082987E-2</v>
      </c>
      <c r="F108" s="16">
        <f>IF(ISNUMBER(D108), $B118 * E108, "")</f>
        <v>-1867.2199170124479</v>
      </c>
      <c r="G108" s="29">
        <v>238</v>
      </c>
      <c r="H108" s="14">
        <f>IF(ISNUMBER(G108), (G108 - $B108) / $B108, "")</f>
        <v>-1.2448132780082987E-2</v>
      </c>
      <c r="I108" s="100">
        <f>IF(ISNUMBER(G108), $B118 * H108, "")</f>
        <v>-1867.2199170124479</v>
      </c>
      <c r="J108" s="13">
        <v>237</v>
      </c>
      <c r="K108" s="14">
        <f>IF(ISNUMBER(J108), (J108 - $B108) / $B108, "")</f>
        <v>-1.6597510373443983E-2</v>
      </c>
      <c r="L108" s="16">
        <f>IF(ISNUMBER(J108), $B118 * K108, "")</f>
        <v>-2489.6265560165975</v>
      </c>
      <c r="M108" s="29">
        <v>238</v>
      </c>
      <c r="N108" s="14">
        <f>IF(ISNUMBER(M108), (M108 - $B108) / $B108, "")</f>
        <v>-1.2448132780082987E-2</v>
      </c>
      <c r="O108" s="16">
        <f>IF(ISNUMBER(M108), $B118 * N108, "")</f>
        <v>-1867.2199170124479</v>
      </c>
      <c r="Q108" s="208"/>
      <c r="R108" s="209"/>
      <c r="S108" s="210"/>
    </row>
    <row r="109" spans="1:19" ht="17.25" thickBot="1">
      <c r="A109" s="125" t="s">
        <v>339</v>
      </c>
      <c r="B109" s="126">
        <v>543</v>
      </c>
      <c r="C109" s="77">
        <v>1.68539326E-2</v>
      </c>
      <c r="D109" s="15">
        <v>531</v>
      </c>
      <c r="E109" s="32">
        <f t="shared" ref="E109:E112" si="54">IF(ISNUMBER(D109), (D109 - $B109) / $B109, "")</f>
        <v>-2.2099447513812154E-2</v>
      </c>
      <c r="F109" s="18">
        <f>IF(ISNUMBER(D109), $B118 * E109, "")</f>
        <v>-3314.917127071823</v>
      </c>
      <c r="G109" s="31">
        <v>532</v>
      </c>
      <c r="H109" s="32">
        <f t="shared" ref="H109:H112" si="55">IF(ISNUMBER(G109), (G109 - $B109) / $B109, "")</f>
        <v>-2.0257826887661142E-2</v>
      </c>
      <c r="I109" s="101">
        <f>IF(ISNUMBER(G109), $B118 * H109, "")</f>
        <v>-3038.6740331491715</v>
      </c>
      <c r="J109" s="15">
        <v>530</v>
      </c>
      <c r="K109" s="32">
        <f t="shared" ref="K109:K112" si="56">IF(ISNUMBER(J109), (J109 - $B109) / $B109, "")</f>
        <v>-2.3941068139963169E-2</v>
      </c>
      <c r="L109" s="18">
        <f>IF(ISNUMBER(J109), $B118 * K109, "")</f>
        <v>-3591.1602209944754</v>
      </c>
      <c r="M109" s="31">
        <v>530</v>
      </c>
      <c r="N109" s="32">
        <f t="shared" ref="N109:N112" si="57">IF(ISNUMBER(M109), (M109 - $B109) / $B109, "")</f>
        <v>-2.3941068139963169E-2</v>
      </c>
      <c r="O109" s="18">
        <f>IF(ISNUMBER(M109), $B118 * N109, "")</f>
        <v>-3591.1602209944754</v>
      </c>
      <c r="Q109" s="211"/>
      <c r="R109" s="212"/>
      <c r="S109" s="213"/>
    </row>
    <row r="110" spans="1:19" ht="17.25" thickBot="1">
      <c r="A110" s="125" t="s">
        <v>75</v>
      </c>
      <c r="B110" s="126">
        <v>18900</v>
      </c>
      <c r="C110" s="77">
        <v>1.6129032299999999E-2</v>
      </c>
      <c r="D110" s="15">
        <v>18450</v>
      </c>
      <c r="E110" s="32">
        <f t="shared" si="54"/>
        <v>-2.3809523809523808E-2</v>
      </c>
      <c r="F110" s="18">
        <f>IF(ISNUMBER(D110), $B118 * E110, "")</f>
        <v>-3571.4285714285711</v>
      </c>
      <c r="G110" s="31">
        <v>18500</v>
      </c>
      <c r="H110" s="32">
        <f t="shared" si="55"/>
        <v>-2.1164021164021163E-2</v>
      </c>
      <c r="I110" s="101">
        <f>IF(ISNUMBER(G110), $B118 * H110, "")</f>
        <v>-3174.6031746031745</v>
      </c>
      <c r="J110" s="15">
        <v>18420</v>
      </c>
      <c r="K110" s="32">
        <f t="shared" si="56"/>
        <v>-2.5396825396825397E-2</v>
      </c>
      <c r="L110" s="18">
        <f>IF(ISNUMBER(J110), $B118 * K110, "")</f>
        <v>-3809.5238095238096</v>
      </c>
      <c r="M110" s="31">
        <v>18190</v>
      </c>
      <c r="N110" s="32">
        <f t="shared" si="57"/>
        <v>-3.7566137566137567E-2</v>
      </c>
      <c r="O110" s="18">
        <f>IF(ISNUMBER(M110), $B118 * N110, "")</f>
        <v>-5634.9206349206352</v>
      </c>
      <c r="Q110" s="196"/>
      <c r="R110" s="196"/>
      <c r="S110" s="196"/>
    </row>
    <row r="111" spans="1:19" ht="17.25" thickBot="1">
      <c r="A111" s="125" t="s">
        <v>71</v>
      </c>
      <c r="B111" s="126">
        <v>20.399999999999999</v>
      </c>
      <c r="C111" s="77">
        <v>1.49253731E-2</v>
      </c>
      <c r="D111" s="15">
        <v>19.8</v>
      </c>
      <c r="E111" s="32">
        <f t="shared" si="54"/>
        <v>-2.9411764705882252E-2</v>
      </c>
      <c r="F111" s="18">
        <f>IF(ISNUMBER(D111), $B118 * E111, "")</f>
        <v>-4411.7647058823377</v>
      </c>
      <c r="G111" s="31">
        <v>19.8</v>
      </c>
      <c r="H111" s="32">
        <f t="shared" si="55"/>
        <v>-2.9411764705882252E-2</v>
      </c>
      <c r="I111" s="101">
        <f>IF(ISNUMBER(G111), $B118 * H111, "")</f>
        <v>-4411.7647058823377</v>
      </c>
      <c r="J111" s="15">
        <v>19.899999999999999</v>
      </c>
      <c r="K111" s="32">
        <f t="shared" si="56"/>
        <v>-2.4509803921568631E-2</v>
      </c>
      <c r="L111" s="18">
        <f>IF(ISNUMBER(J111), $B118 * K111, "")</f>
        <v>-3676.4705882352946</v>
      </c>
      <c r="M111" s="31">
        <v>19.899999999999999</v>
      </c>
      <c r="N111" s="32">
        <f t="shared" si="57"/>
        <v>-2.4509803921568631E-2</v>
      </c>
      <c r="O111" s="18">
        <f>IF(ISNUMBER(M111), $B118 * N111, "")</f>
        <v>-3676.4705882352946</v>
      </c>
      <c r="Q111" s="191"/>
      <c r="R111" s="191"/>
      <c r="S111" s="191"/>
    </row>
    <row r="112" spans="1:19" ht="17.25" thickBot="1">
      <c r="A112" s="127" t="s">
        <v>261</v>
      </c>
      <c r="B112" s="128">
        <v>163</v>
      </c>
      <c r="C112" s="78">
        <v>6.1728395E-3</v>
      </c>
      <c r="D112" s="20">
        <v>160</v>
      </c>
      <c r="E112" s="21">
        <f t="shared" si="54"/>
        <v>-1.8404907975460124E-2</v>
      </c>
      <c r="F112" s="22">
        <f>IF(ISNUMBER(D112), $B118 * E112, "")</f>
        <v>-2760.7361963190187</v>
      </c>
      <c r="G112" s="30">
        <v>162</v>
      </c>
      <c r="H112" s="21">
        <f t="shared" si="55"/>
        <v>-6.1349693251533744E-3</v>
      </c>
      <c r="I112" s="105">
        <f>IF(ISNUMBER(G112), $B118 * H112, "")</f>
        <v>-920.24539877300617</v>
      </c>
      <c r="J112" s="20">
        <v>162</v>
      </c>
      <c r="K112" s="21">
        <f t="shared" si="56"/>
        <v>-6.1349693251533744E-3</v>
      </c>
      <c r="L112" s="22">
        <f>IF(ISNUMBER(J112), $B118 * K112, "")</f>
        <v>-920.24539877300617</v>
      </c>
      <c r="M112" s="30">
        <v>160</v>
      </c>
      <c r="N112" s="21">
        <f t="shared" si="57"/>
        <v>-1.8404907975460124E-2</v>
      </c>
      <c r="O112" s="22">
        <f>IF(ISNUMBER(M112), $B118 * N112, "")</f>
        <v>-2760.7361963190187</v>
      </c>
      <c r="Q112" s="191"/>
      <c r="R112" s="191"/>
      <c r="S112" s="191"/>
    </row>
    <row r="113" spans="1:19" ht="17.25" thickBot="1">
      <c r="A113" s="125" t="s">
        <v>49</v>
      </c>
      <c r="B113" s="129">
        <v>53865000</v>
      </c>
      <c r="C113" s="80">
        <v>1.3943111999999999E-3</v>
      </c>
      <c r="D113" s="106">
        <v>52836000</v>
      </c>
      <c r="E113" s="107">
        <f>IF(ISNUMBER(D113), (D113 - $B113) / $B113, "")</f>
        <v>-1.9103313840155945E-2</v>
      </c>
      <c r="F113" s="108">
        <f>IF(ISNUMBER(D113), $B118 * E113, "")</f>
        <v>-2865.4970760233919</v>
      </c>
      <c r="G113" s="109">
        <v>52972000</v>
      </c>
      <c r="H113" s="107">
        <f>IF(ISNUMBER(G113), (G113 - $B113) / $B113, "")</f>
        <v>-1.6578483245149912E-2</v>
      </c>
      <c r="I113" s="110">
        <f>IF(ISNUMBER(G113), $B118 * H113, "")</f>
        <v>-2486.7724867724869</v>
      </c>
      <c r="J113" s="106">
        <v>52955000</v>
      </c>
      <c r="K113" s="107">
        <f>IF(ISNUMBER(J113), (J113 - $B113) / $B113, "")</f>
        <v>-1.6894087069525665E-2</v>
      </c>
      <c r="L113" s="108">
        <f>IF(ISNUMBER(J113), $B118 * K113, "")</f>
        <v>-2534.1130604288496</v>
      </c>
      <c r="M113" s="109">
        <v>52787000</v>
      </c>
      <c r="N113" s="107">
        <f>IF(ISNUMBER(M113), (M113 - $B113) / $B113, "")</f>
        <v>-2.0012995451591943E-2</v>
      </c>
      <c r="O113" s="108">
        <f>IF(ISNUMBER(M113), $B118 * N113, "")</f>
        <v>-3001.9493177387913</v>
      </c>
      <c r="Q113" s="196"/>
      <c r="R113" s="196"/>
      <c r="S113" s="196"/>
    </row>
    <row r="114" spans="1:19" ht="17.25" thickBot="1">
      <c r="A114" s="125" t="s">
        <v>93</v>
      </c>
      <c r="B114" s="126">
        <v>3607000</v>
      </c>
      <c r="C114" s="77">
        <v>5.5478500000000002E-4</v>
      </c>
      <c r="D114" s="15">
        <v>3538000</v>
      </c>
      <c r="E114" s="32">
        <f t="shared" ref="E114:E117" si="58">IF(ISNUMBER(D114), (D114 - $B114) / $B114, "")</f>
        <v>-1.9129470474078182E-2</v>
      </c>
      <c r="F114" s="18">
        <f>IF(ISNUMBER(D114), $B118 * E114, "")</f>
        <v>-2869.4205711117274</v>
      </c>
      <c r="G114" s="31">
        <v>3560000</v>
      </c>
      <c r="H114" s="32">
        <f t="shared" ref="H114:H117" si="59">IF(ISNUMBER(G114), (G114 - $B114) / $B114, "")</f>
        <v>-1.3030219018574993E-2</v>
      </c>
      <c r="I114" s="101">
        <f>IF(ISNUMBER(G114), $B118 * H114, "")</f>
        <v>-1954.5328527862489</v>
      </c>
      <c r="J114" s="15">
        <v>3553000</v>
      </c>
      <c r="K114" s="32">
        <f t="shared" ref="K114:K117" si="60">IF(ISNUMBER(J114), (J114 - $B114) / $B114, "")</f>
        <v>-1.4970889936235099E-2</v>
      </c>
      <c r="L114" s="18">
        <f>IF(ISNUMBER(J114), $B118 * K114, "")</f>
        <v>-2245.6334904352648</v>
      </c>
      <c r="M114" s="31">
        <v>3486000</v>
      </c>
      <c r="N114" s="32">
        <f t="shared" ref="N114:N117" si="61">IF(ISNUMBER(M114), (M114 - $B114) / $B114, "")</f>
        <v>-3.3545883005267535E-2</v>
      </c>
      <c r="O114" s="18">
        <f>IF(ISNUMBER(M114), $B118 * N114, "")</f>
        <v>-5031.88245079013</v>
      </c>
      <c r="Q114" s="196"/>
      <c r="R114" s="196"/>
      <c r="S114" s="196"/>
    </row>
    <row r="115" spans="1:19" ht="17.25" thickBot="1">
      <c r="A115" s="125" t="s">
        <v>64</v>
      </c>
      <c r="B115" s="126">
        <v>31.3</v>
      </c>
      <c r="C115" s="77">
        <v>0</v>
      </c>
      <c r="D115" s="15">
        <v>30.5</v>
      </c>
      <c r="E115" s="32">
        <f t="shared" si="58"/>
        <v>-2.5559105431309927E-2</v>
      </c>
      <c r="F115" s="18">
        <f>IF(ISNUMBER(D115), $B118 * E115, "")</f>
        <v>-3833.865814696489</v>
      </c>
      <c r="G115" s="31">
        <v>30.5</v>
      </c>
      <c r="H115" s="32">
        <f t="shared" si="59"/>
        <v>-2.5559105431309927E-2</v>
      </c>
      <c r="I115" s="101">
        <f>IF(ISNUMBER(G115), $B118 * H115, "")</f>
        <v>-3833.865814696489</v>
      </c>
      <c r="J115" s="15">
        <v>30.6</v>
      </c>
      <c r="K115" s="32">
        <f t="shared" si="60"/>
        <v>-2.2364217252396144E-2</v>
      </c>
      <c r="L115" s="18">
        <f>IF(ISNUMBER(J115), $B118 * K115, "")</f>
        <v>-3354.6325878594216</v>
      </c>
      <c r="M115" s="31">
        <v>30.2</v>
      </c>
      <c r="N115" s="32">
        <f t="shared" si="61"/>
        <v>-3.5143769968051165E-2</v>
      </c>
      <c r="O115" s="18">
        <f>IF(ISNUMBER(M115), $B118 * N115, "")</f>
        <v>-5271.5654952076748</v>
      </c>
      <c r="Q115" s="196"/>
      <c r="R115" s="196"/>
      <c r="S115" s="196"/>
    </row>
    <row r="116" spans="1:19">
      <c r="A116" s="125" t="s">
        <v>124</v>
      </c>
      <c r="B116" s="126">
        <v>64.099999999999994</v>
      </c>
      <c r="C116" s="77">
        <v>0</v>
      </c>
      <c r="D116" s="15">
        <v>64.2</v>
      </c>
      <c r="E116" s="32">
        <f t="shared" si="58"/>
        <v>1.560062402496233E-3</v>
      </c>
      <c r="F116" s="18">
        <f>IF(ISNUMBER(D116), $B118 * E116, "")</f>
        <v>234.00936037443495</v>
      </c>
      <c r="G116" s="31">
        <v>67.599999999999994</v>
      </c>
      <c r="H116" s="32">
        <f t="shared" si="59"/>
        <v>5.4602184087363496E-2</v>
      </c>
      <c r="I116" s="101">
        <f>IF(ISNUMBER(G116), $B118 * H116, "")</f>
        <v>8190.3276131045241</v>
      </c>
      <c r="J116" s="15">
        <v>67.8</v>
      </c>
      <c r="K116" s="32">
        <f t="shared" si="60"/>
        <v>5.7722308892355745E-2</v>
      </c>
      <c r="L116" s="18">
        <f>IF(ISNUMBER(J116), $B118 * K116, "")</f>
        <v>8658.346333853362</v>
      </c>
      <c r="M116" s="31">
        <v>67.7</v>
      </c>
      <c r="N116" s="32">
        <f t="shared" si="61"/>
        <v>5.6162246489859735E-2</v>
      </c>
      <c r="O116" s="18">
        <f>IF(ISNUMBER(M116), $B118 * N116, "")</f>
        <v>8424.3369734789594</v>
      </c>
      <c r="Q116" s="218"/>
      <c r="R116" s="219"/>
      <c r="S116" s="220"/>
    </row>
    <row r="117" spans="1:19" ht="17.25" thickBot="1">
      <c r="A117" s="130" t="s">
        <v>62</v>
      </c>
      <c r="B117" s="131">
        <v>29370</v>
      </c>
      <c r="C117" s="79">
        <v>-3.4036759999999999E-4</v>
      </c>
      <c r="D117" s="24">
        <v>29200</v>
      </c>
      <c r="E117" s="25">
        <f t="shared" si="58"/>
        <v>-5.7882192713653389E-3</v>
      </c>
      <c r="F117" s="104">
        <f>IF(ISNUMBER(D117), $B118 * E117, "")</f>
        <v>-868.23289070480087</v>
      </c>
      <c r="G117" s="102">
        <v>29890</v>
      </c>
      <c r="H117" s="25">
        <f t="shared" si="59"/>
        <v>1.7705141300646918E-2</v>
      </c>
      <c r="I117" s="103">
        <f>IF(ISNUMBER(G117), $B118 * H117, "")</f>
        <v>2655.7711950970374</v>
      </c>
      <c r="J117" s="24">
        <v>29600</v>
      </c>
      <c r="K117" s="25">
        <f t="shared" si="60"/>
        <v>7.8311201906707522E-3</v>
      </c>
      <c r="L117" s="104">
        <f>IF(ISNUMBER(J117), $B118 * K117, "")</f>
        <v>1174.6680286006128</v>
      </c>
      <c r="M117" s="102">
        <v>29220</v>
      </c>
      <c r="N117" s="25">
        <f t="shared" si="61"/>
        <v>-5.1072522982635342E-3</v>
      </c>
      <c r="O117" s="104">
        <f>IF(ISNUMBER(M117), $B118 * N117, "")</f>
        <v>-766.08784473953017</v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-3.2330677963965708E-2</v>
      </c>
      <c r="F118" s="28">
        <f>SUM(F98:F117)</f>
        <v>-96992.03389189711</v>
      </c>
      <c r="G118" s="26" t="s">
        <v>266</v>
      </c>
      <c r="H118" s="27">
        <f>IF(COUNT(H98:H117), SUM(H98:H117) / COUNT(H98:H117), 0)</f>
        <v>-2.1795697065880165E-2</v>
      </c>
      <c r="I118" s="28">
        <f>SUM(I98:I117)</f>
        <v>-65387.091197640475</v>
      </c>
      <c r="J118" s="26" t="s">
        <v>266</v>
      </c>
      <c r="K118" s="27">
        <f>IF(COUNT(K98:K117), SUM(K98:K117) / COUNT(K98:K117), 0)</f>
        <v>-2.2986627780772349E-2</v>
      </c>
      <c r="L118" s="28">
        <f>SUM(L98:L117)</f>
        <v>-68959.883342317058</v>
      </c>
      <c r="M118" s="26" t="s">
        <v>266</v>
      </c>
      <c r="N118" s="27">
        <f>IF(COUNT(N98:N117), SUM(N98:N117) / COUNT(N98:N117), 0)</f>
        <v>-3.0152423891541713E-2</v>
      </c>
      <c r="O118" s="28">
        <f>SUM(O98:O117)</f>
        <v>-90457.271674625154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2022-03-03(목) 오전 00:00</v>
      </c>
      <c r="C123" s="234"/>
      <c r="D123" s="193" t="str">
        <f>TEXT($G$1, "[$-ko-KR]yyyy-mm-dd(ddd) ") &amp; "오후 14:00"</f>
        <v>2022-03-03(목) 오후 14:00</v>
      </c>
      <c r="E123" s="194"/>
      <c r="F123" s="195"/>
      <c r="G123" s="193" t="str">
        <f>TEXT($G$1, "[$-ko-KR]yyyy-mm-dd(ddd) ") &amp; "오후 19:00"</f>
        <v>2022-03-03(목) 오후 19:00</v>
      </c>
      <c r="H123" s="194"/>
      <c r="I123" s="195"/>
      <c r="J123" s="193" t="str">
        <f>TEXT($G$1, "[$-ko-KR]yyyy-mm-dd(ddd) ") &amp; "오후 21:00"</f>
        <v>2022-03-03(목) 오후 21:00</v>
      </c>
      <c r="K123" s="194"/>
      <c r="L123" s="195"/>
      <c r="M123" s="193" t="str">
        <f>TEXT($G$1+1, "[$-ko-KR]yyyy-mm-dd(ddd) ") &amp; "오전 00:00"</f>
        <v>2022-03-04(금)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144</v>
      </c>
      <c r="B125" s="124">
        <v>11.6</v>
      </c>
      <c r="C125" s="76">
        <v>-1.6949152499999998E-2</v>
      </c>
      <c r="D125" s="13">
        <v>11.4</v>
      </c>
      <c r="E125" s="14">
        <f>IF(ISNUMBER(D125), (D125 - $B125) / $B125, "")</f>
        <v>-1.7241379310344768E-2</v>
      </c>
      <c r="F125" s="16">
        <f>IF(ISNUMBER(D125), $B145 * E125, "")</f>
        <v>-2586.2068965517151</v>
      </c>
      <c r="G125" s="29">
        <v>11.5</v>
      </c>
      <c r="H125" s="14">
        <f>IF(ISNUMBER(G125), (G125 - $B125) / $B125, "")</f>
        <v>-8.6206896551723842E-3</v>
      </c>
      <c r="I125" s="100">
        <f>IF(ISNUMBER(G125), $B145 * H125, "")</f>
        <v>-1293.1034482758575</v>
      </c>
      <c r="J125" s="13">
        <v>11.4</v>
      </c>
      <c r="K125" s="14">
        <f>IF(ISNUMBER(J125), (J125 - $B125) / $B125, "")</f>
        <v>-1.7241379310344768E-2</v>
      </c>
      <c r="L125" s="16">
        <f>IF(ISNUMBER(J125), $B145 * K125, "")</f>
        <v>-2586.2068965517151</v>
      </c>
      <c r="M125" s="29">
        <v>11.4</v>
      </c>
      <c r="N125" s="14">
        <f>IF(ISNUMBER(M125), (M125 - $B125) / $B125, "")</f>
        <v>-1.7241379310344768E-2</v>
      </c>
      <c r="O125" s="16">
        <f>IF(ISNUMBER(M125), $B145 * N125, "")</f>
        <v>-2586.2068965517151</v>
      </c>
      <c r="Q125" s="191"/>
      <c r="R125" s="191"/>
      <c r="S125" s="191"/>
    </row>
    <row r="126" spans="1:19" ht="17.25" thickBot="1">
      <c r="A126" s="125" t="s">
        <v>126</v>
      </c>
      <c r="B126" s="126">
        <v>86.2</v>
      </c>
      <c r="C126" s="77">
        <v>-2.0454545500000001E-2</v>
      </c>
      <c r="D126" s="15">
        <v>84.8</v>
      </c>
      <c r="E126" s="32">
        <f t="shared" ref="E126:E129" si="62">IF(ISNUMBER(D126), (D126 - $B126) / $B126, "")</f>
        <v>-1.6241299303944381E-2</v>
      </c>
      <c r="F126" s="18">
        <f>IF(ISNUMBER(D126), $B145 * E126, "")</f>
        <v>-2436.1948955916573</v>
      </c>
      <c r="G126" s="31">
        <v>85.6</v>
      </c>
      <c r="H126" s="32">
        <f t="shared" ref="H126:H129" si="63">IF(ISNUMBER(G126), (G126 - $B126) / $B126, "")</f>
        <v>-6.9605568445476624E-3</v>
      </c>
      <c r="I126" s="101">
        <f>IF(ISNUMBER(G126), $B145 * H126, "")</f>
        <v>-1044.0835266821493</v>
      </c>
      <c r="J126" s="15">
        <v>85.5</v>
      </c>
      <c r="K126" s="32">
        <f t="shared" ref="K126:K129" si="64">IF(ISNUMBER(J126), (J126 - $B126) / $B126, "")</f>
        <v>-8.1206496519721904E-3</v>
      </c>
      <c r="L126" s="18">
        <f>IF(ISNUMBER(J126), $B145 * K126, "")</f>
        <v>-1218.0974477958287</v>
      </c>
      <c r="M126" s="31">
        <v>87.7</v>
      </c>
      <c r="N126" s="32">
        <f t="shared" ref="N126:N129" si="65">IF(ISNUMBER(M126), (M126 - $B126) / $B126, "")</f>
        <v>1.7401392111368909E-2</v>
      </c>
      <c r="O126" s="18">
        <f>IF(ISNUMBER(M126), $B145 * N126, "")</f>
        <v>2610.2088167053362</v>
      </c>
      <c r="Q126" s="191"/>
      <c r="R126" s="191"/>
      <c r="S126" s="191"/>
    </row>
    <row r="127" spans="1:19" ht="17.25" thickBot="1">
      <c r="A127" s="125" t="s">
        <v>128</v>
      </c>
      <c r="B127" s="126">
        <v>52.5</v>
      </c>
      <c r="C127" s="77">
        <v>-2.05223881E-2</v>
      </c>
      <c r="D127" s="15">
        <v>51.5</v>
      </c>
      <c r="E127" s="32">
        <f t="shared" si="62"/>
        <v>-1.9047619047619049E-2</v>
      </c>
      <c r="F127" s="18">
        <f>IF(ISNUMBER(D127), $B145 * E127, "")</f>
        <v>-2857.1428571428573</v>
      </c>
      <c r="G127" s="31">
        <v>52.2</v>
      </c>
      <c r="H127" s="32">
        <f t="shared" si="63"/>
        <v>-5.7142857142856605E-3</v>
      </c>
      <c r="I127" s="101">
        <f>IF(ISNUMBER(G127), $B145 * H127, "")</f>
        <v>-857.14285714284904</v>
      </c>
      <c r="J127" s="15">
        <v>52.2</v>
      </c>
      <c r="K127" s="32">
        <f t="shared" si="64"/>
        <v>-5.7142857142856605E-3</v>
      </c>
      <c r="L127" s="18">
        <f>IF(ISNUMBER(J127), $B145 * K127, "")</f>
        <v>-857.14285714284904</v>
      </c>
      <c r="M127" s="31">
        <v>51.9</v>
      </c>
      <c r="N127" s="32">
        <f t="shared" si="65"/>
        <v>-1.1428571428571456E-2</v>
      </c>
      <c r="O127" s="18">
        <f>IF(ISNUMBER(M127), $B145 * N127, "")</f>
        <v>-1714.2857142857185</v>
      </c>
      <c r="Q127" s="196"/>
      <c r="R127" s="196"/>
      <c r="S127" s="196"/>
    </row>
    <row r="128" spans="1:19" ht="17.25" thickBot="1">
      <c r="A128" s="125" t="s">
        <v>341</v>
      </c>
      <c r="B128" s="126">
        <v>9.3100000000000002E-2</v>
      </c>
      <c r="C128" s="77">
        <v>-2.5130890100000001E-2</v>
      </c>
      <c r="D128" s="15">
        <v>9.11E-2</v>
      </c>
      <c r="E128" s="32">
        <f t="shared" si="62"/>
        <v>-2.1482277121374883E-2</v>
      </c>
      <c r="F128" s="18">
        <f>IF(ISNUMBER(D128), $B145 * E128, "")</f>
        <v>-3222.3415682062323</v>
      </c>
      <c r="G128" s="31">
        <v>9.1999999999999998E-2</v>
      </c>
      <c r="H128" s="32">
        <f t="shared" si="63"/>
        <v>-1.1815252416756216E-2</v>
      </c>
      <c r="I128" s="101">
        <f>IF(ISNUMBER(G128), $B145 * H128, "")</f>
        <v>-1772.2878625134324</v>
      </c>
      <c r="J128" s="15">
        <v>9.2100000000000001E-2</v>
      </c>
      <c r="K128" s="32">
        <f t="shared" si="64"/>
        <v>-1.0741138560687442E-2</v>
      </c>
      <c r="L128" s="18">
        <f>IF(ISNUMBER(J128), $B145 * K128, "")</f>
        <v>-1611.1707841031161</v>
      </c>
      <c r="M128" s="31">
        <v>9.1600000000000001E-2</v>
      </c>
      <c r="N128" s="32">
        <f t="shared" si="65"/>
        <v>-1.6111707841031164E-2</v>
      </c>
      <c r="O128" s="18">
        <f>IF(ISNUMBER(M128), $B145 * N128, "")</f>
        <v>-2416.7561761546744</v>
      </c>
      <c r="Q128" s="196"/>
      <c r="R128" s="196"/>
      <c r="S128" s="196"/>
    </row>
    <row r="129" spans="1:19" ht="17.25" thickBot="1">
      <c r="A129" s="127" t="s">
        <v>174</v>
      </c>
      <c r="B129" s="128">
        <v>11.1</v>
      </c>
      <c r="C129" s="78">
        <v>-2.6315789499999999E-2</v>
      </c>
      <c r="D129" s="20">
        <v>10.8</v>
      </c>
      <c r="E129" s="21">
        <f t="shared" si="62"/>
        <v>-2.7027027027026931E-2</v>
      </c>
      <c r="F129" s="22">
        <f>IF(ISNUMBER(D129), $B145 * E129, "")</f>
        <v>-4054.0540540540396</v>
      </c>
      <c r="G129" s="30">
        <v>11</v>
      </c>
      <c r="H129" s="21">
        <f t="shared" si="63"/>
        <v>-9.0090090090089777E-3</v>
      </c>
      <c r="I129" s="105">
        <f>IF(ISNUMBER(G129), $B145 * H129, "")</f>
        <v>-1351.3513513513467</v>
      </c>
      <c r="J129" s="20">
        <v>10.9</v>
      </c>
      <c r="K129" s="21">
        <f t="shared" si="64"/>
        <v>-1.8018018018017955E-2</v>
      </c>
      <c r="L129" s="22">
        <f>IF(ISNUMBER(J129), $B145 * K129, "")</f>
        <v>-2702.7027027026934</v>
      </c>
      <c r="M129" s="30">
        <v>10.9</v>
      </c>
      <c r="N129" s="21">
        <f t="shared" si="65"/>
        <v>-1.8018018018017955E-2</v>
      </c>
      <c r="O129" s="22">
        <f>IF(ISNUMBER(M129), $B145 * N129, "")</f>
        <v>-2702.7027027026934</v>
      </c>
      <c r="Q129" s="196"/>
      <c r="R129" s="196"/>
      <c r="S129" s="196"/>
    </row>
    <row r="130" spans="1:19" ht="17.25" thickBot="1">
      <c r="A130" s="125" t="s">
        <v>203</v>
      </c>
      <c r="B130" s="129">
        <v>8.0299999999999994</v>
      </c>
      <c r="C130" s="80">
        <v>-2.6666666700000001E-2</v>
      </c>
      <c r="D130" s="106">
        <v>7.79</v>
      </c>
      <c r="E130" s="107">
        <f>IF(ISNUMBER(D130), (D130 - $B130) / $B130, "")</f>
        <v>-2.9887920298879121E-2</v>
      </c>
      <c r="F130" s="108">
        <f>IF(ISNUMBER(D130), $B145 * E130, "")</f>
        <v>-4483.188044831868</v>
      </c>
      <c r="G130" s="109">
        <v>7.93</v>
      </c>
      <c r="H130" s="107">
        <f>IF(ISNUMBER(G130), (G130 - $B130) / $B130, "")</f>
        <v>-1.2453300124532957E-2</v>
      </c>
      <c r="I130" s="110">
        <f>IF(ISNUMBER(G130), $B145 * H130, "")</f>
        <v>-1867.9950186799435</v>
      </c>
      <c r="J130" s="106">
        <v>7.88</v>
      </c>
      <c r="K130" s="107">
        <f>IF(ISNUMBER(J130), (J130 - $B130) / $B130, "")</f>
        <v>-1.8679950186799438E-2</v>
      </c>
      <c r="L130" s="108">
        <f>IF(ISNUMBER(J130), $B145 * K130, "")</f>
        <v>-2801.9925280199159</v>
      </c>
      <c r="M130" s="109">
        <v>7.85</v>
      </c>
      <c r="N130" s="107">
        <f>IF(ISNUMBER(M130), (M130 - $B130) / $B130, "")</f>
        <v>-2.2415940224159367E-2</v>
      </c>
      <c r="O130" s="108">
        <f>IF(ISNUMBER(M130), $B145 * N130, "")</f>
        <v>-3362.3910336239051</v>
      </c>
      <c r="Q130" s="196"/>
      <c r="R130" s="196"/>
      <c r="S130" s="196"/>
    </row>
    <row r="131" spans="1:19" ht="17.25" thickBot="1">
      <c r="A131" s="125" t="s">
        <v>118</v>
      </c>
      <c r="B131" s="126">
        <v>18.100000000000001</v>
      </c>
      <c r="C131" s="77">
        <v>-2.68817204E-2</v>
      </c>
      <c r="D131" s="15">
        <v>17.399999999999999</v>
      </c>
      <c r="E131" s="32">
        <f t="shared" ref="E131:E134" si="66">IF(ISNUMBER(D131), (D131 - $B131) / $B131, "")</f>
        <v>-3.8674033149171422E-2</v>
      </c>
      <c r="F131" s="18">
        <f>IF(ISNUMBER(D131), $B145 * E131, "")</f>
        <v>-5801.1049723757133</v>
      </c>
      <c r="G131" s="31">
        <v>17.600000000000001</v>
      </c>
      <c r="H131" s="32">
        <f t="shared" ref="H131:H134" si="67">IF(ISNUMBER(G131), (G131 - $B131) / $B131, "")</f>
        <v>-2.7624309392265192E-2</v>
      </c>
      <c r="I131" s="101">
        <f>IF(ISNUMBER(G131), $B145 * H131, "")</f>
        <v>-4143.6464088397788</v>
      </c>
      <c r="J131" s="15">
        <v>17.5</v>
      </c>
      <c r="K131" s="32">
        <f t="shared" ref="K131:K134" si="68">IF(ISNUMBER(J131), (J131 - $B131) / $B131, "")</f>
        <v>-3.3149171270718307E-2</v>
      </c>
      <c r="L131" s="18">
        <f>IF(ISNUMBER(J131), $B145 * K131, "")</f>
        <v>-4972.375690607746</v>
      </c>
      <c r="M131" s="31">
        <v>17.8</v>
      </c>
      <c r="N131" s="32">
        <f t="shared" ref="N131:N134" si="69">IF(ISNUMBER(M131), (M131 - $B131) / $B131, "")</f>
        <v>-1.6574585635359153E-2</v>
      </c>
      <c r="O131" s="18">
        <f>IF(ISNUMBER(M131), $B145 * N131, "")</f>
        <v>-2486.187845303873</v>
      </c>
      <c r="Q131" s="196"/>
      <c r="R131" s="196"/>
      <c r="S131" s="196"/>
    </row>
    <row r="132" spans="1:19" ht="17.25" thickBot="1">
      <c r="A132" s="125" t="s">
        <v>185</v>
      </c>
      <c r="B132" s="126">
        <v>10.6</v>
      </c>
      <c r="C132" s="77">
        <v>-2.7522935799999999E-2</v>
      </c>
      <c r="D132" s="15">
        <v>10.3</v>
      </c>
      <c r="E132" s="32">
        <f t="shared" si="66"/>
        <v>-2.830188679245273E-2</v>
      </c>
      <c r="F132" s="18">
        <f>IF(ISNUMBER(D132), $B145 * E132, "")</f>
        <v>-4245.28301886791</v>
      </c>
      <c r="G132" s="31">
        <v>10.3</v>
      </c>
      <c r="H132" s="32">
        <f t="shared" si="67"/>
        <v>-2.830188679245273E-2</v>
      </c>
      <c r="I132" s="101">
        <f>IF(ISNUMBER(G132), $B145 * H132, "")</f>
        <v>-4245.28301886791</v>
      </c>
      <c r="J132" s="15">
        <v>10.3</v>
      </c>
      <c r="K132" s="32">
        <f t="shared" si="68"/>
        <v>-2.830188679245273E-2</v>
      </c>
      <c r="L132" s="18">
        <f>IF(ISNUMBER(J132), $B145 * K132, "")</f>
        <v>-4245.28301886791</v>
      </c>
      <c r="M132" s="31">
        <v>10.3</v>
      </c>
      <c r="N132" s="32">
        <f t="shared" si="69"/>
        <v>-2.830188679245273E-2</v>
      </c>
      <c r="O132" s="18">
        <f>IF(ISNUMBER(M132), $B145 * N132, "")</f>
        <v>-4245.28301886791</v>
      </c>
      <c r="Q132" s="196"/>
      <c r="R132" s="196"/>
      <c r="S132" s="196"/>
    </row>
    <row r="133" spans="1:19" ht="17.25" thickBot="1">
      <c r="A133" s="125" t="s">
        <v>197</v>
      </c>
      <c r="B133" s="126">
        <v>49.1</v>
      </c>
      <c r="C133" s="77">
        <v>-2.77227723E-2</v>
      </c>
      <c r="D133" s="15">
        <v>48.2</v>
      </c>
      <c r="E133" s="32">
        <f t="shared" si="66"/>
        <v>-1.8329938900203638E-2</v>
      </c>
      <c r="F133" s="18">
        <f>IF(ISNUMBER(D133), $B145 * E133, "")</f>
        <v>-2749.4908350305459</v>
      </c>
      <c r="G133" s="31">
        <v>48.2</v>
      </c>
      <c r="H133" s="32">
        <f t="shared" si="67"/>
        <v>-1.8329938900203638E-2</v>
      </c>
      <c r="I133" s="101">
        <f>IF(ISNUMBER(G133), $B145 * H133, "")</f>
        <v>-2749.4908350305459</v>
      </c>
      <c r="J133" s="15">
        <v>48.3</v>
      </c>
      <c r="K133" s="32">
        <f t="shared" si="68"/>
        <v>-1.6293279022403344E-2</v>
      </c>
      <c r="L133" s="18">
        <f>IF(ISNUMBER(J133), $B145 * K133, "")</f>
        <v>-2443.9918533605014</v>
      </c>
      <c r="M133" s="31">
        <v>48.2</v>
      </c>
      <c r="N133" s="32">
        <f t="shared" si="69"/>
        <v>-1.8329938900203638E-2</v>
      </c>
      <c r="O133" s="18">
        <f>IF(ISNUMBER(M133), $B145 * N133, "")</f>
        <v>-2749.4908350305459</v>
      </c>
      <c r="Q133" s="33"/>
      <c r="R133" s="33"/>
    </row>
    <row r="134" spans="1:19" ht="17.25" thickBot="1">
      <c r="A134" s="130" t="s">
        <v>146</v>
      </c>
      <c r="B134" s="131">
        <v>8.85</v>
      </c>
      <c r="C134" s="79">
        <v>-2.8540065900000001E-2</v>
      </c>
      <c r="D134" s="24">
        <v>8.65</v>
      </c>
      <c r="E134" s="25">
        <f t="shared" si="66"/>
        <v>-2.2598870056497095E-2</v>
      </c>
      <c r="F134" s="104">
        <f>IF(ISNUMBER(D134), $B145 * E134, "")</f>
        <v>-3389.8305084745643</v>
      </c>
      <c r="G134" s="102">
        <v>8.6999999999999993</v>
      </c>
      <c r="H134" s="25">
        <f t="shared" si="67"/>
        <v>-1.6949152542372923E-2</v>
      </c>
      <c r="I134" s="103">
        <f>IF(ISNUMBER(G134), $B145 * H134, "")</f>
        <v>-2542.3728813559383</v>
      </c>
      <c r="J134" s="24">
        <v>8.73</v>
      </c>
      <c r="K134" s="25">
        <f t="shared" si="68"/>
        <v>-1.3559322033898218E-2</v>
      </c>
      <c r="L134" s="104">
        <f>IF(ISNUMBER(J134), $B145 * K134, "")</f>
        <v>-2033.8983050847328</v>
      </c>
      <c r="M134" s="102">
        <v>8.6999999999999993</v>
      </c>
      <c r="N134" s="25">
        <f t="shared" si="69"/>
        <v>-1.6949152542372923E-2</v>
      </c>
      <c r="O134" s="104">
        <f>IF(ISNUMBER(M134), $B145 * N134, "")</f>
        <v>-2542.3728813559383</v>
      </c>
      <c r="Q134" s="205"/>
      <c r="R134" s="206"/>
      <c r="S134" s="207"/>
    </row>
    <row r="135" spans="1:19">
      <c r="A135" s="123" t="s">
        <v>158</v>
      </c>
      <c r="B135" s="124">
        <v>68.8</v>
      </c>
      <c r="C135" s="76">
        <v>-2.96191819E-2</v>
      </c>
      <c r="D135" s="13">
        <v>67.900000000000006</v>
      </c>
      <c r="E135" s="14">
        <f>IF(ISNUMBER(D135), (D135 - $B135) / $B135, "")</f>
        <v>-1.3081395348837085E-2</v>
      </c>
      <c r="F135" s="16">
        <f>IF(ISNUMBER(D135), $B145 * E135, "")</f>
        <v>-1962.2093023255627</v>
      </c>
      <c r="G135" s="29">
        <v>68.599999999999994</v>
      </c>
      <c r="H135" s="14">
        <f>IF(ISNUMBER(G135), (G135 - $B135) / $B135, "")</f>
        <v>-2.9069767441860881E-3</v>
      </c>
      <c r="I135" s="100">
        <f>IF(ISNUMBER(G135), $B145 * H135, "")</f>
        <v>-436.04651162791322</v>
      </c>
      <c r="J135" s="13">
        <v>68.7</v>
      </c>
      <c r="K135" s="14">
        <f>IF(ISNUMBER(J135), (J135 - $B135) / $B135, "")</f>
        <v>-1.4534883720929406E-3</v>
      </c>
      <c r="L135" s="16">
        <f>IF(ISNUMBER(J135), $B145 * K135, "")</f>
        <v>-218.02325581394109</v>
      </c>
      <c r="M135" s="29">
        <v>68.099999999999994</v>
      </c>
      <c r="N135" s="14">
        <f>IF(ISNUMBER(M135), (M135 - $B135) / $B135, "")</f>
        <v>-1.0174418604651205E-2</v>
      </c>
      <c r="O135" s="16">
        <f>IF(ISNUMBER(M135), $B145 * N135, "")</f>
        <v>-1526.1627906976807</v>
      </c>
      <c r="Q135" s="208"/>
      <c r="R135" s="209"/>
      <c r="S135" s="210"/>
    </row>
    <row r="136" spans="1:19" ht="17.25" thickBot="1">
      <c r="A136" s="125" t="s">
        <v>205</v>
      </c>
      <c r="B136" s="126">
        <v>12</v>
      </c>
      <c r="C136" s="77">
        <v>-3.2258064500000003E-2</v>
      </c>
      <c r="D136" s="15">
        <v>11.6</v>
      </c>
      <c r="E136" s="32">
        <f t="shared" ref="E136:E139" si="70">IF(ISNUMBER(D136), (D136 - $B136) / $B136, "")</f>
        <v>-3.3333333333333361E-2</v>
      </c>
      <c r="F136" s="18">
        <f>IF(ISNUMBER(D136), $B145 * E136, "")</f>
        <v>-5000.0000000000045</v>
      </c>
      <c r="G136" s="31">
        <v>11.7</v>
      </c>
      <c r="H136" s="32">
        <f t="shared" ref="H136:H139" si="71">IF(ISNUMBER(G136), (G136 - $B136) / $B136, "")</f>
        <v>-2.500000000000006E-2</v>
      </c>
      <c r="I136" s="101">
        <f>IF(ISNUMBER(G136), $B145 * H136, "")</f>
        <v>-3750.0000000000091</v>
      </c>
      <c r="J136" s="15">
        <v>11.6</v>
      </c>
      <c r="K136" s="32">
        <f t="shared" ref="K136:K139" si="72">IF(ISNUMBER(J136), (J136 - $B136) / $B136, "")</f>
        <v>-3.3333333333333361E-2</v>
      </c>
      <c r="L136" s="18">
        <f>IF(ISNUMBER(J136), $B145 * K136, "")</f>
        <v>-5000.0000000000045</v>
      </c>
      <c r="M136" s="31">
        <v>11.8</v>
      </c>
      <c r="N136" s="32">
        <f t="shared" ref="N136:N139" si="73">IF(ISNUMBER(M136), (M136 - $B136) / $B136, "")</f>
        <v>-1.6666666666666607E-2</v>
      </c>
      <c r="O136" s="18">
        <f>IF(ISNUMBER(M136), $B145 * N136, "")</f>
        <v>-2499.9999999999909</v>
      </c>
      <c r="Q136" s="211"/>
      <c r="R136" s="212"/>
      <c r="S136" s="213"/>
    </row>
    <row r="137" spans="1:19" ht="17.25" thickBot="1">
      <c r="A137" s="125" t="s">
        <v>199</v>
      </c>
      <c r="B137" s="126">
        <v>11.7</v>
      </c>
      <c r="C137" s="77">
        <v>-3.3057851200000002E-2</v>
      </c>
      <c r="D137" s="15">
        <v>11.4</v>
      </c>
      <c r="E137" s="32">
        <f t="shared" si="70"/>
        <v>-2.564102564102555E-2</v>
      </c>
      <c r="F137" s="18">
        <f>IF(ISNUMBER(D137), $B145 * E137, "")</f>
        <v>-3846.1538461538325</v>
      </c>
      <c r="G137" s="31">
        <v>11.6</v>
      </c>
      <c r="H137" s="32">
        <f t="shared" si="71"/>
        <v>-8.5470085470085166E-3</v>
      </c>
      <c r="I137" s="101">
        <f>IF(ISNUMBER(G137), $B145 * H137, "")</f>
        <v>-1282.0512820512774</v>
      </c>
      <c r="J137" s="15">
        <v>11.6</v>
      </c>
      <c r="K137" s="32">
        <f t="shared" si="72"/>
        <v>-8.5470085470085166E-3</v>
      </c>
      <c r="L137" s="18">
        <f>IF(ISNUMBER(J137), $B145 * K137, "")</f>
        <v>-1282.0512820512774</v>
      </c>
      <c r="M137" s="31">
        <v>11.6</v>
      </c>
      <c r="N137" s="32">
        <f t="shared" si="73"/>
        <v>-8.5470085470085166E-3</v>
      </c>
      <c r="O137" s="18">
        <f>IF(ISNUMBER(M137), $B145 * N137, "")</f>
        <v>-1282.0512820512774</v>
      </c>
      <c r="Q137" s="196"/>
      <c r="R137" s="196"/>
      <c r="S137" s="196"/>
    </row>
    <row r="138" spans="1:19" ht="17.25" thickBot="1">
      <c r="A138" s="125" t="s">
        <v>346</v>
      </c>
      <c r="B138" s="126">
        <v>9.75</v>
      </c>
      <c r="C138" s="77">
        <v>-3.4653465299999998E-2</v>
      </c>
      <c r="D138" s="15">
        <v>9.56</v>
      </c>
      <c r="E138" s="32">
        <f t="shared" si="70"/>
        <v>-1.9487179487179436E-2</v>
      </c>
      <c r="F138" s="18">
        <f>IF(ISNUMBER(D138), $B145 * E138, "")</f>
        <v>-2923.0769230769156</v>
      </c>
      <c r="G138" s="31">
        <v>9.57</v>
      </c>
      <c r="H138" s="32">
        <f t="shared" si="71"/>
        <v>-1.8461538461538432E-2</v>
      </c>
      <c r="I138" s="101">
        <f>IF(ISNUMBER(G138), $B145 * H138, "")</f>
        <v>-2769.230769230765</v>
      </c>
      <c r="J138" s="15">
        <v>9.6</v>
      </c>
      <c r="K138" s="32">
        <f t="shared" si="72"/>
        <v>-1.5384615384615422E-2</v>
      </c>
      <c r="L138" s="18">
        <f>IF(ISNUMBER(J138), $B145 * K138, "")</f>
        <v>-2307.6923076923131</v>
      </c>
      <c r="M138" s="31">
        <v>9.5299999999999994</v>
      </c>
      <c r="N138" s="32">
        <f t="shared" si="73"/>
        <v>-2.2564102564102628E-2</v>
      </c>
      <c r="O138" s="18">
        <f>IF(ISNUMBER(M138), $B145 * N138, "")</f>
        <v>-3384.6153846153943</v>
      </c>
      <c r="Q138" s="191"/>
      <c r="R138" s="191"/>
      <c r="S138" s="191"/>
    </row>
    <row r="139" spans="1:19" ht="17.25" thickBot="1">
      <c r="A139" s="127" t="s">
        <v>211</v>
      </c>
      <c r="B139" s="128">
        <v>7.72</v>
      </c>
      <c r="C139" s="78">
        <v>-3.7406483800000001E-2</v>
      </c>
      <c r="D139" s="20">
        <v>7.46</v>
      </c>
      <c r="E139" s="21">
        <f t="shared" si="70"/>
        <v>-3.3678756476683912E-2</v>
      </c>
      <c r="F139" s="22">
        <f>IF(ISNUMBER(D139), $B145 * E139, "")</f>
        <v>-5051.8134715025872</v>
      </c>
      <c r="G139" s="30">
        <v>7.5</v>
      </c>
      <c r="H139" s="21">
        <f t="shared" si="71"/>
        <v>-2.849740932642484E-2</v>
      </c>
      <c r="I139" s="105">
        <f>IF(ISNUMBER(G139), $B145 * H139, "")</f>
        <v>-4274.6113989637261</v>
      </c>
      <c r="J139" s="20">
        <v>7.53</v>
      </c>
      <c r="K139" s="21">
        <f t="shared" si="72"/>
        <v>-2.4611398963730505E-2</v>
      </c>
      <c r="L139" s="22">
        <f>IF(ISNUMBER(J139), $B145 * K139, "")</f>
        <v>-3691.7098445595757</v>
      </c>
      <c r="M139" s="30">
        <v>7.49</v>
      </c>
      <c r="N139" s="21">
        <f t="shared" si="73"/>
        <v>-2.979274611398958E-2</v>
      </c>
      <c r="O139" s="22">
        <f>IF(ISNUMBER(M139), $B145 * N139, "")</f>
        <v>-4468.9119170984368</v>
      </c>
      <c r="Q139" s="191"/>
      <c r="R139" s="191"/>
      <c r="S139" s="191"/>
    </row>
    <row r="140" spans="1:19" ht="17.25" thickBot="1">
      <c r="A140" s="125" t="s">
        <v>229</v>
      </c>
      <c r="B140" s="129">
        <v>54.4</v>
      </c>
      <c r="C140" s="80">
        <v>-3.8869257999999997E-2</v>
      </c>
      <c r="D140" s="106">
        <v>52.8</v>
      </c>
      <c r="E140" s="107">
        <f>IF(ISNUMBER(D140), (D140 - $B140) / $B140, "")</f>
        <v>-2.941176470588238E-2</v>
      </c>
      <c r="F140" s="108">
        <f>IF(ISNUMBER(D140), $B145 * E140, "")</f>
        <v>-4411.7647058823568</v>
      </c>
      <c r="G140" s="109">
        <v>53</v>
      </c>
      <c r="H140" s="107">
        <f>IF(ISNUMBER(G140), (G140 - $B140) / $B140, "")</f>
        <v>-2.5735294117647033E-2</v>
      </c>
      <c r="I140" s="110">
        <f>IF(ISNUMBER(G140), $B145 * H140, "")</f>
        <v>-3860.2941176470549</v>
      </c>
      <c r="J140" s="106">
        <v>53.3</v>
      </c>
      <c r="K140" s="107">
        <f>IF(ISNUMBER(J140), (J140 - $B140) / $B140, "")</f>
        <v>-2.0220588235294143E-2</v>
      </c>
      <c r="L140" s="108">
        <f>IF(ISNUMBER(J140), $B145 * K140, "")</f>
        <v>-3033.0882352941217</v>
      </c>
      <c r="M140" s="109">
        <v>52.8</v>
      </c>
      <c r="N140" s="107">
        <f>IF(ISNUMBER(M140), (M140 - $B140) / $B140, "")</f>
        <v>-2.941176470588238E-2</v>
      </c>
      <c r="O140" s="108">
        <f>IF(ISNUMBER(M140), $B145 * N140, "")</f>
        <v>-4411.7647058823568</v>
      </c>
      <c r="Q140" s="196"/>
      <c r="R140" s="196"/>
      <c r="S140" s="196"/>
    </row>
    <row r="141" spans="1:19" ht="17.25" thickBot="1">
      <c r="A141" s="125" t="s">
        <v>140</v>
      </c>
      <c r="B141" s="126">
        <v>89</v>
      </c>
      <c r="C141" s="77">
        <v>-3.8876889800000002E-2</v>
      </c>
      <c r="D141" s="15">
        <v>87.8</v>
      </c>
      <c r="E141" s="32">
        <f t="shared" ref="E141:E144" si="74">IF(ISNUMBER(D141), (D141 - $B141) / $B141, "")</f>
        <v>-1.3483146067415762E-2</v>
      </c>
      <c r="F141" s="18">
        <f>IF(ISNUMBER(D141), $B145 * E141, "")</f>
        <v>-2022.4719101123642</v>
      </c>
      <c r="G141" s="31">
        <v>87.8</v>
      </c>
      <c r="H141" s="32">
        <f t="shared" ref="H141:H144" si="75">IF(ISNUMBER(G141), (G141 - $B141) / $B141, "")</f>
        <v>-1.3483146067415762E-2</v>
      </c>
      <c r="I141" s="101">
        <f>IF(ISNUMBER(G141), $B145 * H141, "")</f>
        <v>-2022.4719101123642</v>
      </c>
      <c r="J141" s="15">
        <v>87.1</v>
      </c>
      <c r="K141" s="32">
        <f t="shared" ref="K141:K144" si="76">IF(ISNUMBER(J141), (J141 - $B141) / $B141, "")</f>
        <v>-2.1348314606741636E-2</v>
      </c>
      <c r="L141" s="18">
        <f>IF(ISNUMBER(J141), $B145 * K141, "")</f>
        <v>-3202.2471910112454</v>
      </c>
      <c r="M141" s="31">
        <v>86.1</v>
      </c>
      <c r="N141" s="32">
        <f t="shared" ref="N141:N144" si="77">IF(ISNUMBER(M141), (M141 - $B141) / $B141, "")</f>
        <v>-3.2584269662921411E-2</v>
      </c>
      <c r="O141" s="18">
        <f>IF(ISNUMBER(M141), $B145 * N141, "")</f>
        <v>-4887.6404494382114</v>
      </c>
      <c r="Q141" s="196"/>
      <c r="R141" s="196"/>
      <c r="S141" s="196"/>
    </row>
    <row r="142" spans="1:19" ht="17.25" thickBot="1">
      <c r="A142" s="125" t="s">
        <v>97</v>
      </c>
      <c r="B142" s="126">
        <v>2.3999999999999998E-3</v>
      </c>
      <c r="C142" s="77">
        <v>-0.04</v>
      </c>
      <c r="D142" s="15">
        <v>2.3E-3</v>
      </c>
      <c r="E142" s="32">
        <f t="shared" si="74"/>
        <v>-4.1666666666666602E-2</v>
      </c>
      <c r="F142" s="18">
        <f>IF(ISNUMBER(D142), $B145 * E142, "")</f>
        <v>-6249.99999999999</v>
      </c>
      <c r="G142" s="31">
        <v>2.3E-3</v>
      </c>
      <c r="H142" s="32">
        <f t="shared" si="75"/>
        <v>-4.1666666666666602E-2</v>
      </c>
      <c r="I142" s="101">
        <f>IF(ISNUMBER(G142), $B145 * H142, "")</f>
        <v>-6249.99999999999</v>
      </c>
      <c r="J142" s="15">
        <v>2.3999999999999998E-3</v>
      </c>
      <c r="K142" s="32">
        <f t="shared" si="76"/>
        <v>0</v>
      </c>
      <c r="L142" s="18">
        <f>IF(ISNUMBER(J142), $B145 * K142, "")</f>
        <v>0</v>
      </c>
      <c r="M142" s="31">
        <v>2.3E-3</v>
      </c>
      <c r="N142" s="32">
        <f t="shared" si="77"/>
        <v>-4.1666666666666602E-2</v>
      </c>
      <c r="O142" s="18">
        <f>IF(ISNUMBER(M142), $B145 * N142, "")</f>
        <v>-6249.99999999999</v>
      </c>
      <c r="Q142" s="196"/>
      <c r="R142" s="196"/>
      <c r="S142" s="196"/>
    </row>
    <row r="143" spans="1:19">
      <c r="A143" s="125" t="s">
        <v>245</v>
      </c>
      <c r="B143" s="126">
        <v>59.6</v>
      </c>
      <c r="C143" s="77">
        <v>-4.0257649E-2</v>
      </c>
      <c r="D143" s="15">
        <v>58.3</v>
      </c>
      <c r="E143" s="32">
        <f t="shared" si="74"/>
        <v>-2.1812080536912824E-2</v>
      </c>
      <c r="F143" s="18">
        <f>IF(ISNUMBER(D143), $B145 * E143, "")</f>
        <v>-3271.8120805369235</v>
      </c>
      <c r="G143" s="31">
        <v>58.9</v>
      </c>
      <c r="H143" s="32">
        <f t="shared" si="75"/>
        <v>-1.1744966442953067E-2</v>
      </c>
      <c r="I143" s="101">
        <f>IF(ISNUMBER(G143), $B145 * H143, "")</f>
        <v>-1761.74496644296</v>
      </c>
      <c r="J143" s="15">
        <v>58.9</v>
      </c>
      <c r="K143" s="32">
        <f t="shared" si="76"/>
        <v>-1.1744966442953067E-2</v>
      </c>
      <c r="L143" s="18">
        <f>IF(ISNUMBER(J143), $B145 * K143, "")</f>
        <v>-1761.74496644296</v>
      </c>
      <c r="M143" s="31">
        <v>58.6</v>
      </c>
      <c r="N143" s="32">
        <f t="shared" si="77"/>
        <v>-1.6778523489932886E-2</v>
      </c>
      <c r="O143" s="18">
        <f>IF(ISNUMBER(M143), $B145 * N143, "")</f>
        <v>-2516.7785234899329</v>
      </c>
      <c r="Q143" s="218"/>
      <c r="R143" s="219"/>
      <c r="S143" s="220"/>
    </row>
    <row r="144" spans="1:19" ht="17.25" thickBot="1">
      <c r="A144" s="130" t="s">
        <v>189</v>
      </c>
      <c r="B144" s="131">
        <v>90.5</v>
      </c>
      <c r="C144" s="79">
        <v>-4.02969247E-2</v>
      </c>
      <c r="D144" s="24">
        <v>88.7</v>
      </c>
      <c r="E144" s="25">
        <f t="shared" si="74"/>
        <v>-1.9889502762430906E-2</v>
      </c>
      <c r="F144" s="104">
        <f>IF(ISNUMBER(D144), $B145 * E144, "")</f>
        <v>-2983.4254143646358</v>
      </c>
      <c r="G144" s="102">
        <v>89.2</v>
      </c>
      <c r="H144" s="25">
        <f t="shared" si="75"/>
        <v>-1.436464088397787E-2</v>
      </c>
      <c r="I144" s="103">
        <f>IF(ISNUMBER(G144), $B145 * H144, "")</f>
        <v>-2154.6961325966804</v>
      </c>
      <c r="J144" s="24">
        <v>89.5</v>
      </c>
      <c r="K144" s="25">
        <f t="shared" si="76"/>
        <v>-1.1049723756906077E-2</v>
      </c>
      <c r="L144" s="104">
        <f>IF(ISNUMBER(J144), $B145 * K144, "")</f>
        <v>-1657.4585635359115</v>
      </c>
      <c r="M144" s="102">
        <v>89.9</v>
      </c>
      <c r="N144" s="25">
        <f t="shared" si="77"/>
        <v>-6.629834254143584E-3</v>
      </c>
      <c r="O144" s="104">
        <f>IF(ISNUMBER(M144), $B145 * N144, "")</f>
        <v>-994.47513812153761</v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-2.451585510169409E-2</v>
      </c>
      <c r="F145" s="28">
        <f>SUM(F125:F144)</f>
        <v>-73547.565305082273</v>
      </c>
      <c r="G145" s="26" t="s">
        <v>266</v>
      </c>
      <c r="H145" s="27">
        <f>IF(COUNT(H125:H144), SUM(H125:H144) / COUNT(H125:H144), 0)</f>
        <v>-1.6809301432470832E-2</v>
      </c>
      <c r="I145" s="28">
        <f>SUM(I125:I144)</f>
        <v>-50427.90429741249</v>
      </c>
      <c r="J145" s="26" t="s">
        <v>266</v>
      </c>
      <c r="K145" s="27">
        <f>IF(COUNT(K125:K144), SUM(K125:K144) / COUNT(K125:K144), 0)</f>
        <v>-1.5875625910212788E-2</v>
      </c>
      <c r="L145" s="28">
        <f>SUM(L125:L144)</f>
        <v>-47626.877730638349</v>
      </c>
      <c r="M145" s="26" t="s">
        <v>266</v>
      </c>
      <c r="N145" s="27">
        <f>IF(COUNT(N125:N144), SUM(N125:N144) / COUNT(N125:N144), 0)</f>
        <v>-1.8139289492855482E-2</v>
      </c>
      <c r="O145" s="28">
        <f>SUM(O125:O144)</f>
        <v>-54417.868478566452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2022-03-03(목) 오전 00:00</v>
      </c>
      <c r="C150" s="234"/>
      <c r="D150" s="193" t="str">
        <f>TEXT($G$1, "[$-ko-KR]yyyy-mm-dd(ddd) ") &amp; "오후 14:00"</f>
        <v>2022-03-03(목) 오후 14:00</v>
      </c>
      <c r="E150" s="194"/>
      <c r="F150" s="195"/>
      <c r="G150" s="193" t="str">
        <f>TEXT($G$1, "[$-ko-KR]yyyy-mm-dd(ddd) ") &amp; "오후 19:00"</f>
        <v>2022-03-03(목) 오후 19:00</v>
      </c>
      <c r="H150" s="194"/>
      <c r="I150" s="195"/>
      <c r="J150" s="193" t="str">
        <f>TEXT($G$1, "[$-ko-KR]yyyy-mm-dd(ddd) ") &amp; "오후 21:00"</f>
        <v>2022-03-03(목) 오후 21:00</v>
      </c>
      <c r="K150" s="194"/>
      <c r="L150" s="195"/>
      <c r="M150" s="193" t="str">
        <f>TEXT($G$1+1, "[$-ko-KR]yyyy-mm-dd(ddd) ") &amp; "오전 00:00"</f>
        <v>2022-03-04(금)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107</v>
      </c>
      <c r="B152" s="124">
        <v>110</v>
      </c>
      <c r="C152" s="76">
        <v>-1.7857142900000001E-2</v>
      </c>
      <c r="D152" s="13">
        <v>108</v>
      </c>
      <c r="E152" s="14">
        <f>IF(ISNUMBER(D152), (D152 - $B152) / $B152, "")</f>
        <v>-1.8181818181818181E-2</v>
      </c>
      <c r="F152" s="16">
        <f>IF(ISNUMBER(D152), $B172 * E152, "")</f>
        <v>-2727.272727272727</v>
      </c>
      <c r="G152" s="29">
        <v>109</v>
      </c>
      <c r="H152" s="14">
        <f>IF(ISNUMBER(G152), (G152 - $B152) / $B152, "")</f>
        <v>-9.0909090909090905E-3</v>
      </c>
      <c r="I152" s="100">
        <f>IF(ISNUMBER(G152), $B172 * H152, "")</f>
        <v>-1363.6363636363635</v>
      </c>
      <c r="J152" s="13">
        <v>109</v>
      </c>
      <c r="K152" s="14">
        <f>IF(ISNUMBER(J152), (J152 - $B152) / $B152, "")</f>
        <v>-9.0909090909090905E-3</v>
      </c>
      <c r="L152" s="16">
        <f>IF(ISNUMBER(J152), $B172 * K152, "")</f>
        <v>-1363.6363636363635</v>
      </c>
      <c r="M152" s="29">
        <v>114</v>
      </c>
      <c r="N152" s="14">
        <f>IF(ISNUMBER(M152), (M152 - $B152) / $B152, "")</f>
        <v>3.6363636363636362E-2</v>
      </c>
      <c r="O152" s="16">
        <f>IF(ISNUMBER(M152), $B172 * N152, "")</f>
        <v>5454.545454545454</v>
      </c>
      <c r="Q152" s="191"/>
      <c r="R152" s="191"/>
      <c r="S152" s="191"/>
    </row>
    <row r="153" spans="1:19" ht="17.25" thickBot="1">
      <c r="A153" s="125" t="s">
        <v>51</v>
      </c>
      <c r="B153" s="126">
        <v>236</v>
      </c>
      <c r="C153" s="77">
        <v>-2.0746888000000002E-2</v>
      </c>
      <c r="D153" s="15">
        <v>235</v>
      </c>
      <c r="E153" s="32">
        <f t="shared" ref="E153:E156" si="78">IF(ISNUMBER(D153), (D153 - $B153) / $B153, "")</f>
        <v>-4.2372881355932203E-3</v>
      </c>
      <c r="F153" s="18">
        <f>IF(ISNUMBER(D153), $B172 * E153, "")</f>
        <v>-635.59322033898309</v>
      </c>
      <c r="G153" s="31">
        <v>236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234</v>
      </c>
      <c r="K153" s="32">
        <f t="shared" ref="K153:K156" si="80">IF(ISNUMBER(J153), (J153 - $B153) / $B153, "")</f>
        <v>-8.4745762711864406E-3</v>
      </c>
      <c r="L153" s="18">
        <f>IF(ISNUMBER(J153), $B172 * K153, "")</f>
        <v>-1271.1864406779662</v>
      </c>
      <c r="M153" s="31">
        <v>232</v>
      </c>
      <c r="N153" s="32">
        <f t="shared" ref="N153:N156" si="81">IF(ISNUMBER(M153), (M153 - $B153) / $B153, "")</f>
        <v>-1.6949152542372881E-2</v>
      </c>
      <c r="O153" s="18">
        <f>IF(ISNUMBER(M153), $B172 * N153, "")</f>
        <v>-2542.3728813559323</v>
      </c>
      <c r="Q153" s="191"/>
      <c r="R153" s="191"/>
      <c r="S153" s="191"/>
    </row>
    <row r="154" spans="1:19" ht="17.25" thickBot="1">
      <c r="A154" s="125" t="s">
        <v>134</v>
      </c>
      <c r="B154" s="126">
        <v>215</v>
      </c>
      <c r="C154" s="77">
        <v>-2.2727272699999999E-2</v>
      </c>
      <c r="D154" s="15">
        <v>204</v>
      </c>
      <c r="E154" s="32">
        <f t="shared" si="78"/>
        <v>-5.1162790697674418E-2</v>
      </c>
      <c r="F154" s="18">
        <f>IF(ISNUMBER(D154), $B172 * E154, "")</f>
        <v>-7674.4186046511622</v>
      </c>
      <c r="G154" s="31">
        <v>207</v>
      </c>
      <c r="H154" s="32">
        <f t="shared" si="79"/>
        <v>-3.7209302325581395E-2</v>
      </c>
      <c r="I154" s="101">
        <f>IF(ISNUMBER(G154), $B172 * H154, "")</f>
        <v>-5581.395348837209</v>
      </c>
      <c r="J154" s="15">
        <v>206</v>
      </c>
      <c r="K154" s="32">
        <f t="shared" si="80"/>
        <v>-4.1860465116279069E-2</v>
      </c>
      <c r="L154" s="18">
        <f>IF(ISNUMBER(J154), $B172 * K154, "")</f>
        <v>-6279.0697674418607</v>
      </c>
      <c r="M154" s="31">
        <v>205</v>
      </c>
      <c r="N154" s="32">
        <f t="shared" si="81"/>
        <v>-4.6511627906976744E-2</v>
      </c>
      <c r="O154" s="18">
        <f>IF(ISNUMBER(M154), $B172 * N154, "")</f>
        <v>-6976.7441860465115</v>
      </c>
      <c r="Q154" s="196"/>
      <c r="R154" s="196"/>
      <c r="S154" s="196"/>
    </row>
    <row r="155" spans="1:19" ht="17.25" thickBot="1">
      <c r="A155" s="125" t="s">
        <v>79</v>
      </c>
      <c r="B155" s="126">
        <v>891</v>
      </c>
      <c r="C155" s="77">
        <v>-2.5164113799999999E-2</v>
      </c>
      <c r="D155" s="15">
        <v>873</v>
      </c>
      <c r="E155" s="32">
        <f t="shared" si="78"/>
        <v>-2.0202020202020204E-2</v>
      </c>
      <c r="F155" s="18">
        <f>IF(ISNUMBER(D155), $B172 * E155, "")</f>
        <v>-3030.3030303030305</v>
      </c>
      <c r="G155" s="31">
        <v>881</v>
      </c>
      <c r="H155" s="32">
        <f t="shared" si="79"/>
        <v>-1.1223344556677889E-2</v>
      </c>
      <c r="I155" s="101">
        <f>IF(ISNUMBER(G155), $B172 * H155, "")</f>
        <v>-1683.5016835016834</v>
      </c>
      <c r="J155" s="15">
        <v>880</v>
      </c>
      <c r="K155" s="32">
        <f t="shared" si="80"/>
        <v>-1.2345679012345678E-2</v>
      </c>
      <c r="L155" s="18">
        <f>IF(ISNUMBER(J155), $B172 * K155, "")</f>
        <v>-1851.8518518518517</v>
      </c>
      <c r="M155" s="31">
        <v>870</v>
      </c>
      <c r="N155" s="32">
        <f t="shared" si="81"/>
        <v>-2.3569023569023569E-2</v>
      </c>
      <c r="O155" s="18">
        <f>IF(ISNUMBER(M155), $B172 * N155, "")</f>
        <v>-3535.3535353535353</v>
      </c>
      <c r="Q155" s="196"/>
      <c r="R155" s="196"/>
      <c r="S155" s="196"/>
    </row>
    <row r="156" spans="1:19" ht="17.25" thickBot="1">
      <c r="A156" s="127" t="s">
        <v>225</v>
      </c>
      <c r="B156" s="128">
        <v>379</v>
      </c>
      <c r="C156" s="78">
        <v>-2.5706940899999999E-2</v>
      </c>
      <c r="D156" s="20">
        <v>370</v>
      </c>
      <c r="E156" s="21">
        <f t="shared" si="78"/>
        <v>-2.3746701846965697E-2</v>
      </c>
      <c r="F156" s="22">
        <f>IF(ISNUMBER(D156), $B172 * E156, "")</f>
        <v>-3562.0052770448547</v>
      </c>
      <c r="G156" s="30">
        <v>369</v>
      </c>
      <c r="H156" s="21">
        <f t="shared" si="79"/>
        <v>-2.6385224274406333E-2</v>
      </c>
      <c r="I156" s="105">
        <f>IF(ISNUMBER(G156), $B172 * H156, "")</f>
        <v>-3957.7836411609501</v>
      </c>
      <c r="J156" s="20">
        <v>368</v>
      </c>
      <c r="K156" s="21">
        <f t="shared" si="80"/>
        <v>-2.9023746701846966E-2</v>
      </c>
      <c r="L156" s="22">
        <f>IF(ISNUMBER(J156), $B172 * K156, "")</f>
        <v>-4353.5620052770446</v>
      </c>
      <c r="M156" s="30">
        <v>368</v>
      </c>
      <c r="N156" s="21">
        <f t="shared" si="81"/>
        <v>-2.9023746701846966E-2</v>
      </c>
      <c r="O156" s="22">
        <f>IF(ISNUMBER(M156), $B172 * N156, "")</f>
        <v>-4353.5620052770446</v>
      </c>
      <c r="Q156" s="196"/>
      <c r="R156" s="196"/>
      <c r="S156" s="196"/>
    </row>
    <row r="157" spans="1:19" ht="17.25" thickBot="1">
      <c r="A157" s="125" t="s">
        <v>213</v>
      </c>
      <c r="B157" s="129">
        <v>292</v>
      </c>
      <c r="C157" s="80">
        <v>-2.6666666700000001E-2</v>
      </c>
      <c r="D157" s="106">
        <v>286</v>
      </c>
      <c r="E157" s="107">
        <f>IF(ISNUMBER(D157), (D157 - $B157) / $B157, "")</f>
        <v>-2.0547945205479451E-2</v>
      </c>
      <c r="F157" s="108">
        <f>IF(ISNUMBER(D157), $B172 * E157, "")</f>
        <v>-3082.1917808219177</v>
      </c>
      <c r="G157" s="109">
        <v>286</v>
      </c>
      <c r="H157" s="107">
        <f>IF(ISNUMBER(G157), (G157 - $B157) / $B157, "")</f>
        <v>-2.0547945205479451E-2</v>
      </c>
      <c r="I157" s="110">
        <f>IF(ISNUMBER(G157), $B172 * H157, "")</f>
        <v>-3082.1917808219177</v>
      </c>
      <c r="J157" s="106">
        <v>287</v>
      </c>
      <c r="K157" s="107">
        <f>IF(ISNUMBER(J157), (J157 - $B157) / $B157, "")</f>
        <v>-1.7123287671232876E-2</v>
      </c>
      <c r="L157" s="108">
        <f>IF(ISNUMBER(J157), $B172 * K157, "")</f>
        <v>-2568.4931506849312</v>
      </c>
      <c r="M157" s="109">
        <v>287</v>
      </c>
      <c r="N157" s="107">
        <f>IF(ISNUMBER(M157), (M157 - $B157) / $B157, "")</f>
        <v>-1.7123287671232876E-2</v>
      </c>
      <c r="O157" s="108">
        <f>IF(ISNUMBER(M157), $B172 * N157, "")</f>
        <v>-2568.4931506849312</v>
      </c>
      <c r="Q157" s="196"/>
      <c r="R157" s="196"/>
      <c r="S157" s="196"/>
    </row>
    <row r="158" spans="1:19" ht="17.25" thickBot="1">
      <c r="A158" s="125" t="s">
        <v>221</v>
      </c>
      <c r="B158" s="126">
        <v>957</v>
      </c>
      <c r="C158" s="77">
        <v>-2.8426395899999998E-2</v>
      </c>
      <c r="D158" s="15">
        <v>938</v>
      </c>
      <c r="E158" s="32">
        <f t="shared" ref="E158:E161" si="82">IF(ISNUMBER(D158), (D158 - $B158) / $B158, "")</f>
        <v>-1.9853709508881923E-2</v>
      </c>
      <c r="F158" s="18">
        <f>IF(ISNUMBER(D158), $B172 * E158, "")</f>
        <v>-2978.0564263322885</v>
      </c>
      <c r="G158" s="31">
        <v>942</v>
      </c>
      <c r="H158" s="32">
        <f t="shared" ref="H158:H161" si="83">IF(ISNUMBER(G158), (G158 - $B158) / $B158, "")</f>
        <v>-1.5673981191222569E-2</v>
      </c>
      <c r="I158" s="101">
        <f>IF(ISNUMBER(G158), $B172 * H158, "")</f>
        <v>-2351.0971786833852</v>
      </c>
      <c r="J158" s="15">
        <v>939</v>
      </c>
      <c r="K158" s="32">
        <f t="shared" ref="K158:K161" si="84">IF(ISNUMBER(J158), (J158 - $B158) / $B158, "")</f>
        <v>-1.8808777429467086E-2</v>
      </c>
      <c r="L158" s="18">
        <f>IF(ISNUMBER(J158), $B172 * K158, "")</f>
        <v>-2821.3166144200627</v>
      </c>
      <c r="M158" s="31">
        <v>934</v>
      </c>
      <c r="N158" s="32">
        <f t="shared" ref="N158:N161" si="85">IF(ISNUMBER(M158), (M158 - $B158) / $B158, "")</f>
        <v>-2.4033437826541274E-2</v>
      </c>
      <c r="O158" s="18">
        <f>IF(ISNUMBER(M158), $B172 * N158, "")</f>
        <v>-3605.015673981191</v>
      </c>
      <c r="Q158" s="196"/>
      <c r="R158" s="196"/>
      <c r="S158" s="196"/>
    </row>
    <row r="159" spans="1:19" ht="17.25" thickBot="1">
      <c r="A159" s="125" t="s">
        <v>170</v>
      </c>
      <c r="B159" s="126">
        <v>679</v>
      </c>
      <c r="C159" s="77">
        <v>-2.8612303299999999E-2</v>
      </c>
      <c r="D159" s="15">
        <v>671</v>
      </c>
      <c r="E159" s="32">
        <f t="shared" si="82"/>
        <v>-1.1782032400589101E-2</v>
      </c>
      <c r="F159" s="18">
        <f>IF(ISNUMBER(D159), $B172 * E159, "")</f>
        <v>-1767.3048600883651</v>
      </c>
      <c r="G159" s="31">
        <v>671</v>
      </c>
      <c r="H159" s="32">
        <f t="shared" si="83"/>
        <v>-1.1782032400589101E-2</v>
      </c>
      <c r="I159" s="101">
        <f>IF(ISNUMBER(G159), $B172 * H159, "")</f>
        <v>-1767.3048600883651</v>
      </c>
      <c r="J159" s="15">
        <v>671</v>
      </c>
      <c r="K159" s="32">
        <f t="shared" si="84"/>
        <v>-1.1782032400589101E-2</v>
      </c>
      <c r="L159" s="18">
        <f>IF(ISNUMBER(J159), $B172 * K159, "")</f>
        <v>-1767.3048600883651</v>
      </c>
      <c r="M159" s="31">
        <v>670</v>
      </c>
      <c r="N159" s="32">
        <f t="shared" si="85"/>
        <v>-1.3254786450662739E-2</v>
      </c>
      <c r="O159" s="18">
        <f>IF(ISNUMBER(M159), $B172 * N159, "")</f>
        <v>-1988.2179675994109</v>
      </c>
      <c r="Q159" s="196"/>
      <c r="R159" s="196"/>
      <c r="S159" s="196"/>
    </row>
    <row r="160" spans="1:19" ht="17.25" thickBot="1">
      <c r="A160" s="125" t="s">
        <v>217</v>
      </c>
      <c r="B160" s="126">
        <v>212</v>
      </c>
      <c r="C160" s="77">
        <v>-3.1963470299999998E-2</v>
      </c>
      <c r="D160" s="15">
        <v>205</v>
      </c>
      <c r="E160" s="32">
        <f t="shared" si="82"/>
        <v>-3.3018867924528301E-2</v>
      </c>
      <c r="F160" s="18">
        <f>IF(ISNUMBER(D160), $B172 * E160, "")</f>
        <v>-4952.8301886792451</v>
      </c>
      <c r="G160" s="31">
        <v>207</v>
      </c>
      <c r="H160" s="32">
        <f t="shared" si="83"/>
        <v>-2.358490566037736E-2</v>
      </c>
      <c r="I160" s="101">
        <f>IF(ISNUMBER(G160), $B172 * H160, "")</f>
        <v>-3537.7358490566039</v>
      </c>
      <c r="J160" s="15">
        <v>206</v>
      </c>
      <c r="K160" s="32">
        <f t="shared" si="84"/>
        <v>-2.8301886792452831E-2</v>
      </c>
      <c r="L160" s="18">
        <f>IF(ISNUMBER(J160), $B172 * K160, "")</f>
        <v>-4245.2830188679245</v>
      </c>
      <c r="M160" s="31">
        <v>208</v>
      </c>
      <c r="N160" s="32">
        <f t="shared" si="85"/>
        <v>-1.8867924528301886E-2</v>
      </c>
      <c r="O160" s="18">
        <f>IF(ISNUMBER(M160), $B172 * N160, "")</f>
        <v>-2830.1886792452829</v>
      </c>
      <c r="Q160" s="33"/>
      <c r="R160" s="33"/>
    </row>
    <row r="161" spans="1:19" ht="17.25" thickBot="1">
      <c r="A161" s="130" t="s">
        <v>231</v>
      </c>
      <c r="B161" s="131">
        <v>403</v>
      </c>
      <c r="C161" s="79">
        <v>-3.3573141500000001E-2</v>
      </c>
      <c r="D161" s="24">
        <v>390</v>
      </c>
      <c r="E161" s="25">
        <f t="shared" si="82"/>
        <v>-3.2258064516129031E-2</v>
      </c>
      <c r="F161" s="104">
        <f>IF(ISNUMBER(D161), $B172 * E161, "")</f>
        <v>-4838.7096774193551</v>
      </c>
      <c r="G161" s="102">
        <v>399</v>
      </c>
      <c r="H161" s="25">
        <f t="shared" si="83"/>
        <v>-9.9255583126550868E-3</v>
      </c>
      <c r="I161" s="103">
        <f>IF(ISNUMBER(G161), $B172 * H161, "")</f>
        <v>-1488.8337468982629</v>
      </c>
      <c r="J161" s="24">
        <v>400</v>
      </c>
      <c r="K161" s="25">
        <f t="shared" si="84"/>
        <v>-7.4441687344913151E-3</v>
      </c>
      <c r="L161" s="104">
        <f>IF(ISNUMBER(J161), $B172 * K161, "")</f>
        <v>-1116.6253101736972</v>
      </c>
      <c r="M161" s="102">
        <v>392</v>
      </c>
      <c r="N161" s="25">
        <f t="shared" si="85"/>
        <v>-2.729528535980149E-2</v>
      </c>
      <c r="O161" s="104">
        <f>IF(ISNUMBER(M161), $B172 * N161, "")</f>
        <v>-4094.2928039702233</v>
      </c>
      <c r="Q161" s="205"/>
      <c r="R161" s="206"/>
      <c r="S161" s="207"/>
    </row>
    <row r="162" spans="1:19">
      <c r="A162" s="123" t="s">
        <v>215</v>
      </c>
      <c r="B162" s="124">
        <v>143</v>
      </c>
      <c r="C162" s="76">
        <v>-3.3783783800000002E-2</v>
      </c>
      <c r="D162" s="13">
        <v>139</v>
      </c>
      <c r="E162" s="14">
        <f>IF(ISNUMBER(D162), (D162 - $B162) / $B162, "")</f>
        <v>-2.7972027972027972E-2</v>
      </c>
      <c r="F162" s="16">
        <f>IF(ISNUMBER(D162), $B172 * E162, "")</f>
        <v>-4195.8041958041958</v>
      </c>
      <c r="G162" s="29">
        <v>140</v>
      </c>
      <c r="H162" s="14">
        <f>IF(ISNUMBER(G162), (G162 - $B162) / $B162, "")</f>
        <v>-2.097902097902098E-2</v>
      </c>
      <c r="I162" s="100">
        <f>IF(ISNUMBER(G162), $B172 * H162, "")</f>
        <v>-3146.8531468531469</v>
      </c>
      <c r="J162" s="13">
        <v>139</v>
      </c>
      <c r="K162" s="14">
        <f>IF(ISNUMBER(J162), (J162 - $B162) / $B162, "")</f>
        <v>-2.7972027972027972E-2</v>
      </c>
      <c r="L162" s="16">
        <f>IF(ISNUMBER(J162), $B172 * K162, "")</f>
        <v>-4195.8041958041958</v>
      </c>
      <c r="M162" s="29">
        <v>139</v>
      </c>
      <c r="N162" s="14">
        <f>IF(ISNUMBER(M162), (M162 - $B162) / $B162, "")</f>
        <v>-2.7972027972027972E-2</v>
      </c>
      <c r="O162" s="16">
        <f>IF(ISNUMBER(M162), $B172 * N162, "")</f>
        <v>-4195.8041958041958</v>
      </c>
      <c r="Q162" s="208"/>
      <c r="R162" s="209"/>
      <c r="S162" s="210"/>
    </row>
    <row r="163" spans="1:19" ht="17.25" thickBot="1">
      <c r="A163" s="125" t="s">
        <v>249</v>
      </c>
      <c r="B163" s="126">
        <v>240</v>
      </c>
      <c r="C163" s="77">
        <v>-3.6144578300000001E-2</v>
      </c>
      <c r="D163" s="15">
        <v>235</v>
      </c>
      <c r="E163" s="32">
        <f t="shared" ref="E163:E166" si="86">IF(ISNUMBER(D163), (D163 - $B163) / $B163, "")</f>
        <v>-2.0833333333333332E-2</v>
      </c>
      <c r="F163" s="18">
        <f>IF(ISNUMBER(D163), $B172 * E163, "")</f>
        <v>-3125</v>
      </c>
      <c r="G163" s="31">
        <v>237</v>
      </c>
      <c r="H163" s="32">
        <f t="shared" ref="H163:H166" si="87">IF(ISNUMBER(G163), (G163 - $B163) / $B163, "")</f>
        <v>-1.2500000000000001E-2</v>
      </c>
      <c r="I163" s="101">
        <f>IF(ISNUMBER(G163), $B172 * H163, "")</f>
        <v>-1875</v>
      </c>
      <c r="J163" s="15">
        <v>237</v>
      </c>
      <c r="K163" s="32">
        <f t="shared" ref="K163:K166" si="88">IF(ISNUMBER(J163), (J163 - $B163) / $B163, "")</f>
        <v>-1.2500000000000001E-2</v>
      </c>
      <c r="L163" s="18">
        <f>IF(ISNUMBER(J163), $B172 * K163, "")</f>
        <v>-1875</v>
      </c>
      <c r="M163" s="31">
        <v>237</v>
      </c>
      <c r="N163" s="32">
        <f t="shared" ref="N163:N166" si="89">IF(ISNUMBER(M163), (M163 - $B163) / $B163, "")</f>
        <v>-1.2500000000000001E-2</v>
      </c>
      <c r="O163" s="18">
        <f>IF(ISNUMBER(M163), $B172 * N163, "")</f>
        <v>-1875</v>
      </c>
      <c r="Q163" s="211"/>
      <c r="R163" s="212"/>
      <c r="S163" s="213"/>
    </row>
    <row r="164" spans="1:19" ht="17.25" thickBot="1">
      <c r="A164" s="125" t="s">
        <v>223</v>
      </c>
      <c r="B164" s="126">
        <v>973</v>
      </c>
      <c r="C164" s="77">
        <v>-3.6633663400000002E-2</v>
      </c>
      <c r="D164" s="15">
        <v>1000</v>
      </c>
      <c r="E164" s="32">
        <f t="shared" si="86"/>
        <v>2.7749229188078109E-2</v>
      </c>
      <c r="F164" s="18">
        <f>IF(ISNUMBER(D164), $B172 * E164, "")</f>
        <v>4162.3843782117165</v>
      </c>
      <c r="G164" s="31">
        <v>1015</v>
      </c>
      <c r="H164" s="32">
        <f t="shared" si="87"/>
        <v>4.3165467625899283E-2</v>
      </c>
      <c r="I164" s="101">
        <f>IF(ISNUMBER(G164), $B172 * H164, "")</f>
        <v>6474.8201438848928</v>
      </c>
      <c r="J164" s="15">
        <v>1010</v>
      </c>
      <c r="K164" s="32">
        <f t="shared" si="88"/>
        <v>3.8026721479958892E-2</v>
      </c>
      <c r="L164" s="18">
        <f>IF(ISNUMBER(J164), $B172 * K164, "")</f>
        <v>5704.008221993834</v>
      </c>
      <c r="M164" s="31">
        <v>1005</v>
      </c>
      <c r="N164" s="32">
        <f t="shared" si="89"/>
        <v>3.28879753340185E-2</v>
      </c>
      <c r="O164" s="18">
        <f>IF(ISNUMBER(M164), $B172 * N164, "")</f>
        <v>4933.1963001027752</v>
      </c>
      <c r="Q164" s="196"/>
      <c r="R164" s="196"/>
      <c r="S164" s="196"/>
    </row>
    <row r="165" spans="1:19" ht="17.25" thickBot="1">
      <c r="A165" s="125" t="s">
        <v>195</v>
      </c>
      <c r="B165" s="126">
        <v>129</v>
      </c>
      <c r="C165" s="77">
        <v>-3.7313432799999997E-2</v>
      </c>
      <c r="D165" s="15">
        <v>127</v>
      </c>
      <c r="E165" s="32">
        <f t="shared" si="86"/>
        <v>-1.5503875968992248E-2</v>
      </c>
      <c r="F165" s="18">
        <f>IF(ISNUMBER(D165), $B172 * E165, "")</f>
        <v>-2325.5813953488373</v>
      </c>
      <c r="G165" s="31">
        <v>127</v>
      </c>
      <c r="H165" s="32">
        <f t="shared" si="87"/>
        <v>-1.5503875968992248E-2</v>
      </c>
      <c r="I165" s="101">
        <f>IF(ISNUMBER(G165), $B172 * H165, "")</f>
        <v>-2325.5813953488373</v>
      </c>
      <c r="J165" s="15">
        <v>127</v>
      </c>
      <c r="K165" s="32">
        <f t="shared" si="88"/>
        <v>-1.5503875968992248E-2</v>
      </c>
      <c r="L165" s="18">
        <f>IF(ISNUMBER(J165), $B172 * K165, "")</f>
        <v>-2325.5813953488373</v>
      </c>
      <c r="M165" s="31">
        <v>131</v>
      </c>
      <c r="N165" s="32">
        <f t="shared" si="89"/>
        <v>1.5503875968992248E-2</v>
      </c>
      <c r="O165" s="18">
        <f>IF(ISNUMBER(M165), $B172 * N165, "")</f>
        <v>2325.5813953488373</v>
      </c>
      <c r="Q165" s="191"/>
      <c r="R165" s="191"/>
      <c r="S165" s="191"/>
    </row>
    <row r="166" spans="1:19" ht="17.25" thickBot="1">
      <c r="A166" s="127" t="s">
        <v>160</v>
      </c>
      <c r="B166" s="128">
        <v>413</v>
      </c>
      <c r="C166" s="78">
        <v>-3.9534883700000002E-2</v>
      </c>
      <c r="D166" s="20">
        <v>408</v>
      </c>
      <c r="E166" s="21">
        <f t="shared" si="86"/>
        <v>-1.2106537530266344E-2</v>
      </c>
      <c r="F166" s="22">
        <f>IF(ISNUMBER(D166), $B172 * E166, "")</f>
        <v>-1815.9806295399515</v>
      </c>
      <c r="G166" s="30">
        <v>409</v>
      </c>
      <c r="H166" s="21">
        <f t="shared" si="87"/>
        <v>-9.6852300242130755E-3</v>
      </c>
      <c r="I166" s="105">
        <f>IF(ISNUMBER(G166), $B172 * H166, "")</f>
        <v>-1452.7845036319613</v>
      </c>
      <c r="J166" s="20">
        <v>409</v>
      </c>
      <c r="K166" s="21">
        <f t="shared" si="88"/>
        <v>-9.6852300242130755E-3</v>
      </c>
      <c r="L166" s="22">
        <f>IF(ISNUMBER(J166), $B172 * K166, "")</f>
        <v>-1452.7845036319613</v>
      </c>
      <c r="M166" s="30">
        <v>408</v>
      </c>
      <c r="N166" s="21">
        <f t="shared" si="89"/>
        <v>-1.2106537530266344E-2</v>
      </c>
      <c r="O166" s="22">
        <f>IF(ISNUMBER(M166), $B172 * N166, "")</f>
        <v>-1815.9806295399515</v>
      </c>
      <c r="Q166" s="191"/>
      <c r="R166" s="191"/>
      <c r="S166" s="191"/>
    </row>
    <row r="167" spans="1:19" ht="17.25" thickBot="1">
      <c r="A167" s="125" t="s">
        <v>180</v>
      </c>
      <c r="B167" s="129">
        <v>937</v>
      </c>
      <c r="C167" s="80">
        <v>-4.1922290399999999E-2</v>
      </c>
      <c r="D167" s="106">
        <v>918</v>
      </c>
      <c r="E167" s="107">
        <f>IF(ISNUMBER(D167), (D167 - $B167) / $B167, "")</f>
        <v>-2.0277481323372464E-2</v>
      </c>
      <c r="F167" s="108">
        <f>IF(ISNUMBER(D167), $B172 * E167, "")</f>
        <v>-3041.6221985058696</v>
      </c>
      <c r="G167" s="109">
        <v>926</v>
      </c>
      <c r="H167" s="107">
        <f>IF(ISNUMBER(G167), (G167 - $B167) / $B167, "")</f>
        <v>-1.1739594450373533E-2</v>
      </c>
      <c r="I167" s="110">
        <f>IF(ISNUMBER(G167), $B172 * H167, "")</f>
        <v>-1760.9391675560298</v>
      </c>
      <c r="J167" s="106">
        <v>926</v>
      </c>
      <c r="K167" s="107">
        <f>IF(ISNUMBER(J167), (J167 - $B167) / $B167, "")</f>
        <v>-1.1739594450373533E-2</v>
      </c>
      <c r="L167" s="108">
        <f>IF(ISNUMBER(J167), $B172 * K167, "")</f>
        <v>-1760.9391675560298</v>
      </c>
      <c r="M167" s="109">
        <v>922</v>
      </c>
      <c r="N167" s="107">
        <f>IF(ISNUMBER(M167), (M167 - $B167) / $B167, "")</f>
        <v>-1.6008537886872998E-2</v>
      </c>
      <c r="O167" s="108">
        <f>IF(ISNUMBER(M167), $B172 * N167, "")</f>
        <v>-2401.2806830309496</v>
      </c>
      <c r="Q167" s="196"/>
      <c r="R167" s="196"/>
      <c r="S167" s="196"/>
    </row>
    <row r="168" spans="1:19" ht="17.25" thickBot="1">
      <c r="A168" s="125" t="s">
        <v>187</v>
      </c>
      <c r="B168" s="126">
        <v>248</v>
      </c>
      <c r="C168" s="77">
        <v>-4.24710425E-2</v>
      </c>
      <c r="D168" s="15">
        <v>243</v>
      </c>
      <c r="E168" s="32">
        <f t="shared" ref="E168:E171" si="90">IF(ISNUMBER(D168), (D168 - $B168) / $B168, "")</f>
        <v>-2.0161290322580645E-2</v>
      </c>
      <c r="F168" s="18">
        <f>IF(ISNUMBER(D168), $B172 * E168, "")</f>
        <v>-3024.1935483870966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-1209.6774193548388</v>
      </c>
      <c r="J168" s="15">
        <v>246</v>
      </c>
      <c r="K168" s="32">
        <f t="shared" ref="K168:K171" si="92">IF(ISNUMBER(J168), (J168 - $B168) / $B168, "")</f>
        <v>-8.0645161290322578E-3</v>
      </c>
      <c r="L168" s="18">
        <f>IF(ISNUMBER(J168), $B172 * K168, "")</f>
        <v>-1209.6774193548388</v>
      </c>
      <c r="M168" s="31">
        <v>245</v>
      </c>
      <c r="N168" s="32">
        <f t="shared" ref="N168:N171" si="93">IF(ISNUMBER(M168), (M168 - $B168) / $B168, "")</f>
        <v>-1.2096774193548387E-2</v>
      </c>
      <c r="O168" s="18">
        <f>IF(ISNUMBER(M168), $B172 * N168, "")</f>
        <v>-1814.516129032258</v>
      </c>
      <c r="Q168" s="196"/>
      <c r="R168" s="196"/>
      <c r="S168" s="196"/>
    </row>
    <row r="169" spans="1:19" ht="17.25" thickBot="1">
      <c r="A169" s="125" t="s">
        <v>120</v>
      </c>
      <c r="B169" s="126">
        <v>356</v>
      </c>
      <c r="C169" s="77">
        <v>-4.3010752700000002E-2</v>
      </c>
      <c r="D169" s="15">
        <v>345</v>
      </c>
      <c r="E169" s="32">
        <f t="shared" si="90"/>
        <v>-3.0898876404494381E-2</v>
      </c>
      <c r="F169" s="18">
        <f>IF(ISNUMBER(D169), $B172 * E169, "")</f>
        <v>-4634.8314606741569</v>
      </c>
      <c r="G169" s="31">
        <v>350</v>
      </c>
      <c r="H169" s="32">
        <f t="shared" si="91"/>
        <v>-1.6853932584269662E-2</v>
      </c>
      <c r="I169" s="101">
        <f>IF(ISNUMBER(G169), $B172 * H169, "")</f>
        <v>-2528.0898876404494</v>
      </c>
      <c r="J169" s="15">
        <v>349</v>
      </c>
      <c r="K169" s="32">
        <f t="shared" si="92"/>
        <v>-1.9662921348314606E-2</v>
      </c>
      <c r="L169" s="18">
        <f>IF(ISNUMBER(J169), $B172 * K169, "")</f>
        <v>-2949.4382022471909</v>
      </c>
      <c r="M169" s="31">
        <v>347</v>
      </c>
      <c r="N169" s="32">
        <f t="shared" si="93"/>
        <v>-2.5280898876404494E-2</v>
      </c>
      <c r="O169" s="18">
        <f>IF(ISNUMBER(M169), $B172 * N169, "")</f>
        <v>-3792.1348314606739</v>
      </c>
      <c r="Q169" s="196"/>
      <c r="R169" s="196"/>
      <c r="S169" s="196"/>
    </row>
    <row r="170" spans="1:19">
      <c r="A170" s="125" t="s">
        <v>201</v>
      </c>
      <c r="B170" s="126">
        <v>536</v>
      </c>
      <c r="C170" s="77">
        <v>-6.45724258E-2</v>
      </c>
      <c r="D170" s="15">
        <v>520</v>
      </c>
      <c r="E170" s="32">
        <f t="shared" si="90"/>
        <v>-2.9850746268656716E-2</v>
      </c>
      <c r="F170" s="18">
        <f>IF(ISNUMBER(D170), $B172 * E170, "")</f>
        <v>-4477.6119402985078</v>
      </c>
      <c r="G170" s="31">
        <v>520</v>
      </c>
      <c r="H170" s="32">
        <f t="shared" si="91"/>
        <v>-2.9850746268656716E-2</v>
      </c>
      <c r="I170" s="101">
        <f>IF(ISNUMBER(G170), $B172 * H170, "")</f>
        <v>-4477.6119402985078</v>
      </c>
      <c r="J170" s="15">
        <v>520</v>
      </c>
      <c r="K170" s="32">
        <f t="shared" si="92"/>
        <v>-2.9850746268656716E-2</v>
      </c>
      <c r="L170" s="18">
        <f>IF(ISNUMBER(J170), $B172 * K170, "")</f>
        <v>-4477.6119402985078</v>
      </c>
      <c r="M170" s="31">
        <v>520</v>
      </c>
      <c r="N170" s="32">
        <f t="shared" si="93"/>
        <v>-2.9850746268656716E-2</v>
      </c>
      <c r="O170" s="18">
        <f>IF(ISNUMBER(M170), $B172 * N170, "")</f>
        <v>-4477.6119402985078</v>
      </c>
      <c r="Q170" s="218"/>
      <c r="R170" s="219"/>
      <c r="S170" s="220"/>
    </row>
    <row r="171" spans="1:19" ht="17.25" thickBot="1">
      <c r="A171" s="130" t="s">
        <v>237</v>
      </c>
      <c r="B171" s="131">
        <v>534</v>
      </c>
      <c r="C171" s="79">
        <v>-6.9686411099999998E-2</v>
      </c>
      <c r="D171" s="24">
        <v>520</v>
      </c>
      <c r="E171" s="25">
        <f t="shared" si="90"/>
        <v>-2.6217228464419477E-2</v>
      </c>
      <c r="F171" s="104">
        <f>IF(ISNUMBER(D171), $B172 * E171, "")</f>
        <v>-3932.5842696629215</v>
      </c>
      <c r="G171" s="102">
        <v>521</v>
      </c>
      <c r="H171" s="25">
        <f t="shared" si="91"/>
        <v>-2.4344569288389514E-2</v>
      </c>
      <c r="I171" s="103">
        <f>IF(ISNUMBER(G171), $B172 * H171, "")</f>
        <v>-3651.6853932584272</v>
      </c>
      <c r="J171" s="24">
        <v>521</v>
      </c>
      <c r="K171" s="25">
        <f t="shared" si="92"/>
        <v>-2.4344569288389514E-2</v>
      </c>
      <c r="L171" s="104">
        <f>IF(ISNUMBER(J171), $B172 * K171, "")</f>
        <v>-3651.6853932584272</v>
      </c>
      <c r="M171" s="102">
        <v>522</v>
      </c>
      <c r="N171" s="25">
        <f t="shared" si="93"/>
        <v>-2.247191011235955E-2</v>
      </c>
      <c r="O171" s="104">
        <f>IF(ISNUMBER(M171), $B172 * N171, "")</f>
        <v>-3370.7865168539324</v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-2.0553170350987252E-2</v>
      </c>
      <c r="F172" s="28">
        <f>SUM(F152:F171)</f>
        <v>-61659.511052961752</v>
      </c>
      <c r="G172" s="26" t="s">
        <v>266</v>
      </c>
      <c r="H172" s="27">
        <f>IF(COUNT(H152:H171), SUM(H152:H171) / COUNT(H152:H171), 0)</f>
        <v>-1.3588961054247348E-2</v>
      </c>
      <c r="I172" s="28">
        <f>SUM(I152:I171)</f>
        <v>-40766.883162742044</v>
      </c>
      <c r="J172" s="26" t="s">
        <v>266</v>
      </c>
      <c r="K172" s="27">
        <f>IF(COUNT(K152:K171), SUM(K152:K171) / COUNT(K152:K171), 0)</f>
        <v>-1.5277614459542071E-2</v>
      </c>
      <c r="L172" s="28">
        <f>SUM(L152:L171)</f>
        <v>-45832.843378626225</v>
      </c>
      <c r="M172" s="26" t="s">
        <v>266</v>
      </c>
      <c r="N172" s="27">
        <f>IF(COUNT(N152:N171), SUM(N152:N171) / COUNT(N152:N171), 0)</f>
        <v>-1.4508010886512487E-2</v>
      </c>
      <c r="O172" s="28">
        <f>SUM(O152:O171)</f>
        <v>-43524.032659537464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2022-03-03(목) 오전 00:00</v>
      </c>
      <c r="C177" s="234"/>
      <c r="D177" s="193" t="str">
        <f>TEXT($G$1, "[$-ko-KR]yyyy-mm-dd(ddd) ") &amp; "오후 14:00"</f>
        <v>2022-03-03(목) 오후 14:00</v>
      </c>
      <c r="E177" s="194"/>
      <c r="F177" s="195"/>
      <c r="G177" s="193" t="str">
        <f>TEXT($G$1, "[$-ko-KR]yyyy-mm-dd(ddd) ") &amp; "오후 19:00"</f>
        <v>2022-03-03(목) 오후 19:00</v>
      </c>
      <c r="H177" s="194"/>
      <c r="I177" s="195"/>
      <c r="J177" s="193" t="str">
        <f>TEXT($G$1, "[$-ko-KR]yyyy-mm-dd(ddd) ") &amp; "오후 21:00"</f>
        <v>2022-03-03(목) 오후 21:00</v>
      </c>
      <c r="K177" s="194"/>
      <c r="L177" s="195"/>
      <c r="M177" s="193" t="str">
        <f>TEXT($G$1+1, "[$-ko-KR]yyyy-mm-dd(ddd) ") &amp; "오전 00:00"</f>
        <v>2022-03-04(금)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343</v>
      </c>
      <c r="B179" s="124">
        <v>6485</v>
      </c>
      <c r="C179" s="76">
        <v>-3.6404160499999998E-2</v>
      </c>
      <c r="D179" s="13">
        <v>6370</v>
      </c>
      <c r="E179" s="14">
        <f>IF(ISNUMBER(D179), (D179 - $B179) / $B179, "")</f>
        <v>-1.7733230531996914E-2</v>
      </c>
      <c r="F179" s="16">
        <f>IF(ISNUMBER(D179), $B199 * E179, "")</f>
        <v>-2659.9845797995372</v>
      </c>
      <c r="G179" s="29">
        <v>6400</v>
      </c>
      <c r="H179" s="14">
        <f>IF(ISNUMBER(G179), (G179 - $B179) / $B179, "")</f>
        <v>-1.3107170393215111E-2</v>
      </c>
      <c r="I179" s="100">
        <f>IF(ISNUMBER(G179), $B199 * H179, "")</f>
        <v>-1966.0755589822666</v>
      </c>
      <c r="J179" s="13">
        <v>6395</v>
      </c>
      <c r="K179" s="14">
        <f>IF(ISNUMBER(J179), (J179 - $B179) / $B179, "")</f>
        <v>-1.3878180416345412E-2</v>
      </c>
      <c r="L179" s="16">
        <f>IF(ISNUMBER(J179), $B199 * K179, "")</f>
        <v>-2081.7270624518119</v>
      </c>
      <c r="M179" s="29">
        <v>6340</v>
      </c>
      <c r="N179" s="14">
        <f>IF(ISNUMBER(M179), (M179 - $B179) / $B179, "")</f>
        <v>-2.2359290670778721E-2</v>
      </c>
      <c r="O179" s="16">
        <f>IF(ISNUMBER(M179), $B199 * N179, "")</f>
        <v>-3353.8936006168083</v>
      </c>
      <c r="Q179" s="191"/>
      <c r="R179" s="191"/>
      <c r="S179" s="191"/>
    </row>
    <row r="180" spans="1:19" ht="17.25" thickBot="1">
      <c r="A180" s="125" t="s">
        <v>223</v>
      </c>
      <c r="B180" s="126">
        <v>973</v>
      </c>
      <c r="C180" s="77">
        <v>-3.6633663400000002E-2</v>
      </c>
      <c r="D180" s="15">
        <v>1000</v>
      </c>
      <c r="E180" s="32">
        <f t="shared" ref="E180:E183" si="94">IF(ISNUMBER(D180), (D180 - $B180) / $B180, "")</f>
        <v>2.7749229188078109E-2</v>
      </c>
      <c r="F180" s="18">
        <f>IF(ISNUMBER(D180), $B199 * E180, "")</f>
        <v>4162.3843782117165</v>
      </c>
      <c r="G180" s="31">
        <v>1015</v>
      </c>
      <c r="H180" s="32">
        <f t="shared" ref="H180:H183" si="95">IF(ISNUMBER(G180), (G180 - $B180) / $B180, "")</f>
        <v>4.3165467625899283E-2</v>
      </c>
      <c r="I180" s="101">
        <f>IF(ISNUMBER(G180), $B199 * H180, "")</f>
        <v>6474.8201438848928</v>
      </c>
      <c r="J180" s="15">
        <v>1010</v>
      </c>
      <c r="K180" s="32">
        <f t="shared" ref="K180:K183" si="96">IF(ISNUMBER(J180), (J180 - $B180) / $B180, "")</f>
        <v>3.8026721479958892E-2</v>
      </c>
      <c r="L180" s="18">
        <f>IF(ISNUMBER(J180), $B199 * K180, "")</f>
        <v>5704.008221993834</v>
      </c>
      <c r="M180" s="31">
        <v>1005</v>
      </c>
      <c r="N180" s="32">
        <f t="shared" ref="N180:N183" si="97">IF(ISNUMBER(M180), (M180 - $B180) / $B180, "")</f>
        <v>3.28879753340185E-2</v>
      </c>
      <c r="O180" s="18">
        <f>IF(ISNUMBER(M180), $B199 * N180, "")</f>
        <v>4933.1963001027752</v>
      </c>
      <c r="Q180" s="191"/>
      <c r="R180" s="191"/>
      <c r="S180" s="191"/>
    </row>
    <row r="181" spans="1:19" ht="17.25" thickBot="1">
      <c r="A181" s="125" t="s">
        <v>195</v>
      </c>
      <c r="B181" s="126">
        <v>129</v>
      </c>
      <c r="C181" s="77">
        <v>-3.7313432799999997E-2</v>
      </c>
      <c r="D181" s="15">
        <v>127</v>
      </c>
      <c r="E181" s="32">
        <f t="shared" si="94"/>
        <v>-1.5503875968992248E-2</v>
      </c>
      <c r="F181" s="18">
        <f>IF(ISNUMBER(D181), $B199 * E181, "")</f>
        <v>-2325.5813953488373</v>
      </c>
      <c r="G181" s="31">
        <v>127</v>
      </c>
      <c r="H181" s="32">
        <f t="shared" si="95"/>
        <v>-1.5503875968992248E-2</v>
      </c>
      <c r="I181" s="101">
        <f>IF(ISNUMBER(G181), $B199 * H181, "")</f>
        <v>-2325.5813953488373</v>
      </c>
      <c r="J181" s="15">
        <v>127</v>
      </c>
      <c r="K181" s="32">
        <f t="shared" si="96"/>
        <v>-1.5503875968992248E-2</v>
      </c>
      <c r="L181" s="18">
        <f>IF(ISNUMBER(J181), $B199 * K181, "")</f>
        <v>-2325.5813953488373</v>
      </c>
      <c r="M181" s="31">
        <v>131</v>
      </c>
      <c r="N181" s="32">
        <f t="shared" si="97"/>
        <v>1.5503875968992248E-2</v>
      </c>
      <c r="O181" s="18">
        <f>IF(ISNUMBER(M181), $B199 * N181, "")</f>
        <v>2325.5813953488373</v>
      </c>
      <c r="Q181" s="196"/>
      <c r="R181" s="196"/>
      <c r="S181" s="196"/>
    </row>
    <row r="182" spans="1:19" ht="17.25" thickBot="1">
      <c r="A182" s="125" t="s">
        <v>211</v>
      </c>
      <c r="B182" s="126">
        <v>7.72</v>
      </c>
      <c r="C182" s="77">
        <v>-3.7406483800000001E-2</v>
      </c>
      <c r="D182" s="15">
        <v>7.46</v>
      </c>
      <c r="E182" s="32">
        <f t="shared" si="94"/>
        <v>-3.3678756476683912E-2</v>
      </c>
      <c r="F182" s="18">
        <f>IF(ISNUMBER(D182), $B199 * E182, "")</f>
        <v>-5051.8134715025872</v>
      </c>
      <c r="G182" s="31">
        <v>7.5</v>
      </c>
      <c r="H182" s="32">
        <f t="shared" si="95"/>
        <v>-2.849740932642484E-2</v>
      </c>
      <c r="I182" s="101">
        <f>IF(ISNUMBER(G182), $B199 * H182, "")</f>
        <v>-4274.6113989637261</v>
      </c>
      <c r="J182" s="15">
        <v>7.53</v>
      </c>
      <c r="K182" s="32">
        <f t="shared" si="96"/>
        <v>-2.4611398963730505E-2</v>
      </c>
      <c r="L182" s="18">
        <f>IF(ISNUMBER(J182), $B199 * K182, "")</f>
        <v>-3691.7098445595757</v>
      </c>
      <c r="M182" s="31">
        <v>7.49</v>
      </c>
      <c r="N182" s="32">
        <f t="shared" si="97"/>
        <v>-2.979274611398958E-2</v>
      </c>
      <c r="O182" s="18">
        <f>IF(ISNUMBER(M182), $B199 * N182, "")</f>
        <v>-4468.9119170984368</v>
      </c>
      <c r="Q182" s="196"/>
      <c r="R182" s="196"/>
      <c r="S182" s="196"/>
    </row>
    <row r="183" spans="1:19" ht="17.25" thickBot="1">
      <c r="A183" s="127" t="s">
        <v>331</v>
      </c>
      <c r="B183" s="128">
        <v>1000</v>
      </c>
      <c r="C183" s="78">
        <v>-3.8461538500000003E-2</v>
      </c>
      <c r="D183" s="20">
        <v>1015</v>
      </c>
      <c r="E183" s="21">
        <f t="shared" si="94"/>
        <v>1.4999999999999999E-2</v>
      </c>
      <c r="F183" s="22">
        <f>IF(ISNUMBER(D183), $B199 * E183, "")</f>
        <v>2250</v>
      </c>
      <c r="G183" s="30">
        <v>1020</v>
      </c>
      <c r="H183" s="21">
        <f t="shared" si="95"/>
        <v>0.02</v>
      </c>
      <c r="I183" s="105">
        <f>IF(ISNUMBER(G183), $B199 * H183, "")</f>
        <v>3000</v>
      </c>
      <c r="J183" s="20">
        <v>1020</v>
      </c>
      <c r="K183" s="21">
        <f t="shared" si="96"/>
        <v>0.02</v>
      </c>
      <c r="L183" s="22">
        <f>IF(ISNUMBER(J183), $B199 * K183, "")</f>
        <v>3000</v>
      </c>
      <c r="M183" s="30">
        <v>999</v>
      </c>
      <c r="N183" s="21">
        <f t="shared" si="97"/>
        <v>-1E-3</v>
      </c>
      <c r="O183" s="22">
        <f>IF(ISNUMBER(M183), $B199 * N183, "")</f>
        <v>-150</v>
      </c>
      <c r="Q183" s="196"/>
      <c r="R183" s="196"/>
      <c r="S183" s="196"/>
    </row>
    <row r="184" spans="1:19" ht="17.25" thickBot="1">
      <c r="A184" s="125" t="s">
        <v>229</v>
      </c>
      <c r="B184" s="129">
        <v>54.4</v>
      </c>
      <c r="C184" s="80">
        <v>-3.8869257999999997E-2</v>
      </c>
      <c r="D184" s="106">
        <v>52.8</v>
      </c>
      <c r="E184" s="107">
        <f>IF(ISNUMBER(D184), (D184 - $B184) / $B184, "")</f>
        <v>-2.941176470588238E-2</v>
      </c>
      <c r="F184" s="108">
        <f>IF(ISNUMBER(D184), $B199 * E184, "")</f>
        <v>-4411.7647058823568</v>
      </c>
      <c r="G184" s="109">
        <v>53</v>
      </c>
      <c r="H184" s="107">
        <f>IF(ISNUMBER(G184), (G184 - $B184) / $B184, "")</f>
        <v>-2.5735294117647033E-2</v>
      </c>
      <c r="I184" s="110">
        <f>IF(ISNUMBER(G184), $B199 * H184, "")</f>
        <v>-3860.2941176470549</v>
      </c>
      <c r="J184" s="106">
        <v>53.3</v>
      </c>
      <c r="K184" s="107">
        <f>IF(ISNUMBER(J184), (J184 - $B184) / $B184, "")</f>
        <v>-2.0220588235294143E-2</v>
      </c>
      <c r="L184" s="108">
        <f>IF(ISNUMBER(J184), $B199 * K184, "")</f>
        <v>-3033.0882352941217</v>
      </c>
      <c r="M184" s="109">
        <v>52.8</v>
      </c>
      <c r="N184" s="107">
        <f>IF(ISNUMBER(M184), (M184 - $B184) / $B184, "")</f>
        <v>-2.941176470588238E-2</v>
      </c>
      <c r="O184" s="108">
        <f>IF(ISNUMBER(M184), $B199 * N184, "")</f>
        <v>-4411.7647058823568</v>
      </c>
      <c r="Q184" s="196"/>
      <c r="R184" s="196"/>
      <c r="S184" s="196"/>
    </row>
    <row r="185" spans="1:19" ht="17.25" thickBot="1">
      <c r="A185" s="125" t="s">
        <v>140</v>
      </c>
      <c r="B185" s="126">
        <v>89</v>
      </c>
      <c r="C185" s="77">
        <v>-3.8876889800000002E-2</v>
      </c>
      <c r="D185" s="15">
        <v>87.8</v>
      </c>
      <c r="E185" s="32">
        <f t="shared" ref="E185:E188" si="98">IF(ISNUMBER(D185), (D185 - $B185) / $B185, "")</f>
        <v>-1.3483146067415762E-2</v>
      </c>
      <c r="F185" s="18">
        <f>IF(ISNUMBER(D185), $B199 * E185, "")</f>
        <v>-2022.4719101123642</v>
      </c>
      <c r="G185" s="31">
        <v>87.8</v>
      </c>
      <c r="H185" s="32">
        <f t="shared" ref="H185:H188" si="99">IF(ISNUMBER(G185), (G185 - $B185) / $B185, "")</f>
        <v>-1.3483146067415762E-2</v>
      </c>
      <c r="I185" s="101">
        <f>IF(ISNUMBER(G185), $B199 * H185, "")</f>
        <v>-2022.4719101123642</v>
      </c>
      <c r="J185" s="15">
        <v>87.1</v>
      </c>
      <c r="K185" s="32">
        <f t="shared" ref="K185:K188" si="100">IF(ISNUMBER(J185), (J185 - $B185) / $B185, "")</f>
        <v>-2.1348314606741636E-2</v>
      </c>
      <c r="L185" s="18">
        <f>IF(ISNUMBER(J185), $B199 * K185, "")</f>
        <v>-3202.2471910112454</v>
      </c>
      <c r="M185" s="31">
        <v>86.1</v>
      </c>
      <c r="N185" s="32">
        <f t="shared" ref="N185:N188" si="101">IF(ISNUMBER(M185), (M185 - $B185) / $B185, "")</f>
        <v>-3.2584269662921411E-2</v>
      </c>
      <c r="O185" s="18">
        <f>IF(ISNUMBER(M185), $B199 * N185, "")</f>
        <v>-4887.6404494382114</v>
      </c>
      <c r="Q185" s="196"/>
      <c r="R185" s="196"/>
      <c r="S185" s="196"/>
    </row>
    <row r="186" spans="1:19" ht="17.25" thickBot="1">
      <c r="A186" s="125" t="s">
        <v>160</v>
      </c>
      <c r="B186" s="126">
        <v>413</v>
      </c>
      <c r="C186" s="77">
        <v>-3.9534883700000002E-2</v>
      </c>
      <c r="D186" s="15">
        <v>408</v>
      </c>
      <c r="E186" s="32">
        <f t="shared" si="98"/>
        <v>-1.2106537530266344E-2</v>
      </c>
      <c r="F186" s="18">
        <f>IF(ISNUMBER(D186), $B199 * E186, "")</f>
        <v>-1815.9806295399515</v>
      </c>
      <c r="G186" s="31">
        <v>409</v>
      </c>
      <c r="H186" s="32">
        <f t="shared" si="99"/>
        <v>-9.6852300242130755E-3</v>
      </c>
      <c r="I186" s="101">
        <f>IF(ISNUMBER(G186), $B199 * H186, "")</f>
        <v>-1452.7845036319613</v>
      </c>
      <c r="J186" s="15">
        <v>409</v>
      </c>
      <c r="K186" s="32">
        <f t="shared" si="100"/>
        <v>-9.6852300242130755E-3</v>
      </c>
      <c r="L186" s="18">
        <f>IF(ISNUMBER(J186), $B199 * K186, "")</f>
        <v>-1452.7845036319613</v>
      </c>
      <c r="M186" s="31">
        <v>408</v>
      </c>
      <c r="N186" s="32">
        <f t="shared" si="101"/>
        <v>-1.2106537530266344E-2</v>
      </c>
      <c r="O186" s="18">
        <f>IF(ISNUMBER(M186), $B199 * N186, "")</f>
        <v>-1815.9806295399515</v>
      </c>
      <c r="Q186" s="196"/>
      <c r="R186" s="196"/>
      <c r="S186" s="196"/>
    </row>
    <row r="187" spans="1:19" ht="17.25" thickBot="1">
      <c r="A187" s="125" t="s">
        <v>227</v>
      </c>
      <c r="B187" s="126">
        <v>1210</v>
      </c>
      <c r="C187" s="77">
        <v>-3.9682539699999998E-2</v>
      </c>
      <c r="D187" s="15">
        <v>1185</v>
      </c>
      <c r="E187" s="32">
        <f t="shared" si="98"/>
        <v>-2.0661157024793389E-2</v>
      </c>
      <c r="F187" s="18">
        <f>IF(ISNUMBER(D187), $B199 * E187, "")</f>
        <v>-3099.1735537190084</v>
      </c>
      <c r="G187" s="31">
        <v>1195</v>
      </c>
      <c r="H187" s="32">
        <f t="shared" si="99"/>
        <v>-1.2396694214876033E-2</v>
      </c>
      <c r="I187" s="101">
        <f>IF(ISNUMBER(G187), $B199 * H187, "")</f>
        <v>-1859.504132231405</v>
      </c>
      <c r="J187" s="15">
        <v>1200</v>
      </c>
      <c r="K187" s="32">
        <f t="shared" si="100"/>
        <v>-8.2644628099173556E-3</v>
      </c>
      <c r="L187" s="18">
        <f>IF(ISNUMBER(J187), $B199 * K187, "")</f>
        <v>-1239.6694214876034</v>
      </c>
      <c r="M187" s="31">
        <v>1195</v>
      </c>
      <c r="N187" s="32">
        <f t="shared" si="101"/>
        <v>-1.2396694214876033E-2</v>
      </c>
      <c r="O187" s="18">
        <f>IF(ISNUMBER(M187), $B199 * N187, "")</f>
        <v>-1859.504132231405</v>
      </c>
      <c r="Q187" s="33"/>
      <c r="R187" s="33"/>
    </row>
    <row r="188" spans="1:19" ht="17.25" thickBot="1">
      <c r="A188" s="130" t="s">
        <v>97</v>
      </c>
      <c r="B188" s="131">
        <v>2.3999999999999998E-3</v>
      </c>
      <c r="C188" s="79">
        <v>-0.04</v>
      </c>
      <c r="D188" s="24">
        <v>2.3E-3</v>
      </c>
      <c r="E188" s="25">
        <f t="shared" si="98"/>
        <v>-4.1666666666666602E-2</v>
      </c>
      <c r="F188" s="104">
        <f>IF(ISNUMBER(D188), $B199 * E188, "")</f>
        <v>-6249.99999999999</v>
      </c>
      <c r="G188" s="102">
        <v>2.3E-3</v>
      </c>
      <c r="H188" s="25">
        <f t="shared" si="99"/>
        <v>-4.1666666666666602E-2</v>
      </c>
      <c r="I188" s="103">
        <f>IF(ISNUMBER(G188), $B199 * H188, "")</f>
        <v>-6249.99999999999</v>
      </c>
      <c r="J188" s="24">
        <v>2.3999999999999998E-3</v>
      </c>
      <c r="K188" s="25">
        <f t="shared" si="100"/>
        <v>0</v>
      </c>
      <c r="L188" s="104">
        <f>IF(ISNUMBER(J188), $B199 * K188, "")</f>
        <v>0</v>
      </c>
      <c r="M188" s="102">
        <v>2.3E-3</v>
      </c>
      <c r="N188" s="25">
        <f t="shared" si="101"/>
        <v>-4.1666666666666602E-2</v>
      </c>
      <c r="O188" s="104">
        <f>IF(ISNUMBER(M188), $B199 * N188, "")</f>
        <v>-6249.99999999999</v>
      </c>
      <c r="Q188" s="205"/>
      <c r="R188" s="206"/>
      <c r="S188" s="207"/>
    </row>
    <row r="189" spans="1:19">
      <c r="A189" s="123" t="s">
        <v>245</v>
      </c>
      <c r="B189" s="124">
        <v>59.6</v>
      </c>
      <c r="C189" s="76">
        <v>-4.0257649E-2</v>
      </c>
      <c r="D189" s="13">
        <v>58.3</v>
      </c>
      <c r="E189" s="14">
        <f>IF(ISNUMBER(D189), (D189 - $B189) / $B189, "")</f>
        <v>-2.1812080536912824E-2</v>
      </c>
      <c r="F189" s="16">
        <f>IF(ISNUMBER(D189), $B199 * E189, "")</f>
        <v>-3271.8120805369235</v>
      </c>
      <c r="G189" s="29">
        <v>58.9</v>
      </c>
      <c r="H189" s="14">
        <f>IF(ISNUMBER(G189), (G189 - $B189) / $B189, "")</f>
        <v>-1.1744966442953067E-2</v>
      </c>
      <c r="I189" s="100">
        <f>IF(ISNUMBER(G189), $B199 * H189, "")</f>
        <v>-1761.74496644296</v>
      </c>
      <c r="J189" s="13">
        <v>58.9</v>
      </c>
      <c r="K189" s="14">
        <f>IF(ISNUMBER(J189), (J189 - $B189) / $B189, "")</f>
        <v>-1.1744966442953067E-2</v>
      </c>
      <c r="L189" s="16">
        <f>IF(ISNUMBER(J189), $B199 * K189, "")</f>
        <v>-1761.74496644296</v>
      </c>
      <c r="M189" s="29">
        <v>58.6</v>
      </c>
      <c r="N189" s="14">
        <f>IF(ISNUMBER(M189), (M189 - $B189) / $B189, "")</f>
        <v>-1.6778523489932886E-2</v>
      </c>
      <c r="O189" s="16">
        <f>IF(ISNUMBER(M189), $B199 * N189, "")</f>
        <v>-2516.7785234899329</v>
      </c>
      <c r="Q189" s="208"/>
      <c r="R189" s="209"/>
      <c r="S189" s="210"/>
    </row>
    <row r="190" spans="1:19" ht="17.25" thickBot="1">
      <c r="A190" s="125" t="s">
        <v>189</v>
      </c>
      <c r="B190" s="126">
        <v>90.5</v>
      </c>
      <c r="C190" s="77">
        <v>-4.02969247E-2</v>
      </c>
      <c r="D190" s="15">
        <v>88.7</v>
      </c>
      <c r="E190" s="32">
        <f t="shared" ref="E190:E193" si="102">IF(ISNUMBER(D190), (D190 - $B190) / $B190, "")</f>
        <v>-1.9889502762430906E-2</v>
      </c>
      <c r="F190" s="18">
        <f>IF(ISNUMBER(D190), $B199 * E190, "")</f>
        <v>-2983.4254143646358</v>
      </c>
      <c r="G190" s="31">
        <v>89.2</v>
      </c>
      <c r="H190" s="32">
        <f t="shared" ref="H190:H193" si="103">IF(ISNUMBER(G190), (G190 - $B190) / $B190, "")</f>
        <v>-1.436464088397787E-2</v>
      </c>
      <c r="I190" s="101">
        <f>IF(ISNUMBER(G190), $B199 * H190, "")</f>
        <v>-2154.6961325966804</v>
      </c>
      <c r="J190" s="15">
        <v>89.5</v>
      </c>
      <c r="K190" s="32">
        <f t="shared" ref="K190:K193" si="104">IF(ISNUMBER(J190), (J190 - $B190) / $B190, "")</f>
        <v>-1.1049723756906077E-2</v>
      </c>
      <c r="L190" s="18">
        <f>IF(ISNUMBER(J190), $B199 * K190, "")</f>
        <v>-1657.4585635359115</v>
      </c>
      <c r="M190" s="31">
        <v>89.9</v>
      </c>
      <c r="N190" s="32">
        <f t="shared" ref="N190:N193" si="105">IF(ISNUMBER(M190), (M190 - $B190) / $B190, "")</f>
        <v>-6.629834254143584E-3</v>
      </c>
      <c r="O190" s="18">
        <f>IF(ISNUMBER(M190), $B199 * N190, "")</f>
        <v>-994.47513812153761</v>
      </c>
      <c r="Q190" s="211"/>
      <c r="R190" s="212"/>
      <c r="S190" s="213"/>
    </row>
    <row r="191" spans="1:19" ht="17.25" thickBot="1">
      <c r="A191" s="125" t="s">
        <v>180</v>
      </c>
      <c r="B191" s="126">
        <v>937</v>
      </c>
      <c r="C191" s="77">
        <v>-4.1922290399999999E-2</v>
      </c>
      <c r="D191" s="15">
        <v>918</v>
      </c>
      <c r="E191" s="32">
        <f t="shared" si="102"/>
        <v>-2.0277481323372464E-2</v>
      </c>
      <c r="F191" s="18">
        <f>IF(ISNUMBER(D191), $B199 * E191, "")</f>
        <v>-3041.6221985058696</v>
      </c>
      <c r="G191" s="31">
        <v>926</v>
      </c>
      <c r="H191" s="32">
        <f t="shared" si="103"/>
        <v>-1.1739594450373533E-2</v>
      </c>
      <c r="I191" s="101">
        <f>IF(ISNUMBER(G191), $B199 * H191, "")</f>
        <v>-1760.9391675560298</v>
      </c>
      <c r="J191" s="15">
        <v>926</v>
      </c>
      <c r="K191" s="32">
        <f t="shared" si="104"/>
        <v>-1.1739594450373533E-2</v>
      </c>
      <c r="L191" s="18">
        <f>IF(ISNUMBER(J191), $B199 * K191, "")</f>
        <v>-1760.9391675560298</v>
      </c>
      <c r="M191" s="31">
        <v>922</v>
      </c>
      <c r="N191" s="32">
        <f t="shared" si="105"/>
        <v>-1.6008537886872998E-2</v>
      </c>
      <c r="O191" s="18">
        <f>IF(ISNUMBER(M191), $B199 * N191, "")</f>
        <v>-2401.2806830309496</v>
      </c>
      <c r="Q191" s="196"/>
      <c r="R191" s="196"/>
      <c r="S191" s="196"/>
    </row>
    <row r="192" spans="1:19" ht="17.25" thickBot="1">
      <c r="A192" s="125" t="s">
        <v>187</v>
      </c>
      <c r="B192" s="126">
        <v>248</v>
      </c>
      <c r="C192" s="77">
        <v>-4.24710425E-2</v>
      </c>
      <c r="D192" s="15">
        <v>243</v>
      </c>
      <c r="E192" s="32">
        <f t="shared" si="102"/>
        <v>-2.0161290322580645E-2</v>
      </c>
      <c r="F192" s="18">
        <f>IF(ISNUMBER(D192), $B199 * E192, "")</f>
        <v>-3024.1935483870966</v>
      </c>
      <c r="G192" s="31">
        <v>246</v>
      </c>
      <c r="H192" s="32">
        <f t="shared" si="103"/>
        <v>-8.0645161290322578E-3</v>
      </c>
      <c r="I192" s="101">
        <f>IF(ISNUMBER(G192), $B199 * H192, "")</f>
        <v>-1209.6774193548388</v>
      </c>
      <c r="J192" s="15">
        <v>246</v>
      </c>
      <c r="K192" s="32">
        <f t="shared" si="104"/>
        <v>-8.0645161290322578E-3</v>
      </c>
      <c r="L192" s="18">
        <f>IF(ISNUMBER(J192), $B199 * K192, "")</f>
        <v>-1209.6774193548388</v>
      </c>
      <c r="M192" s="31">
        <v>245</v>
      </c>
      <c r="N192" s="32">
        <f t="shared" si="105"/>
        <v>-1.2096774193548387E-2</v>
      </c>
      <c r="O192" s="18">
        <f>IF(ISNUMBER(M192), $B199 * N192, "")</f>
        <v>-1814.516129032258</v>
      </c>
      <c r="Q192" s="191"/>
      <c r="R192" s="191"/>
      <c r="S192" s="191"/>
    </row>
    <row r="193" spans="1:19" ht="17.25" thickBot="1">
      <c r="A193" s="127" t="s">
        <v>120</v>
      </c>
      <c r="B193" s="128">
        <v>356</v>
      </c>
      <c r="C193" s="78">
        <v>-4.3010752700000002E-2</v>
      </c>
      <c r="D193" s="20">
        <v>345</v>
      </c>
      <c r="E193" s="21">
        <f t="shared" si="102"/>
        <v>-3.0898876404494381E-2</v>
      </c>
      <c r="F193" s="22">
        <f>IF(ISNUMBER(D193), $B199 * E193, "")</f>
        <v>-4634.8314606741569</v>
      </c>
      <c r="G193" s="30">
        <v>350</v>
      </c>
      <c r="H193" s="21">
        <f t="shared" si="103"/>
        <v>-1.6853932584269662E-2</v>
      </c>
      <c r="I193" s="105">
        <f>IF(ISNUMBER(G193), $B199 * H193, "")</f>
        <v>-2528.0898876404494</v>
      </c>
      <c r="J193" s="20">
        <v>349</v>
      </c>
      <c r="K193" s="21">
        <f t="shared" si="104"/>
        <v>-1.9662921348314606E-2</v>
      </c>
      <c r="L193" s="22">
        <f>IF(ISNUMBER(J193), $B199 * K193, "")</f>
        <v>-2949.4382022471909</v>
      </c>
      <c r="M193" s="30">
        <v>347</v>
      </c>
      <c r="N193" s="21">
        <f t="shared" si="105"/>
        <v>-2.5280898876404494E-2</v>
      </c>
      <c r="O193" s="22">
        <f>IF(ISNUMBER(M193), $B199 * N193, "")</f>
        <v>-3792.1348314606739</v>
      </c>
      <c r="Q193" s="191"/>
      <c r="R193" s="191"/>
      <c r="S193" s="191"/>
    </row>
    <row r="194" spans="1:19" ht="17.25" thickBot="1">
      <c r="A194" s="125" t="s">
        <v>66</v>
      </c>
      <c r="B194" s="129">
        <v>2770</v>
      </c>
      <c r="C194" s="80">
        <v>-4.3177892900000001E-2</v>
      </c>
      <c r="D194" s="106">
        <v>2725</v>
      </c>
      <c r="E194" s="107">
        <f>IF(ISNUMBER(D194), (D194 - $B194) / $B194, "")</f>
        <v>-1.6245487364620937E-2</v>
      </c>
      <c r="F194" s="108">
        <f>IF(ISNUMBER(D194), $B199 * E194, "")</f>
        <v>-2436.8231046931405</v>
      </c>
      <c r="G194" s="109">
        <v>2725</v>
      </c>
      <c r="H194" s="107">
        <f>IF(ISNUMBER(G194), (G194 - $B194) / $B194, "")</f>
        <v>-1.6245487364620937E-2</v>
      </c>
      <c r="I194" s="110">
        <f>IF(ISNUMBER(G194), $B199 * H194, "")</f>
        <v>-2436.8231046931405</v>
      </c>
      <c r="J194" s="106">
        <v>2725</v>
      </c>
      <c r="K194" s="107">
        <f>IF(ISNUMBER(J194), (J194 - $B194) / $B194, "")</f>
        <v>-1.6245487364620937E-2</v>
      </c>
      <c r="L194" s="108">
        <f>IF(ISNUMBER(J194), $B199 * K194, "")</f>
        <v>-2436.8231046931405</v>
      </c>
      <c r="M194" s="109">
        <v>2730</v>
      </c>
      <c r="N194" s="107">
        <f>IF(ISNUMBER(M194), (M194 - $B194) / $B194, "")</f>
        <v>-1.444043321299639E-2</v>
      </c>
      <c r="O194" s="108">
        <f>IF(ISNUMBER(M194), $B199 * N194, "")</f>
        <v>-2166.0649819494583</v>
      </c>
      <c r="Q194" s="196"/>
      <c r="R194" s="196"/>
      <c r="S194" s="196"/>
    </row>
    <row r="195" spans="1:19" ht="17.25" thickBot="1">
      <c r="A195" s="125" t="s">
        <v>178</v>
      </c>
      <c r="B195" s="126">
        <v>47040</v>
      </c>
      <c r="C195" s="77">
        <v>-4.3319097000000001E-2</v>
      </c>
      <c r="D195" s="15">
        <v>51580</v>
      </c>
      <c r="E195" s="32">
        <f t="shared" ref="E195:E198" si="106">IF(ISNUMBER(D195), (D195 - $B195) / $B195, "")</f>
        <v>9.6513605442176867E-2</v>
      </c>
      <c r="F195" s="18">
        <f>IF(ISNUMBER(D195), $B199 * E195, "")</f>
        <v>14477.040816326529</v>
      </c>
      <c r="G195" s="31">
        <v>51410</v>
      </c>
      <c r="H195" s="32">
        <f t="shared" ref="H195:H198" si="107">IF(ISNUMBER(G195), (G195 - $B195) / $B195, "")</f>
        <v>9.2899659863945577E-2</v>
      </c>
      <c r="I195" s="101">
        <f>IF(ISNUMBER(G195), $B199 * H195, "")</f>
        <v>13934.948979591836</v>
      </c>
      <c r="J195" s="15">
        <v>51710</v>
      </c>
      <c r="K195" s="32">
        <f t="shared" ref="K195:K198" si="108">IF(ISNUMBER(J195), (J195 - $B195) / $B195, "")</f>
        <v>9.9277210884353748E-2</v>
      </c>
      <c r="L195" s="18">
        <f>IF(ISNUMBER(J195), $B199 * K195, "")</f>
        <v>14891.581632653062</v>
      </c>
      <c r="M195" s="31">
        <v>51460</v>
      </c>
      <c r="N195" s="32">
        <f t="shared" ref="N195:N198" si="109">IF(ISNUMBER(M195), (M195 - $B195) / $B195, "")</f>
        <v>9.3962585034013599E-2</v>
      </c>
      <c r="O195" s="18">
        <f>IF(ISNUMBER(M195), $B199 * N195, "")</f>
        <v>14094.38775510204</v>
      </c>
      <c r="Q195" s="196"/>
      <c r="R195" s="196"/>
      <c r="S195" s="196"/>
    </row>
    <row r="196" spans="1:19" ht="17.25" thickBot="1">
      <c r="A196" s="125" t="s">
        <v>337</v>
      </c>
      <c r="B196" s="126">
        <v>13460</v>
      </c>
      <c r="C196" s="77">
        <v>-6.1366806099999997E-2</v>
      </c>
      <c r="D196" s="15">
        <v>13940</v>
      </c>
      <c r="E196" s="32">
        <f t="shared" si="106"/>
        <v>3.5661218424962851E-2</v>
      </c>
      <c r="F196" s="18">
        <f>IF(ISNUMBER(D196), $B199 * E196, "")</f>
        <v>5349.1827637444276</v>
      </c>
      <c r="G196" s="31">
        <v>13880</v>
      </c>
      <c r="H196" s="32">
        <f t="shared" si="107"/>
        <v>3.1203566121842496E-2</v>
      </c>
      <c r="I196" s="101">
        <f>IF(ISNUMBER(G196), $B199 * H196, "")</f>
        <v>4680.5349182763748</v>
      </c>
      <c r="J196" s="15">
        <v>13770</v>
      </c>
      <c r="K196" s="32">
        <f t="shared" si="108"/>
        <v>2.3031203566121844E-2</v>
      </c>
      <c r="L196" s="18">
        <f>IF(ISNUMBER(J196), $B199 * K196, "")</f>
        <v>3454.6805349182764</v>
      </c>
      <c r="M196" s="31">
        <v>13610</v>
      </c>
      <c r="N196" s="32">
        <f t="shared" si="109"/>
        <v>1.1144130757800892E-2</v>
      </c>
      <c r="O196" s="18">
        <f>IF(ISNUMBER(M196), $B199 * N196, "")</f>
        <v>1671.6196136701337</v>
      </c>
      <c r="Q196" s="196"/>
      <c r="R196" s="196"/>
      <c r="S196" s="196"/>
    </row>
    <row r="197" spans="1:19">
      <c r="A197" s="125" t="s">
        <v>201</v>
      </c>
      <c r="B197" s="126">
        <v>536</v>
      </c>
      <c r="C197" s="77">
        <v>-6.45724258E-2</v>
      </c>
      <c r="D197" s="15">
        <v>520</v>
      </c>
      <c r="E197" s="32">
        <f t="shared" si="106"/>
        <v>-2.9850746268656716E-2</v>
      </c>
      <c r="F197" s="18">
        <f>IF(ISNUMBER(D197), $B199 * E197, "")</f>
        <v>-4477.6119402985078</v>
      </c>
      <c r="G197" s="31">
        <v>520</v>
      </c>
      <c r="H197" s="32">
        <f t="shared" si="107"/>
        <v>-2.9850746268656716E-2</v>
      </c>
      <c r="I197" s="101">
        <f>IF(ISNUMBER(G197), $B199 * H197, "")</f>
        <v>-4477.6119402985078</v>
      </c>
      <c r="J197" s="15">
        <v>520</v>
      </c>
      <c r="K197" s="32">
        <f t="shared" si="108"/>
        <v>-2.9850746268656716E-2</v>
      </c>
      <c r="L197" s="18">
        <f>IF(ISNUMBER(J197), $B199 * K197, "")</f>
        <v>-4477.6119402985078</v>
      </c>
      <c r="M197" s="31">
        <v>520</v>
      </c>
      <c r="N197" s="32">
        <f t="shared" si="109"/>
        <v>-2.9850746268656716E-2</v>
      </c>
      <c r="O197" s="18">
        <f>IF(ISNUMBER(M197), $B199 * N197, "")</f>
        <v>-4477.6119402985078</v>
      </c>
      <c r="Q197" s="218"/>
      <c r="R197" s="219"/>
      <c r="S197" s="220"/>
    </row>
    <row r="198" spans="1:19" ht="17.25" thickBot="1">
      <c r="A198" s="130" t="s">
        <v>237</v>
      </c>
      <c r="B198" s="131">
        <v>534</v>
      </c>
      <c r="C198" s="79">
        <v>-6.9686411099999998E-2</v>
      </c>
      <c r="D198" s="24">
        <v>520</v>
      </c>
      <c r="E198" s="25">
        <f t="shared" si="106"/>
        <v>-2.6217228464419477E-2</v>
      </c>
      <c r="F198" s="104">
        <f>IF(ISNUMBER(D198), $B199 * E198, "")</f>
        <v>-3932.5842696629215</v>
      </c>
      <c r="G198" s="102">
        <v>521</v>
      </c>
      <c r="H198" s="25">
        <f t="shared" si="107"/>
        <v>-2.4344569288389514E-2</v>
      </c>
      <c r="I198" s="103">
        <f>IF(ISNUMBER(G198), $B199 * H198, "")</f>
        <v>-3651.6853932584272</v>
      </c>
      <c r="J198" s="24">
        <v>521</v>
      </c>
      <c r="K198" s="25">
        <f t="shared" si="108"/>
        <v>-2.4344569288389514E-2</v>
      </c>
      <c r="L198" s="104">
        <f>IF(ISNUMBER(J198), $B199 * K198, "")</f>
        <v>-3651.6853932584272</v>
      </c>
      <c r="M198" s="102">
        <v>522</v>
      </c>
      <c r="N198" s="25">
        <f t="shared" si="109"/>
        <v>-2.247191011235955E-2</v>
      </c>
      <c r="O198" s="104">
        <f>IF(ISNUMBER(M198), $B199 * N198, "")</f>
        <v>-3370.7865168539324</v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-9.7336887682484066E-3</v>
      </c>
      <c r="F199" s="28">
        <f>SUM(F179:F198)</f>
        <v>-29201.066304745207</v>
      </c>
      <c r="G199" s="26" t="s">
        <v>266</v>
      </c>
      <c r="H199" s="27">
        <f>IF(COUNT(H179:H198), SUM(H179:H198) / COUNT(H179:H198), 0)</f>
        <v>-5.3007623290018454E-3</v>
      </c>
      <c r="I199" s="28">
        <f>SUM(I179:I198)</f>
        <v>-15902.286987005533</v>
      </c>
      <c r="J199" s="26" t="s">
        <v>266</v>
      </c>
      <c r="K199" s="27">
        <f>IF(COUNT(K179:K198), SUM(K179:K198) / COUNT(K179:K198), 0)</f>
        <v>-3.2939720072023317E-3</v>
      </c>
      <c r="L199" s="28">
        <f>SUM(L179:L198)</f>
        <v>-9881.9160216069886</v>
      </c>
      <c r="M199" s="26" t="s">
        <v>266</v>
      </c>
      <c r="N199" s="27">
        <f>IF(COUNT(N179:N198), SUM(N179:N198) / COUNT(N179:N198), 0)</f>
        <v>-8.5688530382735419E-3</v>
      </c>
      <c r="O199" s="28">
        <f>SUM(O179:O198)</f>
        <v>-25706.559114820619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6941D-0614-464F-915A-2693F4854F12}">
  <sheetPr codeName="Sheet10"/>
  <dimension ref="A1:S199"/>
  <sheetViews>
    <sheetView topLeftCell="A3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44624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-66,597 KRW (-2.22%)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-78,175 KRW (-2.61%)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-61,592 KRW (-2.05%)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-84,562 KRW (-2.82%)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2022-03-04(금) 오전 00:00</v>
      </c>
      <c r="C15" s="237"/>
      <c r="D15" s="193" t="str">
        <f>TEXT($G$1, "[$-ko-KR]yyyy-mm-dd(ddd) ") &amp; "오후 14:00"</f>
        <v>2022-03-04(금) 오후 14:00</v>
      </c>
      <c r="E15" s="194"/>
      <c r="F15" s="195"/>
      <c r="G15" s="193" t="str">
        <f>TEXT($G$1, "[$-ko-KR]yyyy-mm-dd(ddd) ") &amp; "오후 19:00"</f>
        <v>2022-03-04(금) 오후 19:00</v>
      </c>
      <c r="H15" s="194"/>
      <c r="I15" s="195"/>
      <c r="J15" s="193" t="str">
        <f>TEXT($G$1, "[$-ko-KR]yyyy-mm-dd(ddd) ") &amp; "오후 21:00"</f>
        <v>2022-03-04(금) 오후 21:00</v>
      </c>
      <c r="K15" s="194"/>
      <c r="L15" s="195"/>
      <c r="M15" s="193" t="str">
        <f>TEXT($G$1+1, "[$-ko-KR]yyyy-mm-dd(ddd) ") &amp; "오전 00:00"</f>
        <v>2022-03-05(토)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2022-03-04(금) 오전 00:00</v>
      </c>
      <c r="C42" s="234"/>
      <c r="D42" s="193" t="str">
        <f>TEXT($G$1, "[$-ko-KR]yyyy-mm-dd(ddd) ") &amp; "오후 14:00"</f>
        <v>2022-03-04(금) 오후 14:00</v>
      </c>
      <c r="E42" s="194"/>
      <c r="F42" s="195"/>
      <c r="G42" s="193" t="str">
        <f>TEXT($G$1, "[$-ko-KR]yyyy-mm-dd(ddd) ") &amp; "오후 19:00"</f>
        <v>2022-03-04(금) 오후 19:00</v>
      </c>
      <c r="H42" s="194"/>
      <c r="I42" s="195"/>
      <c r="J42" s="193" t="str">
        <f>TEXT($G$1, "[$-ko-KR]yyyy-mm-dd(ddd) ") &amp; "오후 21:00"</f>
        <v>2022-03-04(금) 오후 21:00</v>
      </c>
      <c r="K42" s="194"/>
      <c r="L42" s="195"/>
      <c r="M42" s="193" t="str">
        <f>TEXT($G$1+1, "[$-ko-KR]yyyy-mm-dd(ddd) ") &amp; "오전 00:00"</f>
        <v>2022-03-05(토)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124</v>
      </c>
      <c r="B44" s="124">
        <v>67.7</v>
      </c>
      <c r="C44" s="76">
        <v>5.1242235999999997E-2</v>
      </c>
      <c r="D44" s="13">
        <v>63.9</v>
      </c>
      <c r="E44" s="14">
        <f>IF(ISNUMBER(D44), (D44 - $B44) / $B44, "")</f>
        <v>-5.6129985228951317E-2</v>
      </c>
      <c r="F44" s="16">
        <f>IF(ISNUMBER(D44), $B64 * E44, "")</f>
        <v>-8419.4977843426968</v>
      </c>
      <c r="G44" s="29">
        <v>64.900000000000006</v>
      </c>
      <c r="H44" s="14">
        <f>IF(ISNUMBER(G44), (G44 - $B44) / $B44, "")</f>
        <v>-4.1358936484490356E-2</v>
      </c>
      <c r="I44" s="100">
        <f>IF(ISNUMBER(G44), $B64 * H44, "")</f>
        <v>-6203.8404726735534</v>
      </c>
      <c r="J44" s="13">
        <v>65.2</v>
      </c>
      <c r="K44" s="14">
        <f>IF(ISNUMBER(J44), (J44 - $B44) / $B44, "")</f>
        <v>-3.6927621861152143E-2</v>
      </c>
      <c r="L44" s="16">
        <f>IF(ISNUMBER(J44), $B64 * K44, "")</f>
        <v>-5539.1432791728212</v>
      </c>
      <c r="M44" s="29">
        <v>63.7</v>
      </c>
      <c r="N44" s="14">
        <f>IF(ISNUMBER(M44), (M44 - $B44) / $B44, "")</f>
        <v>-5.9084194977843424E-2</v>
      </c>
      <c r="O44" s="16">
        <f>IF(ISNUMBER(M44), $B64 * N44, "")</f>
        <v>-8862.6292466765135</v>
      </c>
      <c r="Q44" s="191"/>
      <c r="R44" s="191"/>
      <c r="S44" s="191"/>
    </row>
    <row r="45" spans="1:19" ht="17.25" customHeight="1" thickBot="1">
      <c r="A45" s="125" t="s">
        <v>126</v>
      </c>
      <c r="B45" s="126">
        <v>87.7</v>
      </c>
      <c r="C45" s="77">
        <v>1.03686636E-2</v>
      </c>
      <c r="D45" s="15">
        <v>85.9</v>
      </c>
      <c r="E45" s="32">
        <f t="shared" ref="E45:E48" si="14">IF(ISNUMBER(D45), (D45 - $B45) / $B45, "")</f>
        <v>-2.0524515393386511E-2</v>
      </c>
      <c r="F45" s="18">
        <f>IF(ISNUMBER(D45), $B64 * E45, "")</f>
        <v>-3078.6773090079769</v>
      </c>
      <c r="G45" s="31">
        <v>86.6</v>
      </c>
      <c r="H45" s="32">
        <f t="shared" ref="H45:H48" si="15">IF(ISNUMBER(G45), (G45 - $B45) / $B45, "")</f>
        <v>-1.2542759407069653E-2</v>
      </c>
      <c r="I45" s="101">
        <f>IF(ISNUMBER(G45), $B64 * H45, "")</f>
        <v>-1881.4139110604478</v>
      </c>
      <c r="J45" s="15">
        <v>87.3</v>
      </c>
      <c r="K45" s="32">
        <f t="shared" ref="K45:K48" si="16">IF(ISNUMBER(J45), (J45 - $B45) / $B45, "")</f>
        <v>-4.5610034207526299E-3</v>
      </c>
      <c r="L45" s="18">
        <f>IF(ISNUMBER(J45), $B64 * K45, "")</f>
        <v>-684.15051311289449</v>
      </c>
      <c r="M45" s="31">
        <v>85.7</v>
      </c>
      <c r="N45" s="32">
        <f t="shared" ref="N45:N48" si="17">IF(ISNUMBER(M45), (M45 - $B45) / $B45, "")</f>
        <v>-2.2805017103762829E-2</v>
      </c>
      <c r="O45" s="18">
        <f>IF(ISNUMBER(M45), $B64 * N45, "")</f>
        <v>-3420.7525655644245</v>
      </c>
      <c r="Q45" s="191"/>
      <c r="R45" s="191"/>
      <c r="S45" s="191"/>
    </row>
    <row r="46" spans="1:19" ht="17.25" customHeight="1" thickBot="1">
      <c r="A46" s="125" t="s">
        <v>118</v>
      </c>
      <c r="B46" s="126">
        <v>17.8</v>
      </c>
      <c r="C46" s="77">
        <v>-5.5865921999999997E-3</v>
      </c>
      <c r="D46" s="15">
        <v>17.600000000000001</v>
      </c>
      <c r="E46" s="32">
        <f t="shared" si="14"/>
        <v>-1.1235955056179735E-2</v>
      </c>
      <c r="F46" s="18">
        <f>IF(ISNUMBER(D46), $B64 * E46, "")</f>
        <v>-1685.3932584269603</v>
      </c>
      <c r="G46" s="31">
        <v>17.8</v>
      </c>
      <c r="H46" s="32">
        <f t="shared" si="15"/>
        <v>0</v>
      </c>
      <c r="I46" s="101">
        <f>IF(ISNUMBER(G46), $B64 * H46, "")</f>
        <v>0</v>
      </c>
      <c r="J46" s="15">
        <v>17.8</v>
      </c>
      <c r="K46" s="32">
        <f t="shared" si="16"/>
        <v>0</v>
      </c>
      <c r="L46" s="18">
        <f>IF(ISNUMBER(J46), $B64 * K46, "")</f>
        <v>0</v>
      </c>
      <c r="M46" s="31">
        <v>17.600000000000001</v>
      </c>
      <c r="N46" s="32">
        <f t="shared" si="17"/>
        <v>-1.1235955056179735E-2</v>
      </c>
      <c r="O46" s="18">
        <f>IF(ISNUMBER(M46), $B64 * N46, "")</f>
        <v>-1685.3932584269603</v>
      </c>
      <c r="Q46" s="196"/>
      <c r="R46" s="196"/>
      <c r="S46" s="196"/>
    </row>
    <row r="47" spans="1:19" ht="17.25" customHeight="1" thickBot="1">
      <c r="A47" s="125" t="s">
        <v>128</v>
      </c>
      <c r="B47" s="126">
        <v>51.9</v>
      </c>
      <c r="C47" s="77">
        <v>-7.6481835999999996E-3</v>
      </c>
      <c r="D47" s="15">
        <v>49.7</v>
      </c>
      <c r="E47" s="32">
        <f t="shared" si="14"/>
        <v>-4.2389210019267744E-2</v>
      </c>
      <c r="F47" s="18">
        <f>IF(ISNUMBER(D47), $B64 * E47, "")</f>
        <v>-6358.3815028901618</v>
      </c>
      <c r="G47" s="31">
        <v>50.2</v>
      </c>
      <c r="H47" s="32">
        <f t="shared" si="15"/>
        <v>-3.2755298651252325E-2</v>
      </c>
      <c r="I47" s="101">
        <f>IF(ISNUMBER(G47), $B64 * H47, "")</f>
        <v>-4913.2947976878486</v>
      </c>
      <c r="J47" s="15">
        <v>50.8</v>
      </c>
      <c r="K47" s="32">
        <f t="shared" si="16"/>
        <v>-2.1194605009633938E-2</v>
      </c>
      <c r="L47" s="18">
        <f>IF(ISNUMBER(J47), $B64 * K47, "")</f>
        <v>-3179.1907514450909</v>
      </c>
      <c r="M47" s="31">
        <v>50.2</v>
      </c>
      <c r="N47" s="32">
        <f t="shared" si="17"/>
        <v>-3.2755298651252325E-2</v>
      </c>
      <c r="O47" s="18">
        <f>IF(ISNUMBER(M47), $B64 * N47, "")</f>
        <v>-4913.2947976878486</v>
      </c>
      <c r="Q47" s="196"/>
      <c r="R47" s="196"/>
      <c r="S47" s="196"/>
    </row>
    <row r="48" spans="1:19" ht="17.25" customHeight="1" thickBot="1">
      <c r="A48" s="127" t="s">
        <v>341</v>
      </c>
      <c r="B48" s="128">
        <v>9.1600000000000001E-2</v>
      </c>
      <c r="C48" s="78">
        <v>-9.7297297000000001E-3</v>
      </c>
      <c r="D48" s="20">
        <v>8.9499999999999996E-2</v>
      </c>
      <c r="E48" s="21">
        <f t="shared" si="14"/>
        <v>-2.2925764192139788E-2</v>
      </c>
      <c r="F48" s="22">
        <f>IF(ISNUMBER(D48), $B64 * E48, "")</f>
        <v>-3438.8646288209684</v>
      </c>
      <c r="G48" s="30">
        <v>9.0200000000000002E-2</v>
      </c>
      <c r="H48" s="21">
        <f t="shared" si="15"/>
        <v>-1.5283842794759809E-2</v>
      </c>
      <c r="I48" s="105">
        <f>IF(ISNUMBER(G48), $B64 * H48, "")</f>
        <v>-2292.5764192139713</v>
      </c>
      <c r="J48" s="20">
        <v>9.0800000000000006E-2</v>
      </c>
      <c r="K48" s="21">
        <f t="shared" si="16"/>
        <v>-8.7336244541484191E-3</v>
      </c>
      <c r="L48" s="22">
        <f>IF(ISNUMBER(J48), $B64 * K48, "")</f>
        <v>-1310.0436681222629</v>
      </c>
      <c r="M48" s="30">
        <v>9.0200000000000002E-2</v>
      </c>
      <c r="N48" s="21">
        <f t="shared" si="17"/>
        <v>-1.5283842794759809E-2</v>
      </c>
      <c r="O48" s="22">
        <f>IF(ISNUMBER(M48), $B64 * N48, "")</f>
        <v>-2292.5764192139713</v>
      </c>
      <c r="Q48" s="196"/>
      <c r="R48" s="196"/>
      <c r="S48" s="196"/>
    </row>
    <row r="49" spans="1:19" ht="17.25" customHeight="1" thickBot="1">
      <c r="A49" s="125" t="s">
        <v>148</v>
      </c>
      <c r="B49" s="129">
        <v>74</v>
      </c>
      <c r="C49" s="80">
        <v>-1.0695187199999999E-2</v>
      </c>
      <c r="D49" s="106">
        <v>72.3</v>
      </c>
      <c r="E49" s="107">
        <f>IF(ISNUMBER(D49), (D49 - $B49) / $B49, "")</f>
        <v>-2.2972972972973012E-2</v>
      </c>
      <c r="F49" s="108">
        <f>IF(ISNUMBER(D49), $B64 * E49, "")</f>
        <v>-3445.9459459459517</v>
      </c>
      <c r="G49" s="109">
        <v>72.400000000000006</v>
      </c>
      <c r="H49" s="107">
        <f>IF(ISNUMBER(G49), (G49 - $B49) / $B49, "")</f>
        <v>-2.1621621621621546E-2</v>
      </c>
      <c r="I49" s="110">
        <f>IF(ISNUMBER(G49), $B64 * H49, "")</f>
        <v>-3243.243243243232</v>
      </c>
      <c r="J49" s="106">
        <v>73.3</v>
      </c>
      <c r="K49" s="107">
        <f>IF(ISNUMBER(J49), (J49 - $B49) / $B49, "")</f>
        <v>-9.4594594594594981E-3</v>
      </c>
      <c r="L49" s="108">
        <f>IF(ISNUMBER(J49), $B64 * K49, "")</f>
        <v>-1418.9189189189246</v>
      </c>
      <c r="M49" s="109">
        <v>72.2</v>
      </c>
      <c r="N49" s="107">
        <f>IF(ISNUMBER(M49), (M49 - $B49) / $B49, "")</f>
        <v>-2.4324324324324288E-2</v>
      </c>
      <c r="O49" s="108">
        <f>IF(ISNUMBER(M49), $B64 * N49, "")</f>
        <v>-3648.6486486486433</v>
      </c>
      <c r="Q49" s="196"/>
      <c r="R49" s="196"/>
      <c r="S49" s="196"/>
    </row>
    <row r="50" spans="1:19" ht="17.25" customHeight="1" thickBot="1">
      <c r="A50" s="125" t="s">
        <v>205</v>
      </c>
      <c r="B50" s="126">
        <v>11.8</v>
      </c>
      <c r="C50" s="77">
        <v>-1.6666666699999999E-2</v>
      </c>
      <c r="D50" s="15">
        <v>11.3</v>
      </c>
      <c r="E50" s="32">
        <f t="shared" ref="E50:E53" si="18">IF(ISNUMBER(D50), (D50 - $B50) / $B50, "")</f>
        <v>-4.2372881355932202E-2</v>
      </c>
      <c r="F50" s="18">
        <f>IF(ISNUMBER(D50), $B64 * E50, "")</f>
        <v>-6355.9322033898306</v>
      </c>
      <c r="G50" s="31">
        <v>11.5</v>
      </c>
      <c r="H50" s="32">
        <f t="shared" ref="H50:H53" si="19">IF(ISNUMBER(G50), (G50 - $B50) / $B50, "")</f>
        <v>-2.5423728813559379E-2</v>
      </c>
      <c r="I50" s="101">
        <f>IF(ISNUMBER(G50), $B64 * H50, "")</f>
        <v>-3813.5593220339069</v>
      </c>
      <c r="J50" s="15">
        <v>11.4</v>
      </c>
      <c r="K50" s="32">
        <f t="shared" ref="K50:K53" si="20">IF(ISNUMBER(J50), (J50 - $B50) / $B50, "")</f>
        <v>-3.389830508474579E-2</v>
      </c>
      <c r="L50" s="18">
        <f>IF(ISNUMBER(J50), $B64 * K50, "")</f>
        <v>-5084.7457627118683</v>
      </c>
      <c r="M50" s="31">
        <v>11.5</v>
      </c>
      <c r="N50" s="32">
        <f t="shared" ref="N50:N53" si="21">IF(ISNUMBER(M50), (M50 - $B50) / $B50, "")</f>
        <v>-2.5423728813559379E-2</v>
      </c>
      <c r="O50" s="18">
        <f>IF(ISNUMBER(M50), $B64 * N50, "")</f>
        <v>-3813.5593220339069</v>
      </c>
      <c r="Q50" s="196"/>
      <c r="R50" s="196"/>
      <c r="S50" s="196"/>
    </row>
    <row r="51" spans="1:19" ht="17.25" customHeight="1" thickBot="1">
      <c r="A51" s="125" t="s">
        <v>199</v>
      </c>
      <c r="B51" s="126">
        <v>11.6</v>
      </c>
      <c r="C51" s="77">
        <v>-1.6949152499999998E-2</v>
      </c>
      <c r="D51" s="15">
        <v>11.2</v>
      </c>
      <c r="E51" s="32">
        <f t="shared" si="18"/>
        <v>-3.4482758620689689E-2</v>
      </c>
      <c r="F51" s="18">
        <f>IF(ISNUMBER(D51), $B64 * E51, "")</f>
        <v>-5172.4137931034538</v>
      </c>
      <c r="G51" s="31">
        <v>11.4</v>
      </c>
      <c r="H51" s="32">
        <f t="shared" si="19"/>
        <v>-1.7241379310344768E-2</v>
      </c>
      <c r="I51" s="101">
        <f>IF(ISNUMBER(G51), $B64 * H51, "")</f>
        <v>-2586.2068965517151</v>
      </c>
      <c r="J51" s="15">
        <v>11.4</v>
      </c>
      <c r="K51" s="32">
        <f t="shared" si="20"/>
        <v>-1.7241379310344768E-2</v>
      </c>
      <c r="L51" s="18">
        <f>IF(ISNUMBER(J51), $B64 * K51, "")</f>
        <v>-2586.2068965517151</v>
      </c>
      <c r="M51" s="31">
        <v>11.2</v>
      </c>
      <c r="N51" s="32">
        <f t="shared" si="21"/>
        <v>-3.4482758620689689E-2</v>
      </c>
      <c r="O51" s="18">
        <f>IF(ISNUMBER(M51), $B64 * N51, "")</f>
        <v>-5172.4137931034538</v>
      </c>
      <c r="Q51" s="196"/>
      <c r="R51" s="196"/>
      <c r="S51" s="196"/>
    </row>
    <row r="52" spans="1:19" ht="17.25" customHeight="1" thickBot="1">
      <c r="A52" s="125" t="s">
        <v>144</v>
      </c>
      <c r="B52" s="126">
        <v>11.4</v>
      </c>
      <c r="C52" s="77">
        <v>-1.7241379300000002E-2</v>
      </c>
      <c r="D52" s="15">
        <v>10.8</v>
      </c>
      <c r="E52" s="32">
        <f t="shared" si="18"/>
        <v>-5.263157894736839E-2</v>
      </c>
      <c r="F52" s="18">
        <f>IF(ISNUMBER(D52), $B64 * E52, "")</f>
        <v>-7894.7368421052588</v>
      </c>
      <c r="G52" s="31">
        <v>10.9</v>
      </c>
      <c r="H52" s="32">
        <f t="shared" si="19"/>
        <v>-4.3859649122807015E-2</v>
      </c>
      <c r="I52" s="101">
        <f>IF(ISNUMBER(G52), $B64 * H52, "")</f>
        <v>-6578.9473684210525</v>
      </c>
      <c r="J52" s="15">
        <v>11</v>
      </c>
      <c r="K52" s="32">
        <f t="shared" si="20"/>
        <v>-3.5087719298245647E-2</v>
      </c>
      <c r="L52" s="18">
        <f>IF(ISNUMBER(J52), $B64 * K52, "")</f>
        <v>-5263.1578947368471</v>
      </c>
      <c r="M52" s="31">
        <v>10.7</v>
      </c>
      <c r="N52" s="32">
        <f t="shared" si="21"/>
        <v>-6.1403508771929918E-2</v>
      </c>
      <c r="O52" s="18">
        <f>IF(ISNUMBER(M52), $B64 * N52, "")</f>
        <v>-9210.5263157894879</v>
      </c>
      <c r="Q52" s="33"/>
      <c r="R52" s="33"/>
    </row>
    <row r="53" spans="1:19" ht="17.25" customHeight="1" thickBot="1">
      <c r="A53" s="130" t="s">
        <v>245</v>
      </c>
      <c r="B53" s="131">
        <v>58.6</v>
      </c>
      <c r="C53" s="79">
        <v>-1.8425460599999999E-2</v>
      </c>
      <c r="D53" s="24">
        <v>57.1</v>
      </c>
      <c r="E53" s="25">
        <f t="shared" si="18"/>
        <v>-2.5597269624573378E-2</v>
      </c>
      <c r="F53" s="104">
        <f>IF(ISNUMBER(D53), $B64 * E53, "")</f>
        <v>-3839.5904436860069</v>
      </c>
      <c r="G53" s="102">
        <v>58.2</v>
      </c>
      <c r="H53" s="25">
        <f t="shared" si="19"/>
        <v>-6.8259385665528768E-3</v>
      </c>
      <c r="I53" s="103">
        <f>IF(ISNUMBER(G53), $B64 * H53, "")</f>
        <v>-1023.8907849829316</v>
      </c>
      <c r="J53" s="24">
        <v>58.7</v>
      </c>
      <c r="K53" s="25">
        <f t="shared" si="20"/>
        <v>1.7064846416382496E-3</v>
      </c>
      <c r="L53" s="104">
        <f>IF(ISNUMBER(J53), $B64 * K53, "")</f>
        <v>255.97269624573744</v>
      </c>
      <c r="M53" s="102">
        <v>57.9</v>
      </c>
      <c r="N53" s="25">
        <f t="shared" si="21"/>
        <v>-1.1945392491467624E-2</v>
      </c>
      <c r="O53" s="104">
        <f>IF(ISNUMBER(M53), $B64 * N53, "")</f>
        <v>-1791.8088737201438</v>
      </c>
      <c r="Q53" s="205"/>
      <c r="R53" s="206"/>
      <c r="S53" s="207"/>
    </row>
    <row r="54" spans="1:19" ht="17.25" customHeight="1">
      <c r="A54" s="123" t="s">
        <v>189</v>
      </c>
      <c r="B54" s="124">
        <v>89.9</v>
      </c>
      <c r="C54" s="76">
        <v>-1.8558952E-2</v>
      </c>
      <c r="D54" s="13">
        <v>86.6</v>
      </c>
      <c r="E54" s="14">
        <f>IF(ISNUMBER(D54), (D54 - $B54) / $B54, "")</f>
        <v>-3.6707452725250403E-2</v>
      </c>
      <c r="F54" s="16">
        <f>IF(ISNUMBER(D54), $B64 * E54, "")</f>
        <v>-5506.1179087875607</v>
      </c>
      <c r="G54" s="29">
        <v>87.8</v>
      </c>
      <c r="H54" s="14">
        <f>IF(ISNUMBER(G54), (G54 - $B54) / $B54, "")</f>
        <v>-2.3359288097886635E-2</v>
      </c>
      <c r="I54" s="100">
        <f>IF(ISNUMBER(G54), $B64 * H54, "")</f>
        <v>-3503.8932146829952</v>
      </c>
      <c r="J54" s="13">
        <v>88</v>
      </c>
      <c r="K54" s="14">
        <f>IF(ISNUMBER(J54), (J54 - $B54) / $B54, "")</f>
        <v>-2.1134593993325981E-2</v>
      </c>
      <c r="L54" s="16">
        <f>IF(ISNUMBER(J54), $B64 * K54, "")</f>
        <v>-3170.189098998897</v>
      </c>
      <c r="M54" s="29">
        <v>87.9</v>
      </c>
      <c r="N54" s="14">
        <f>IF(ISNUMBER(M54), (M54 - $B54) / $B54, "")</f>
        <v>-2.2246941045606226E-2</v>
      </c>
      <c r="O54" s="16">
        <f>IF(ISNUMBER(M54), $B64 * N54, "")</f>
        <v>-3337.041156840934</v>
      </c>
      <c r="Q54" s="208"/>
      <c r="R54" s="209"/>
      <c r="S54" s="210"/>
    </row>
    <row r="55" spans="1:19" ht="17.25" customHeight="1" thickBot="1">
      <c r="A55" s="125" t="s">
        <v>158</v>
      </c>
      <c r="B55" s="126">
        <v>68.099999999999994</v>
      </c>
      <c r="C55" s="77">
        <v>-1.8731988500000001E-2</v>
      </c>
      <c r="D55" s="15">
        <v>66.400000000000006</v>
      </c>
      <c r="E55" s="32">
        <f t="shared" ref="E55:E58" si="22">IF(ISNUMBER(D55), (D55 - $B55) / $B55, "")</f>
        <v>-2.4963289280469734E-2</v>
      </c>
      <c r="F55" s="18">
        <f>IF(ISNUMBER(D55), $B64 * E55, "")</f>
        <v>-3744.4933920704602</v>
      </c>
      <c r="G55" s="31">
        <v>68.5</v>
      </c>
      <c r="H55" s="32">
        <f t="shared" ref="H55:H58" si="23">IF(ISNUMBER(G55), (G55 - $B55) / $B55, "")</f>
        <v>5.8737151248165302E-3</v>
      </c>
      <c r="I55" s="101">
        <f>IF(ISNUMBER(G55), $B64 * H55, "")</f>
        <v>881.05726872247953</v>
      </c>
      <c r="J55" s="15">
        <v>69.599999999999994</v>
      </c>
      <c r="K55" s="32">
        <f t="shared" ref="K55:K58" si="24">IF(ISNUMBER(J55), (J55 - $B55) / $B55, "")</f>
        <v>2.2026431718061675E-2</v>
      </c>
      <c r="L55" s="18">
        <f>IF(ISNUMBER(J55), $B64 * K55, "")</f>
        <v>3303.9647577092514</v>
      </c>
      <c r="M55" s="31">
        <v>68</v>
      </c>
      <c r="N55" s="32">
        <f t="shared" ref="N55:N58" si="25">IF(ISNUMBER(M55), (M55 - $B55) / $B55, "")</f>
        <v>-1.4684287812040283E-3</v>
      </c>
      <c r="O55" s="18">
        <f>IF(ISNUMBER(M55), $B64 * N55, "")</f>
        <v>-220.26431718060425</v>
      </c>
      <c r="Q55" s="211"/>
      <c r="R55" s="212"/>
      <c r="S55" s="213"/>
    </row>
    <row r="56" spans="1:19" ht="17.25" customHeight="1" thickBot="1">
      <c r="A56" s="125" t="s">
        <v>185</v>
      </c>
      <c r="B56" s="126">
        <v>10.3</v>
      </c>
      <c r="C56" s="77">
        <v>-1.9047618999999998E-2</v>
      </c>
      <c r="D56" s="15">
        <v>10.1</v>
      </c>
      <c r="E56" s="32">
        <f t="shared" si="22"/>
        <v>-1.9417475728155442E-2</v>
      </c>
      <c r="F56" s="18">
        <f>IF(ISNUMBER(D56), $B64 * E56, "")</f>
        <v>-2912.6213592233162</v>
      </c>
      <c r="G56" s="31">
        <v>10.199999999999999</v>
      </c>
      <c r="H56" s="32">
        <f t="shared" si="23"/>
        <v>-9.7087378640778078E-3</v>
      </c>
      <c r="I56" s="101">
        <f>IF(ISNUMBER(G56), $B64 * H56, "")</f>
        <v>-1456.3106796116713</v>
      </c>
      <c r="J56" s="15">
        <v>10.199999999999999</v>
      </c>
      <c r="K56" s="32">
        <f t="shared" si="24"/>
        <v>-9.7087378640778078E-3</v>
      </c>
      <c r="L56" s="18">
        <f>IF(ISNUMBER(J56), $B64 * K56, "")</f>
        <v>-1456.3106796116713</v>
      </c>
      <c r="M56" s="31">
        <v>10.1</v>
      </c>
      <c r="N56" s="32">
        <f t="shared" si="25"/>
        <v>-1.9417475728155442E-2</v>
      </c>
      <c r="O56" s="18">
        <f>IF(ISNUMBER(M56), $B64 * N56, "")</f>
        <v>-2912.6213592233162</v>
      </c>
      <c r="Q56" s="196"/>
      <c r="R56" s="196"/>
      <c r="S56" s="196"/>
    </row>
    <row r="57" spans="1:19" ht="17.25" customHeight="1" thickBot="1">
      <c r="A57" s="125" t="s">
        <v>146</v>
      </c>
      <c r="B57" s="126">
        <v>8.6999999999999993</v>
      </c>
      <c r="C57" s="77">
        <v>-2.02702703E-2</v>
      </c>
      <c r="D57" s="15">
        <v>8.3699999999999992</v>
      </c>
      <c r="E57" s="32">
        <f t="shared" si="22"/>
        <v>-3.7931034482758634E-2</v>
      </c>
      <c r="F57" s="18">
        <f>IF(ISNUMBER(D57), $B64 * E57, "")</f>
        <v>-5689.6551724137953</v>
      </c>
      <c r="G57" s="31">
        <v>8.49</v>
      </c>
      <c r="H57" s="32">
        <f t="shared" si="23"/>
        <v>-2.4137931034482654E-2</v>
      </c>
      <c r="I57" s="101">
        <f>IF(ISNUMBER(G57), $B64 * H57, "")</f>
        <v>-3620.689655172398</v>
      </c>
      <c r="J57" s="15">
        <v>8.6199999999999992</v>
      </c>
      <c r="K57" s="32">
        <f t="shared" si="24"/>
        <v>-9.1954022988505833E-3</v>
      </c>
      <c r="L57" s="18">
        <f>IF(ISNUMBER(J57), $B64 * K57, "")</f>
        <v>-1379.3103448275874</v>
      </c>
      <c r="M57" s="31">
        <v>8.49</v>
      </c>
      <c r="N57" s="32">
        <f t="shared" si="25"/>
        <v>-2.4137931034482654E-2</v>
      </c>
      <c r="O57" s="18">
        <f>IF(ISNUMBER(M57), $B64 * N57, "")</f>
        <v>-3620.689655172398</v>
      </c>
      <c r="Q57" s="191"/>
      <c r="R57" s="191"/>
      <c r="S57" s="191"/>
    </row>
    <row r="58" spans="1:19" ht="17.25" customHeight="1" thickBot="1">
      <c r="A58" s="127" t="s">
        <v>197</v>
      </c>
      <c r="B58" s="128">
        <v>48.2</v>
      </c>
      <c r="C58" s="78">
        <v>-2.2312373199999999E-2</v>
      </c>
      <c r="D58" s="20">
        <v>47.2</v>
      </c>
      <c r="E58" s="21">
        <f t="shared" si="22"/>
        <v>-2.0746887966804978E-2</v>
      </c>
      <c r="F58" s="22">
        <f>IF(ISNUMBER(D58), $B64 * E58, "")</f>
        <v>-3112.0331950207469</v>
      </c>
      <c r="G58" s="30">
        <v>47.7</v>
      </c>
      <c r="H58" s="21">
        <f t="shared" si="23"/>
        <v>-1.0373443983402489E-2</v>
      </c>
      <c r="I58" s="105">
        <f>IF(ISNUMBER(G58), $B64 * H58, "")</f>
        <v>-1556.0165975103735</v>
      </c>
      <c r="J58" s="20">
        <v>47.9</v>
      </c>
      <c r="K58" s="21">
        <f t="shared" si="24"/>
        <v>-6.2240663900415818E-3</v>
      </c>
      <c r="L58" s="22">
        <f>IF(ISNUMBER(J58), $B64 * K58, "")</f>
        <v>-933.60995850623726</v>
      </c>
      <c r="M58" s="30">
        <v>47.5</v>
      </c>
      <c r="N58" s="21">
        <f t="shared" si="25"/>
        <v>-1.4522821576763543E-2</v>
      </c>
      <c r="O58" s="22">
        <f>IF(ISNUMBER(M58), $B64 * N58, "")</f>
        <v>-2178.4232365145313</v>
      </c>
      <c r="Q58" s="191"/>
      <c r="R58" s="191"/>
      <c r="S58" s="191"/>
    </row>
    <row r="59" spans="1:19" ht="17.25" customHeight="1" thickBot="1">
      <c r="A59" s="125" t="s">
        <v>203</v>
      </c>
      <c r="B59" s="129">
        <v>7.85</v>
      </c>
      <c r="C59" s="80">
        <v>-2.48447205E-2</v>
      </c>
      <c r="D59" s="106">
        <v>7.58</v>
      </c>
      <c r="E59" s="107">
        <f>IF(ISNUMBER(D59), (D59 - $B59) / $B59, "")</f>
        <v>-3.439490445859867E-2</v>
      </c>
      <c r="F59" s="108">
        <f>IF(ISNUMBER(D59), $B64 * E59, "")</f>
        <v>-5159.2356687898009</v>
      </c>
      <c r="G59" s="109">
        <v>7.74</v>
      </c>
      <c r="H59" s="107">
        <f>IF(ISNUMBER(G59), (G59 - $B59) / $B59, "")</f>
        <v>-1.4012738853503112E-2</v>
      </c>
      <c r="I59" s="110">
        <f>IF(ISNUMBER(G59), $B64 * H59, "")</f>
        <v>-2101.9108280254668</v>
      </c>
      <c r="J59" s="106">
        <v>7.77</v>
      </c>
      <c r="K59" s="107">
        <f>IF(ISNUMBER(J59), (J59 - $B59) / $B59, "")</f>
        <v>-1.0191082802547781E-2</v>
      </c>
      <c r="L59" s="108">
        <f>IF(ISNUMBER(J59), $B64 * K59, "")</f>
        <v>-1528.6624203821671</v>
      </c>
      <c r="M59" s="109">
        <v>7.63</v>
      </c>
      <c r="N59" s="107">
        <f>IF(ISNUMBER(M59), (M59 - $B59) / $B59, "")</f>
        <v>-2.8025477707006339E-2</v>
      </c>
      <c r="O59" s="108">
        <f>IF(ISNUMBER(M59), $B64 * N59, "")</f>
        <v>-4203.8216560509509</v>
      </c>
      <c r="Q59" s="196"/>
      <c r="R59" s="196"/>
      <c r="S59" s="196"/>
    </row>
    <row r="60" spans="1:19" ht="17.25" customHeight="1" thickBot="1">
      <c r="A60" s="125" t="s">
        <v>140</v>
      </c>
      <c r="B60" s="126">
        <v>86.1</v>
      </c>
      <c r="C60" s="77">
        <v>-2.4915062299999999E-2</v>
      </c>
      <c r="D60" s="15">
        <v>83.2</v>
      </c>
      <c r="E60" s="32">
        <f t="shared" ref="E60:E63" si="26">IF(ISNUMBER(D60), (D60 - $B60) / $B60, "")</f>
        <v>-3.3681765389082366E-2</v>
      </c>
      <c r="F60" s="18">
        <f>IF(ISNUMBER(D60), $B64 * E60, "")</f>
        <v>-5052.2648083623553</v>
      </c>
      <c r="G60" s="31">
        <v>84.1</v>
      </c>
      <c r="H60" s="32">
        <f t="shared" ref="H60:H63" si="27">IF(ISNUMBER(G60), (G60 - $B60) / $B60, "")</f>
        <v>-2.3228803716608595E-2</v>
      </c>
      <c r="I60" s="101">
        <f>IF(ISNUMBER(G60), $B64 * H60, "")</f>
        <v>-3484.320557491289</v>
      </c>
      <c r="J60" s="15">
        <v>85.8</v>
      </c>
      <c r="K60" s="32">
        <f t="shared" ref="K60:K63" si="28">IF(ISNUMBER(J60), (J60 - $B60) / $B60, "")</f>
        <v>-3.4843205574912562E-3</v>
      </c>
      <c r="L60" s="18">
        <f>IF(ISNUMBER(J60), $B64 * K60, "")</f>
        <v>-522.64808362368842</v>
      </c>
      <c r="M60" s="31">
        <v>83.9</v>
      </c>
      <c r="N60" s="32">
        <f t="shared" ref="N60:N63" si="29">IF(ISNUMBER(M60), (M60 - $B60) / $B60, "")</f>
        <v>-2.5551684088269324E-2</v>
      </c>
      <c r="O60" s="18">
        <f>IF(ISNUMBER(M60), $B64 * N60, "")</f>
        <v>-3832.7526132403987</v>
      </c>
      <c r="Q60" s="196"/>
      <c r="R60" s="196"/>
      <c r="S60" s="196"/>
    </row>
    <row r="61" spans="1:19" ht="17.25" customHeight="1" thickBot="1">
      <c r="A61" s="125" t="s">
        <v>64</v>
      </c>
      <c r="B61" s="126">
        <v>30.2</v>
      </c>
      <c r="C61" s="77">
        <v>-2.5806451599999999E-2</v>
      </c>
      <c r="D61" s="15">
        <v>29.1</v>
      </c>
      <c r="E61" s="32">
        <f t="shared" si="26"/>
        <v>-3.6423841059602578E-2</v>
      </c>
      <c r="F61" s="18">
        <f>IF(ISNUMBER(D61), $B64 * E61, "")</f>
        <v>-5463.5761589403864</v>
      </c>
      <c r="G61" s="31">
        <v>29.2</v>
      </c>
      <c r="H61" s="32">
        <f t="shared" si="27"/>
        <v>-3.3112582781456956E-2</v>
      </c>
      <c r="I61" s="101">
        <f>IF(ISNUMBER(G61), $B64 * H61, "")</f>
        <v>-4966.8874172185433</v>
      </c>
      <c r="J61" s="15">
        <v>29.5</v>
      </c>
      <c r="K61" s="32">
        <f t="shared" si="28"/>
        <v>-2.3178807947019844E-2</v>
      </c>
      <c r="L61" s="18">
        <f>IF(ISNUMBER(J61), $B64 * K61, "")</f>
        <v>-3476.8211920529766</v>
      </c>
      <c r="M61" s="31">
        <v>29</v>
      </c>
      <c r="N61" s="32">
        <f t="shared" si="29"/>
        <v>-3.9735099337748318E-2</v>
      </c>
      <c r="O61" s="18">
        <f>IF(ISNUMBER(M61), $B64 * N61, "")</f>
        <v>-5960.2649006622478</v>
      </c>
      <c r="Q61" s="196"/>
      <c r="R61" s="196"/>
      <c r="S61" s="196"/>
    </row>
    <row r="62" spans="1:19" ht="17.25" customHeight="1">
      <c r="A62" s="125" t="s">
        <v>229</v>
      </c>
      <c r="B62" s="126">
        <v>52.8</v>
      </c>
      <c r="C62" s="77">
        <v>-3.47349177E-2</v>
      </c>
      <c r="D62" s="15">
        <v>51.5</v>
      </c>
      <c r="E62" s="32">
        <f t="shared" si="26"/>
        <v>-2.4621212121212068E-2</v>
      </c>
      <c r="F62" s="18">
        <f>IF(ISNUMBER(D62), $B64 * E62, "")</f>
        <v>-3693.1818181818103</v>
      </c>
      <c r="G62" s="31">
        <v>51.8</v>
      </c>
      <c r="H62" s="32">
        <f t="shared" si="27"/>
        <v>-1.893939393939394E-2</v>
      </c>
      <c r="I62" s="101">
        <f>IF(ISNUMBER(G62), $B64 * H62, "")</f>
        <v>-2840.909090909091</v>
      </c>
      <c r="J62" s="15">
        <v>52.2</v>
      </c>
      <c r="K62" s="32">
        <f t="shared" si="28"/>
        <v>-1.1363636363636256E-2</v>
      </c>
      <c r="L62" s="18">
        <f>IF(ISNUMBER(J62), $B64 * K62, "")</f>
        <v>-1704.5454545454384</v>
      </c>
      <c r="M62" s="31">
        <v>51.5</v>
      </c>
      <c r="N62" s="32">
        <f t="shared" si="29"/>
        <v>-2.4621212121212068E-2</v>
      </c>
      <c r="O62" s="18">
        <f>IF(ISNUMBER(M62), $B64 * N62, "")</f>
        <v>-3693.1818181818103</v>
      </c>
      <c r="Q62" s="218"/>
      <c r="R62" s="219"/>
      <c r="S62" s="220"/>
    </row>
    <row r="63" spans="1:19" ht="17.25" customHeight="1" thickBot="1">
      <c r="A63" s="130" t="s">
        <v>211</v>
      </c>
      <c r="B63" s="131">
        <v>7.49</v>
      </c>
      <c r="C63" s="79">
        <v>-3.4793814399999998E-2</v>
      </c>
      <c r="D63" s="24">
        <v>7.25</v>
      </c>
      <c r="E63" s="25">
        <f t="shared" si="26"/>
        <v>-3.2042723631508709E-2</v>
      </c>
      <c r="F63" s="104">
        <f>IF(ISNUMBER(D63), $B64 * E63, "")</f>
        <v>-4806.408544726306</v>
      </c>
      <c r="G63" s="102">
        <v>7.33</v>
      </c>
      <c r="H63" s="25">
        <f t="shared" si="27"/>
        <v>-2.1361815754339136E-2</v>
      </c>
      <c r="I63" s="103">
        <f>IF(ISNUMBER(G63), $B64 * H63, "")</f>
        <v>-3204.2723631508702</v>
      </c>
      <c r="J63" s="24">
        <v>7.48</v>
      </c>
      <c r="K63" s="25">
        <f t="shared" si="28"/>
        <v>-1.3351134846461665E-3</v>
      </c>
      <c r="L63" s="104">
        <f>IF(ISNUMBER(J63), $B64 * K63, "")</f>
        <v>-200.26702269692498</v>
      </c>
      <c r="M63" s="102">
        <v>7.32</v>
      </c>
      <c r="N63" s="25">
        <f t="shared" si="29"/>
        <v>-2.2696929238985305E-2</v>
      </c>
      <c r="O63" s="104">
        <f>IF(ISNUMBER(M63), $B64 * N63, "")</f>
        <v>-3404.5393858477955</v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-3.1609673912745273E-2</v>
      </c>
      <c r="F64" s="28">
        <f>SUM(F44:F63)</f>
        <v>-94829.021738235795</v>
      </c>
      <c r="G64" s="26" t="s">
        <v>266</v>
      </c>
      <c r="H64" s="27">
        <f>IF(COUNT(H44:H63), SUM(H44:H63) / COUNT(H44:H63), 0)</f>
        <v>-1.9463708783639629E-2</v>
      </c>
      <c r="I64" s="28">
        <f>SUM(I44:I63)</f>
        <v>-58391.126350918879</v>
      </c>
      <c r="J64" s="26" t="s">
        <v>266</v>
      </c>
      <c r="K64" s="27">
        <f>IF(COUNT(K44:K63), SUM(K44:K63) / COUNT(K44:K63), 0)</f>
        <v>-1.1959328162021008E-2</v>
      </c>
      <c r="L64" s="28">
        <f>SUM(L44:L63)</f>
        <v>-35877.984486063026</v>
      </c>
      <c r="M64" s="26" t="s">
        <v>266</v>
      </c>
      <c r="N64" s="27">
        <f>IF(COUNT(N44:N63), SUM(N44:N63) / COUNT(N44:N63), 0)</f>
        <v>-2.6058401113260111E-2</v>
      </c>
      <c r="O64" s="28">
        <f>SUM(O44:O63)</f>
        <v>-78175.203339780346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2022-03-04(금) 오전 00:00</v>
      </c>
      <c r="C69" s="234"/>
      <c r="D69" s="193" t="str">
        <f>TEXT($G$1, "[$-ko-KR]yyyy-mm-dd(ddd) ") &amp; "오후 14:00"</f>
        <v>2022-03-04(금) 오후 14:00</v>
      </c>
      <c r="E69" s="194"/>
      <c r="F69" s="195"/>
      <c r="G69" s="193" t="str">
        <f>TEXT($G$1, "[$-ko-KR]yyyy-mm-dd(ddd) ") &amp; "오후 19:00"</f>
        <v>2022-03-04(금) 오후 19:00</v>
      </c>
      <c r="H69" s="194"/>
      <c r="I69" s="195"/>
      <c r="J69" s="193" t="str">
        <f>TEXT($G$1, "[$-ko-KR]yyyy-mm-dd(ddd) ") &amp; "오후 21:00"</f>
        <v>2022-03-04(금) 오후 21:00</v>
      </c>
      <c r="K69" s="194"/>
      <c r="L69" s="195"/>
      <c r="M69" s="193" t="str">
        <f>TEXT($G$1+1, "[$-ko-KR]yyyy-mm-dd(ddd) ") &amp; "오전 00:00"</f>
        <v>2022-03-05(토)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107</v>
      </c>
      <c r="B71" s="124">
        <v>114</v>
      </c>
      <c r="C71" s="76">
        <v>4.58715596E-2</v>
      </c>
      <c r="D71" s="13">
        <v>111</v>
      </c>
      <c r="E71" s="14">
        <f>IF(ISNUMBER(D71), (D71 - $B71) / $B71, "")</f>
        <v>-2.6315789473684209E-2</v>
      </c>
      <c r="F71" s="16">
        <f>IF(ISNUMBER(D71), $B91 * E71, "")</f>
        <v>-3947.3684210526312</v>
      </c>
      <c r="G71" s="29">
        <v>113</v>
      </c>
      <c r="H71" s="14">
        <f>IF(ISNUMBER(G71), (G71 - $B71) / $B71, "")</f>
        <v>-8.771929824561403E-3</v>
      </c>
      <c r="I71" s="100">
        <f>IF(ISNUMBER(G71), $B91 * H71, "")</f>
        <v>-1315.7894736842104</v>
      </c>
      <c r="J71" s="13">
        <v>114</v>
      </c>
      <c r="K71" s="14">
        <f>IF(ISNUMBER(J71), (J71 - $B71) / $B71, "")</f>
        <v>0</v>
      </c>
      <c r="L71" s="16">
        <f>IF(ISNUMBER(J71), $B91 * K71, "")</f>
        <v>0</v>
      </c>
      <c r="M71" s="29">
        <v>112</v>
      </c>
      <c r="N71" s="14">
        <f>IF(ISNUMBER(M71), (M71 - $B71) / $B71, "")</f>
        <v>-1.7543859649122806E-2</v>
      </c>
      <c r="O71" s="16">
        <f>IF(ISNUMBER(M71), $B91 * N71, "")</f>
        <v>-2631.5789473684208</v>
      </c>
      <c r="Q71" s="191"/>
      <c r="R71" s="191"/>
      <c r="S71" s="191"/>
    </row>
    <row r="72" spans="1:19" ht="17.25" thickBot="1">
      <c r="A72" s="125" t="s">
        <v>195</v>
      </c>
      <c r="B72" s="126">
        <v>131</v>
      </c>
      <c r="C72" s="77">
        <v>7.6923076999999996E-3</v>
      </c>
      <c r="D72" s="15">
        <v>127</v>
      </c>
      <c r="E72" s="32">
        <f t="shared" ref="E72:E75" si="30">IF(ISNUMBER(D72), (D72 - $B72) / $B72, "")</f>
        <v>-3.0534351145038167E-2</v>
      </c>
      <c r="F72" s="18">
        <f>IF(ISNUMBER(D72), $B91 * E72, "")</f>
        <v>-4580.1526717557254</v>
      </c>
      <c r="G72" s="31">
        <v>127</v>
      </c>
      <c r="H72" s="32">
        <f t="shared" ref="H72:H75" si="31">IF(ISNUMBER(G72), (G72 - $B72) / $B72, "")</f>
        <v>-3.0534351145038167E-2</v>
      </c>
      <c r="I72" s="101">
        <f>IF(ISNUMBER(G72), $B91 * H72, "")</f>
        <v>-4580.1526717557254</v>
      </c>
      <c r="J72" s="15">
        <v>128</v>
      </c>
      <c r="K72" s="32">
        <f t="shared" ref="K72:K75" si="32">IF(ISNUMBER(J72), (J72 - $B72) / $B72, "")</f>
        <v>-2.2900763358778626E-2</v>
      </c>
      <c r="L72" s="18">
        <f>IF(ISNUMBER(J72), $B91 * K72, "")</f>
        <v>-3435.1145038167938</v>
      </c>
      <c r="M72" s="31">
        <v>126</v>
      </c>
      <c r="N72" s="32">
        <f t="shared" ref="N72:N75" si="33">IF(ISNUMBER(M72), (M72 - $B72) / $B72, "")</f>
        <v>-3.8167938931297711E-2</v>
      </c>
      <c r="O72" s="18">
        <f>IF(ISNUMBER(M72), $B91 * N72, "")</f>
        <v>-5725.1908396946565</v>
      </c>
      <c r="Q72" s="191"/>
      <c r="R72" s="191"/>
      <c r="S72" s="191"/>
    </row>
    <row r="73" spans="1:19" ht="17.25" thickBot="1">
      <c r="A73" s="125" t="s">
        <v>101</v>
      </c>
      <c r="B73" s="126">
        <v>699</v>
      </c>
      <c r="C73" s="77">
        <v>7.2046109999999997E-3</v>
      </c>
      <c r="D73" s="15">
        <v>672</v>
      </c>
      <c r="E73" s="32">
        <f t="shared" si="30"/>
        <v>-3.8626609442060089E-2</v>
      </c>
      <c r="F73" s="18">
        <f>IF(ISNUMBER(D73), $B91 * E73, "")</f>
        <v>-5793.9914163090134</v>
      </c>
      <c r="G73" s="31">
        <v>677</v>
      </c>
      <c r="H73" s="32">
        <f t="shared" si="31"/>
        <v>-3.1473533619456366E-2</v>
      </c>
      <c r="I73" s="101">
        <f>IF(ISNUMBER(G73), $B91 * H73, "")</f>
        <v>-4721.0300429184554</v>
      </c>
      <c r="J73" s="15">
        <v>684</v>
      </c>
      <c r="K73" s="32">
        <f t="shared" si="32"/>
        <v>-2.1459227467811159E-2</v>
      </c>
      <c r="L73" s="18">
        <f>IF(ISNUMBER(J73), $B91 * K73, "")</f>
        <v>-3218.8841201716737</v>
      </c>
      <c r="M73" s="31">
        <v>678</v>
      </c>
      <c r="N73" s="32">
        <f t="shared" si="33"/>
        <v>-3.0042918454935622E-2</v>
      </c>
      <c r="O73" s="18">
        <f>IF(ISNUMBER(M73), $B91 * N73, "")</f>
        <v>-4506.4377682403438</v>
      </c>
      <c r="Q73" s="196"/>
      <c r="R73" s="196"/>
      <c r="S73" s="196"/>
    </row>
    <row r="74" spans="1:19" ht="17.25" thickBot="1">
      <c r="A74" s="125" t="s">
        <v>233</v>
      </c>
      <c r="B74" s="126">
        <v>103</v>
      </c>
      <c r="C74" s="77">
        <v>0</v>
      </c>
      <c r="D74" s="15">
        <v>98.7</v>
      </c>
      <c r="E74" s="32">
        <f t="shared" si="30"/>
        <v>-4.174757281553395E-2</v>
      </c>
      <c r="F74" s="18">
        <f>IF(ISNUMBER(D74), $B91 * E74, "")</f>
        <v>-6262.1359223300924</v>
      </c>
      <c r="G74" s="31">
        <v>100</v>
      </c>
      <c r="H74" s="32">
        <f t="shared" si="31"/>
        <v>-2.9126213592233011E-2</v>
      </c>
      <c r="I74" s="101">
        <f>IF(ISNUMBER(G74), $B91 * H74, "")</f>
        <v>-4368.9320388349515</v>
      </c>
      <c r="J74" s="15">
        <v>101</v>
      </c>
      <c r="K74" s="32">
        <f t="shared" si="32"/>
        <v>-1.9417475728155338E-2</v>
      </c>
      <c r="L74" s="18">
        <f>IF(ISNUMBER(J74), $B91 * K74, "")</f>
        <v>-2912.6213592233007</v>
      </c>
      <c r="M74" s="31">
        <v>99.5</v>
      </c>
      <c r="N74" s="32">
        <f t="shared" si="33"/>
        <v>-3.3980582524271843E-2</v>
      </c>
      <c r="O74" s="18">
        <f>IF(ISNUMBER(M74), $B91 * N74, "")</f>
        <v>-5097.0873786407765</v>
      </c>
      <c r="Q74" s="196"/>
      <c r="R74" s="196"/>
      <c r="S74" s="196"/>
    </row>
    <row r="75" spans="1:19" ht="17.25" thickBot="1">
      <c r="A75" s="127" t="s">
        <v>338</v>
      </c>
      <c r="B75" s="128">
        <v>272</v>
      </c>
      <c r="C75" s="78">
        <v>0</v>
      </c>
      <c r="D75" s="20">
        <v>261</v>
      </c>
      <c r="E75" s="21">
        <f t="shared" si="30"/>
        <v>-4.0441176470588237E-2</v>
      </c>
      <c r="F75" s="22">
        <f>IF(ISNUMBER(D75), $B91 * E75, "")</f>
        <v>-6066.176470588236</v>
      </c>
      <c r="G75" s="30">
        <v>263</v>
      </c>
      <c r="H75" s="21">
        <f t="shared" si="31"/>
        <v>-3.3088235294117647E-2</v>
      </c>
      <c r="I75" s="105">
        <f>IF(ISNUMBER(G75), $B91 * H75, "")</f>
        <v>-4963.2352941176468</v>
      </c>
      <c r="J75" s="20">
        <v>266</v>
      </c>
      <c r="K75" s="21">
        <f t="shared" si="32"/>
        <v>-2.2058823529411766E-2</v>
      </c>
      <c r="L75" s="22">
        <f>IF(ISNUMBER(J75), $B91 * K75, "")</f>
        <v>-3308.8235294117649</v>
      </c>
      <c r="M75" s="30">
        <v>260</v>
      </c>
      <c r="N75" s="21">
        <f t="shared" si="33"/>
        <v>-4.4117647058823532E-2</v>
      </c>
      <c r="O75" s="22">
        <f>IF(ISNUMBER(M75), $B91 * N75, "")</f>
        <v>-6617.6470588235297</v>
      </c>
      <c r="Q75" s="196"/>
      <c r="R75" s="196"/>
      <c r="S75" s="196"/>
    </row>
    <row r="76" spans="1:19" ht="17.25" thickBot="1">
      <c r="A76" s="125" t="s">
        <v>331</v>
      </c>
      <c r="B76" s="129">
        <v>999</v>
      </c>
      <c r="C76" s="80">
        <v>0</v>
      </c>
      <c r="D76" s="106">
        <v>955</v>
      </c>
      <c r="E76" s="107">
        <f>IF(ISNUMBER(D76), (D76 - $B76) / $B76, "")</f>
        <v>-4.4044044044044044E-2</v>
      </c>
      <c r="F76" s="108">
        <f>IF(ISNUMBER(D76), $B91 * E76, "")</f>
        <v>-6606.6066066066069</v>
      </c>
      <c r="G76" s="109">
        <v>968</v>
      </c>
      <c r="H76" s="107">
        <f>IF(ISNUMBER(G76), (G76 - $B76) / $B76, "")</f>
        <v>-3.1031031031031032E-2</v>
      </c>
      <c r="I76" s="110">
        <f>IF(ISNUMBER(G76), $B91 * H76, "")</f>
        <v>-4654.6546546546551</v>
      </c>
      <c r="J76" s="106">
        <v>987</v>
      </c>
      <c r="K76" s="107">
        <f>IF(ISNUMBER(J76), (J76 - $B76) / $B76, "")</f>
        <v>-1.2012012012012012E-2</v>
      </c>
      <c r="L76" s="108">
        <f>IF(ISNUMBER(J76), $B91 * K76, "")</f>
        <v>-1801.8018018018017</v>
      </c>
      <c r="M76" s="109">
        <v>978</v>
      </c>
      <c r="N76" s="107">
        <f>IF(ISNUMBER(M76), (M76 - $B76) / $B76, "")</f>
        <v>-2.1021021021021023E-2</v>
      </c>
      <c r="O76" s="108">
        <f>IF(ISNUMBER(M76), $B91 * N76, "")</f>
        <v>-3153.1531531531532</v>
      </c>
      <c r="Q76" s="196"/>
      <c r="R76" s="196"/>
      <c r="S76" s="196"/>
    </row>
    <row r="77" spans="1:19" ht="17.25" thickBot="1">
      <c r="A77" s="125" t="s">
        <v>89</v>
      </c>
      <c r="B77" s="126">
        <v>934</v>
      </c>
      <c r="C77" s="77">
        <v>-2.1367521E-3</v>
      </c>
      <c r="D77" s="15">
        <v>911</v>
      </c>
      <c r="E77" s="32">
        <f t="shared" ref="E77:E80" si="34">IF(ISNUMBER(D77), (D77 - $B77) / $B77, "")</f>
        <v>-2.4625267665952889E-2</v>
      </c>
      <c r="F77" s="18">
        <f>IF(ISNUMBER(D77), $B91 * E77, "")</f>
        <v>-3693.7901498929332</v>
      </c>
      <c r="G77" s="31">
        <v>905</v>
      </c>
      <c r="H77" s="32">
        <f t="shared" ref="H77:H80" si="35">IF(ISNUMBER(G77), (G77 - $B77) / $B77, "")</f>
        <v>-3.1049250535331904E-2</v>
      </c>
      <c r="I77" s="101">
        <f>IF(ISNUMBER(G77), $B91 * H77, "")</f>
        <v>-4657.3875802997854</v>
      </c>
      <c r="J77" s="15">
        <v>912</v>
      </c>
      <c r="K77" s="32">
        <f t="shared" ref="K77:K80" si="36">IF(ISNUMBER(J77), (J77 - $B77) / $B77, "")</f>
        <v>-2.3554603854389723E-2</v>
      </c>
      <c r="L77" s="18">
        <f>IF(ISNUMBER(J77), $B91 * K77, "")</f>
        <v>-3533.1905781584583</v>
      </c>
      <c r="M77" s="31">
        <v>902</v>
      </c>
      <c r="N77" s="32">
        <f t="shared" ref="N77:N80" si="37">IF(ISNUMBER(M77), (M77 - $B77) / $B77, "")</f>
        <v>-3.4261241970021415E-2</v>
      </c>
      <c r="O77" s="18">
        <f>IF(ISNUMBER(M77), $B91 * N77, "")</f>
        <v>-5139.186295503212</v>
      </c>
      <c r="Q77" s="196"/>
      <c r="R77" s="196"/>
      <c r="S77" s="196"/>
    </row>
    <row r="78" spans="1:19" ht="17.25" thickBot="1">
      <c r="A78" s="125" t="s">
        <v>85</v>
      </c>
      <c r="B78" s="126">
        <v>238</v>
      </c>
      <c r="C78" s="77">
        <v>-4.1841003999999998E-3</v>
      </c>
      <c r="D78" s="15">
        <v>239</v>
      </c>
      <c r="E78" s="32">
        <f t="shared" si="34"/>
        <v>4.2016806722689074E-3</v>
      </c>
      <c r="F78" s="18">
        <f>IF(ISNUMBER(D78), $B91 * E78, "")</f>
        <v>630.25210084033608</v>
      </c>
      <c r="G78" s="31">
        <v>247</v>
      </c>
      <c r="H78" s="32">
        <f t="shared" si="35"/>
        <v>3.7815126050420166E-2</v>
      </c>
      <c r="I78" s="101">
        <f>IF(ISNUMBER(G78), $B91 * H78, "")</f>
        <v>5672.2689075630251</v>
      </c>
      <c r="J78" s="15">
        <v>249</v>
      </c>
      <c r="K78" s="32">
        <f t="shared" si="36"/>
        <v>4.6218487394957986E-2</v>
      </c>
      <c r="L78" s="18">
        <f>IF(ISNUMBER(J78), $B91 * K78, "")</f>
        <v>6932.7731092436979</v>
      </c>
      <c r="M78" s="31">
        <v>246</v>
      </c>
      <c r="N78" s="32">
        <f t="shared" si="37"/>
        <v>3.3613445378151259E-2</v>
      </c>
      <c r="O78" s="18">
        <f>IF(ISNUMBER(M78), $B91 * N78, "")</f>
        <v>5042.0168067226887</v>
      </c>
      <c r="Q78" s="196"/>
      <c r="R78" s="196"/>
      <c r="S78" s="196"/>
    </row>
    <row r="79" spans="1:19" ht="17.25" thickBot="1">
      <c r="A79" s="125" t="s">
        <v>56</v>
      </c>
      <c r="B79" s="126">
        <v>128</v>
      </c>
      <c r="C79" s="77">
        <v>-7.7519379999999999E-3</v>
      </c>
      <c r="D79" s="15">
        <v>123</v>
      </c>
      <c r="E79" s="32">
        <f t="shared" si="34"/>
        <v>-3.90625E-2</v>
      </c>
      <c r="F79" s="18">
        <f>IF(ISNUMBER(D79), $B91 * E79, "")</f>
        <v>-5859.375</v>
      </c>
      <c r="G79" s="31">
        <v>123</v>
      </c>
      <c r="H79" s="32">
        <f t="shared" si="35"/>
        <v>-3.90625E-2</v>
      </c>
      <c r="I79" s="101">
        <f>IF(ISNUMBER(G79), $B91 * H79, "")</f>
        <v>-5859.375</v>
      </c>
      <c r="J79" s="15">
        <v>125</v>
      </c>
      <c r="K79" s="32">
        <f t="shared" si="36"/>
        <v>-2.34375E-2</v>
      </c>
      <c r="L79" s="18">
        <f>IF(ISNUMBER(J79), $B91 * K79, "")</f>
        <v>-3515.625</v>
      </c>
      <c r="M79" s="31">
        <v>123</v>
      </c>
      <c r="N79" s="32">
        <f t="shared" si="37"/>
        <v>-3.90625E-2</v>
      </c>
      <c r="O79" s="18">
        <f>IF(ISNUMBER(M79), $B91 * N79, "")</f>
        <v>-5859.375</v>
      </c>
      <c r="Q79" s="33"/>
      <c r="R79" s="33"/>
    </row>
    <row r="80" spans="1:19" ht="17.25" thickBot="1">
      <c r="A80" s="130" t="s">
        <v>261</v>
      </c>
      <c r="B80" s="131">
        <v>160</v>
      </c>
      <c r="C80" s="79">
        <v>-1.2345679E-2</v>
      </c>
      <c r="D80" s="24">
        <v>155</v>
      </c>
      <c r="E80" s="25">
        <f t="shared" si="34"/>
        <v>-3.125E-2</v>
      </c>
      <c r="F80" s="104">
        <f>IF(ISNUMBER(D80), $B91 * E80, "")</f>
        <v>-4687.5</v>
      </c>
      <c r="G80" s="102">
        <v>156</v>
      </c>
      <c r="H80" s="25">
        <f t="shared" si="35"/>
        <v>-2.5000000000000001E-2</v>
      </c>
      <c r="I80" s="103">
        <f>IF(ISNUMBER(G80), $B91 * H80, "")</f>
        <v>-3750</v>
      </c>
      <c r="J80" s="24">
        <v>157</v>
      </c>
      <c r="K80" s="25">
        <f t="shared" si="36"/>
        <v>-1.8749999999999999E-2</v>
      </c>
      <c r="L80" s="104">
        <f>IF(ISNUMBER(J80), $B91 * K80, "")</f>
        <v>-2812.5</v>
      </c>
      <c r="M80" s="102">
        <v>156</v>
      </c>
      <c r="N80" s="25">
        <f t="shared" si="37"/>
        <v>-2.5000000000000001E-2</v>
      </c>
      <c r="O80" s="104">
        <f>IF(ISNUMBER(M80), $B91 * N80, "")</f>
        <v>-3750</v>
      </c>
      <c r="Q80" s="205"/>
      <c r="R80" s="206"/>
      <c r="S80" s="207"/>
    </row>
    <row r="81" spans="1:19">
      <c r="A81" s="123" t="s">
        <v>213</v>
      </c>
      <c r="B81" s="124">
        <v>287</v>
      </c>
      <c r="C81" s="76">
        <v>-1.3745704500000001E-2</v>
      </c>
      <c r="D81" s="13">
        <v>278</v>
      </c>
      <c r="E81" s="14">
        <f>IF(ISNUMBER(D81), (D81 - $B81) / $B81, "")</f>
        <v>-3.1358885017421602E-2</v>
      </c>
      <c r="F81" s="16">
        <f>IF(ISNUMBER(D81), $B91 * E81, "")</f>
        <v>-4703.8327526132407</v>
      </c>
      <c r="G81" s="29">
        <v>284</v>
      </c>
      <c r="H81" s="14">
        <f>IF(ISNUMBER(G81), (G81 - $B81) / $B81, "")</f>
        <v>-1.0452961672473868E-2</v>
      </c>
      <c r="I81" s="100">
        <f>IF(ISNUMBER(G81), $B91 * H81, "")</f>
        <v>-1567.9442508710802</v>
      </c>
      <c r="J81" s="13">
        <v>284</v>
      </c>
      <c r="K81" s="14">
        <f>IF(ISNUMBER(J81), (J81 - $B81) / $B81, "")</f>
        <v>-1.0452961672473868E-2</v>
      </c>
      <c r="L81" s="16">
        <f>IF(ISNUMBER(J81), $B91 * K81, "")</f>
        <v>-1567.9442508710802</v>
      </c>
      <c r="M81" s="29">
        <v>280</v>
      </c>
      <c r="N81" s="14">
        <f>IF(ISNUMBER(M81), (M81 - $B81) / $B81, "")</f>
        <v>-2.4390243902439025E-2</v>
      </c>
      <c r="O81" s="16">
        <f>IF(ISNUMBER(M81), $B91 * N81, "")</f>
        <v>-3658.5365853658536</v>
      </c>
      <c r="Q81" s="208"/>
      <c r="R81" s="209"/>
      <c r="S81" s="210"/>
    </row>
    <row r="82" spans="1:19" ht="17.25" thickBot="1">
      <c r="A82" s="125" t="s">
        <v>249</v>
      </c>
      <c r="B82" s="126">
        <v>237</v>
      </c>
      <c r="C82" s="77">
        <v>-1.6597510400000001E-2</v>
      </c>
      <c r="D82" s="15">
        <v>230</v>
      </c>
      <c r="E82" s="32">
        <f t="shared" ref="E82:E85" si="38">IF(ISNUMBER(D82), (D82 - $B82) / $B82, "")</f>
        <v>-2.9535864978902954E-2</v>
      </c>
      <c r="F82" s="18">
        <f>IF(ISNUMBER(D82), $B91 * E82, "")</f>
        <v>-4430.3797468354433</v>
      </c>
      <c r="G82" s="31">
        <v>240</v>
      </c>
      <c r="H82" s="32">
        <f t="shared" ref="H82:H85" si="39">IF(ISNUMBER(G82), (G82 - $B82) / $B82, "")</f>
        <v>1.2658227848101266E-2</v>
      </c>
      <c r="I82" s="101">
        <f>IF(ISNUMBER(G82), $B91 * H82, "")</f>
        <v>1898.7341772151899</v>
      </c>
      <c r="J82" s="15">
        <v>239</v>
      </c>
      <c r="K82" s="32">
        <f t="shared" ref="K82:K85" si="40">IF(ISNUMBER(J82), (J82 - $B82) / $B82, "")</f>
        <v>8.4388185654008432E-3</v>
      </c>
      <c r="L82" s="18">
        <f>IF(ISNUMBER(J82), $B91 * K82, "")</f>
        <v>1265.8227848101264</v>
      </c>
      <c r="M82" s="31">
        <v>238</v>
      </c>
      <c r="N82" s="32">
        <f t="shared" ref="N82:N85" si="41">IF(ISNUMBER(M82), (M82 - $B82) / $B82, "")</f>
        <v>4.2194092827004216E-3</v>
      </c>
      <c r="O82" s="18">
        <f>IF(ISNUMBER(M82), $B91 * N82, "")</f>
        <v>632.91139240506322</v>
      </c>
      <c r="Q82" s="211"/>
      <c r="R82" s="212"/>
      <c r="S82" s="213"/>
    </row>
    <row r="83" spans="1:19" ht="17.25" thickBot="1">
      <c r="A83" s="125" t="s">
        <v>51</v>
      </c>
      <c r="B83" s="126">
        <v>232</v>
      </c>
      <c r="C83" s="77">
        <v>-1.6949152499999998E-2</v>
      </c>
      <c r="D83" s="15">
        <v>224</v>
      </c>
      <c r="E83" s="32">
        <f t="shared" si="38"/>
        <v>-3.4482758620689655E-2</v>
      </c>
      <c r="F83" s="18">
        <f>IF(ISNUMBER(D83), $B91 * E83, "")</f>
        <v>-5172.4137931034484</v>
      </c>
      <c r="G83" s="31">
        <v>225</v>
      </c>
      <c r="H83" s="32">
        <f t="shared" si="39"/>
        <v>-3.017241379310345E-2</v>
      </c>
      <c r="I83" s="101">
        <f>IF(ISNUMBER(G83), $B91 * H83, "")</f>
        <v>-4525.8620689655172</v>
      </c>
      <c r="J83" s="15">
        <v>227</v>
      </c>
      <c r="K83" s="32">
        <f t="shared" si="40"/>
        <v>-2.1551724137931036E-2</v>
      </c>
      <c r="L83" s="18">
        <f>IF(ISNUMBER(J83), $B91 * K83, "")</f>
        <v>-3232.7586206896553</v>
      </c>
      <c r="M83" s="31">
        <v>224</v>
      </c>
      <c r="N83" s="32">
        <f t="shared" si="41"/>
        <v>-3.4482758620689655E-2</v>
      </c>
      <c r="O83" s="18">
        <f>IF(ISNUMBER(M83), $B91 * N83, "")</f>
        <v>-5172.4137931034484</v>
      </c>
      <c r="Q83" s="196"/>
      <c r="R83" s="196"/>
      <c r="S83" s="196"/>
    </row>
    <row r="84" spans="1:19" ht="17.25" thickBot="1">
      <c r="A84" s="125" t="s">
        <v>79</v>
      </c>
      <c r="B84" s="126">
        <v>870</v>
      </c>
      <c r="C84" s="77">
        <v>-2.1372328499999999E-2</v>
      </c>
      <c r="D84" s="15">
        <v>836</v>
      </c>
      <c r="E84" s="32">
        <f t="shared" si="38"/>
        <v>-3.9080459770114942E-2</v>
      </c>
      <c r="F84" s="18">
        <f>IF(ISNUMBER(D84), $B91 * E84, "")</f>
        <v>-5862.0689655172409</v>
      </c>
      <c r="G84" s="31">
        <v>845</v>
      </c>
      <c r="H84" s="32">
        <f t="shared" si="39"/>
        <v>-2.8735632183908046E-2</v>
      </c>
      <c r="I84" s="101">
        <f>IF(ISNUMBER(G84), $B91 * H84, "")</f>
        <v>-4310.3448275862065</v>
      </c>
      <c r="J84" s="15">
        <v>855</v>
      </c>
      <c r="K84" s="32">
        <f t="shared" si="40"/>
        <v>-1.7241379310344827E-2</v>
      </c>
      <c r="L84" s="18">
        <f>IF(ISNUMBER(J84), $B91 * K84, "")</f>
        <v>-2586.2068965517242</v>
      </c>
      <c r="M84" s="31">
        <v>838</v>
      </c>
      <c r="N84" s="32">
        <f t="shared" si="41"/>
        <v>-3.6781609195402298E-2</v>
      </c>
      <c r="O84" s="18">
        <f>IF(ISNUMBER(M84), $B91 * N84, "")</f>
        <v>-5517.2413793103451</v>
      </c>
      <c r="Q84" s="191"/>
      <c r="R84" s="191"/>
      <c r="S84" s="191"/>
    </row>
    <row r="85" spans="1:19" ht="17.25" thickBot="1">
      <c r="A85" s="127" t="s">
        <v>160</v>
      </c>
      <c r="B85" s="128">
        <v>408</v>
      </c>
      <c r="C85" s="78">
        <v>-2.15827338E-2</v>
      </c>
      <c r="D85" s="20">
        <v>391</v>
      </c>
      <c r="E85" s="21">
        <f t="shared" si="38"/>
        <v>-4.1666666666666664E-2</v>
      </c>
      <c r="F85" s="22">
        <f>IF(ISNUMBER(D85), $B91 * E85, "")</f>
        <v>-6250</v>
      </c>
      <c r="G85" s="30">
        <v>431</v>
      </c>
      <c r="H85" s="21">
        <f t="shared" si="39"/>
        <v>5.6372549019607844E-2</v>
      </c>
      <c r="I85" s="105">
        <f>IF(ISNUMBER(G85), $B91 * H85, "")</f>
        <v>8455.8823529411766</v>
      </c>
      <c r="J85" s="20">
        <v>419</v>
      </c>
      <c r="K85" s="21">
        <f t="shared" si="40"/>
        <v>2.6960784313725492E-2</v>
      </c>
      <c r="L85" s="22">
        <f>IF(ISNUMBER(J85), $B91 * K85, "")</f>
        <v>4044.1176470588239</v>
      </c>
      <c r="M85" s="30">
        <v>413</v>
      </c>
      <c r="N85" s="21">
        <f t="shared" si="41"/>
        <v>1.2254901960784314E-2</v>
      </c>
      <c r="O85" s="22">
        <f>IF(ISNUMBER(M85), $B91 * N85, "")</f>
        <v>1838.2352941176471</v>
      </c>
      <c r="Q85" s="191"/>
      <c r="R85" s="191"/>
      <c r="S85" s="191"/>
    </row>
    <row r="86" spans="1:19" ht="17.25" thickBot="1">
      <c r="A86" s="125" t="s">
        <v>339</v>
      </c>
      <c r="B86" s="129">
        <v>530</v>
      </c>
      <c r="C86" s="80">
        <v>-2.21402214E-2</v>
      </c>
      <c r="D86" s="106">
        <v>512</v>
      </c>
      <c r="E86" s="107">
        <f>IF(ISNUMBER(D86), (D86 - $B86) / $B86, "")</f>
        <v>-3.3962264150943396E-2</v>
      </c>
      <c r="F86" s="108">
        <f>IF(ISNUMBER(D86), $B91 * E86, "")</f>
        <v>-5094.3396226415098</v>
      </c>
      <c r="G86" s="109">
        <v>517</v>
      </c>
      <c r="H86" s="107">
        <f>IF(ISNUMBER(G86), (G86 - $B86) / $B86, "")</f>
        <v>-2.4528301886792454E-2</v>
      </c>
      <c r="I86" s="110">
        <f>IF(ISNUMBER(G86), $B91 * H86, "")</f>
        <v>-3679.2452830188681</v>
      </c>
      <c r="J86" s="106">
        <v>517</v>
      </c>
      <c r="K86" s="107">
        <f>IF(ISNUMBER(J86), (J86 - $B86) / $B86, "")</f>
        <v>-2.4528301886792454E-2</v>
      </c>
      <c r="L86" s="108">
        <f>IF(ISNUMBER(J86), $B91 * K86, "")</f>
        <v>-3679.2452830188681</v>
      </c>
      <c r="M86" s="109">
        <v>510</v>
      </c>
      <c r="N86" s="107">
        <f>IF(ISNUMBER(M86), (M86 - $B86) / $B86, "")</f>
        <v>-3.7735849056603772E-2</v>
      </c>
      <c r="O86" s="108">
        <f>IF(ISNUMBER(M86), $B91 * N86, "")</f>
        <v>-5660.3773584905657</v>
      </c>
      <c r="Q86" s="196"/>
      <c r="R86" s="196"/>
      <c r="S86" s="196"/>
    </row>
    <row r="87" spans="1:19" ht="17.25" thickBot="1">
      <c r="A87" s="125" t="s">
        <v>180</v>
      </c>
      <c r="B87" s="126">
        <v>922</v>
      </c>
      <c r="C87" s="77">
        <v>-2.22693531E-2</v>
      </c>
      <c r="D87" s="15">
        <v>902</v>
      </c>
      <c r="E87" s="32">
        <f t="shared" ref="E87:E90" si="42">IF(ISNUMBER(D87), (D87 - $B87) / $B87, "")</f>
        <v>-2.1691973969631236E-2</v>
      </c>
      <c r="F87" s="18">
        <f>IF(ISNUMBER(D87), $B91 * E87, "")</f>
        <v>-3253.7960954446853</v>
      </c>
      <c r="G87" s="31">
        <v>914</v>
      </c>
      <c r="H87" s="32">
        <f t="shared" ref="H87:H90" si="43">IF(ISNUMBER(G87), (G87 - $B87) / $B87, "")</f>
        <v>-8.6767895878524948E-3</v>
      </c>
      <c r="I87" s="101">
        <f>IF(ISNUMBER(G87), $B91 * H87, "")</f>
        <v>-1301.5184381778743</v>
      </c>
      <c r="J87" s="15">
        <v>917</v>
      </c>
      <c r="K87" s="32">
        <f t="shared" ref="K87:K90" si="44">IF(ISNUMBER(J87), (J87 - $B87) / $B87, "")</f>
        <v>-5.4229934924078091E-3</v>
      </c>
      <c r="L87" s="18">
        <f>IF(ISNUMBER(J87), $B91 * K87, "")</f>
        <v>-813.44902386117133</v>
      </c>
      <c r="M87" s="31">
        <v>909</v>
      </c>
      <c r="N87" s="32">
        <f t="shared" ref="N87:N90" si="45">IF(ISNUMBER(M87), (M87 - $B87) / $B87, "")</f>
        <v>-1.4099783080260303E-2</v>
      </c>
      <c r="O87" s="18">
        <f>IF(ISNUMBER(M87), $B91 * N87, "")</f>
        <v>-2114.9674620390456</v>
      </c>
      <c r="Q87" s="196"/>
      <c r="R87" s="196"/>
      <c r="S87" s="196"/>
    </row>
    <row r="88" spans="1:19" ht="17.25" thickBot="1">
      <c r="A88" s="125" t="s">
        <v>172</v>
      </c>
      <c r="B88" s="126">
        <v>938</v>
      </c>
      <c r="C88" s="77">
        <v>-2.2916666700000001E-2</v>
      </c>
      <c r="D88" s="15">
        <v>912</v>
      </c>
      <c r="E88" s="32">
        <f t="shared" si="42"/>
        <v>-2.7718550106609809E-2</v>
      </c>
      <c r="F88" s="18">
        <f>IF(ISNUMBER(D88), $B91 * E88, "")</f>
        <v>-4157.782515991471</v>
      </c>
      <c r="G88" s="31">
        <v>922</v>
      </c>
      <c r="H88" s="32">
        <f t="shared" si="43"/>
        <v>-1.7057569296375266E-2</v>
      </c>
      <c r="I88" s="101">
        <f>IF(ISNUMBER(G88), $B91 * H88, "")</f>
        <v>-2558.6353944562898</v>
      </c>
      <c r="J88" s="15">
        <v>928</v>
      </c>
      <c r="K88" s="32">
        <f t="shared" si="44"/>
        <v>-1.0660980810234541E-2</v>
      </c>
      <c r="L88" s="18">
        <f>IF(ISNUMBER(J88), $B91 * K88, "")</f>
        <v>-1599.1471215351812</v>
      </c>
      <c r="M88" s="31">
        <v>916</v>
      </c>
      <c r="N88" s="32">
        <f t="shared" si="45"/>
        <v>-2.3454157782515993E-2</v>
      </c>
      <c r="O88" s="18">
        <f>IF(ISNUMBER(M88), $B91 * N88, "")</f>
        <v>-3518.1236673773988</v>
      </c>
      <c r="Q88" s="196"/>
      <c r="R88" s="196"/>
      <c r="S88" s="196"/>
    </row>
    <row r="89" spans="1:19">
      <c r="A89" s="125" t="s">
        <v>221</v>
      </c>
      <c r="B89" s="126">
        <v>934</v>
      </c>
      <c r="C89" s="77">
        <v>-2.6068821700000001E-2</v>
      </c>
      <c r="D89" s="15">
        <v>905</v>
      </c>
      <c r="E89" s="32">
        <f t="shared" si="42"/>
        <v>-3.1049250535331904E-2</v>
      </c>
      <c r="F89" s="18">
        <f>IF(ISNUMBER(D89), $B91 * E89, "")</f>
        <v>-4657.3875802997854</v>
      </c>
      <c r="G89" s="31">
        <v>913</v>
      </c>
      <c r="H89" s="32">
        <f t="shared" si="43"/>
        <v>-2.2483940042826552E-2</v>
      </c>
      <c r="I89" s="101">
        <f>IF(ISNUMBER(G89), $B91 * H89, "")</f>
        <v>-3372.5910064239829</v>
      </c>
      <c r="J89" s="15">
        <v>921</v>
      </c>
      <c r="K89" s="32">
        <f t="shared" si="44"/>
        <v>-1.3918629550321198E-2</v>
      </c>
      <c r="L89" s="18">
        <f>IF(ISNUMBER(J89), $B91 * K89, "")</f>
        <v>-2087.7944325481799</v>
      </c>
      <c r="M89" s="31">
        <v>905</v>
      </c>
      <c r="N89" s="32">
        <f t="shared" si="45"/>
        <v>-3.1049250535331904E-2</v>
      </c>
      <c r="O89" s="18">
        <f>IF(ISNUMBER(M89), $B91 * N89, "")</f>
        <v>-4657.3875802997854</v>
      </c>
      <c r="Q89" s="218"/>
      <c r="R89" s="219"/>
      <c r="S89" s="220"/>
    </row>
    <row r="90" spans="1:19" ht="17.25" thickBot="1">
      <c r="A90" s="130" t="s">
        <v>187</v>
      </c>
      <c r="B90" s="131">
        <v>245</v>
      </c>
      <c r="C90" s="79">
        <v>-2.77777778E-2</v>
      </c>
      <c r="D90" s="24">
        <v>249</v>
      </c>
      <c r="E90" s="25">
        <f t="shared" si="42"/>
        <v>1.6326530612244899E-2</v>
      </c>
      <c r="F90" s="104">
        <f>IF(ISNUMBER(D90), $B91 * E90, "")</f>
        <v>2448.9795918367349</v>
      </c>
      <c r="G90" s="102">
        <v>262</v>
      </c>
      <c r="H90" s="25">
        <f t="shared" si="43"/>
        <v>6.9387755102040816E-2</v>
      </c>
      <c r="I90" s="103">
        <f>IF(ISNUMBER(G90), $B91 * H90, "")</f>
        <v>10408.163265306122</v>
      </c>
      <c r="J90" s="24">
        <v>261</v>
      </c>
      <c r="K90" s="25">
        <f t="shared" si="44"/>
        <v>6.5306122448979598E-2</v>
      </c>
      <c r="L90" s="104">
        <f>IF(ISNUMBER(J90), $B91 * K90, "")</f>
        <v>9795.9183673469397</v>
      </c>
      <c r="M90" s="102">
        <v>251</v>
      </c>
      <c r="N90" s="25">
        <f t="shared" si="45"/>
        <v>2.4489795918367346E-2</v>
      </c>
      <c r="O90" s="104">
        <f>IF(ISNUMBER(M90), $B91 * N90, "")</f>
        <v>3673.4693877551017</v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-2.9333288679435004E-2</v>
      </c>
      <c r="F91" s="28">
        <f>SUM(F71:F90)</f>
        <v>-87999.866038304986</v>
      </c>
      <c r="G91" s="26" t="s">
        <v>266</v>
      </c>
      <c r="H91" s="27">
        <f>IF(COUNT(H71:H90), SUM(H71:H90) / COUNT(H71:H90), 0)</f>
        <v>-1.1250549774246577E-2</v>
      </c>
      <c r="I91" s="28">
        <f>SUM(I71:I90)</f>
        <v>-33751.64932273973</v>
      </c>
      <c r="J91" s="26" t="s">
        <v>266</v>
      </c>
      <c r="K91" s="27">
        <f>IF(COUNT(K71:K90), SUM(K71:K90) / COUNT(K71:K90), 0)</f>
        <v>-6.02215820440002E-3</v>
      </c>
      <c r="L91" s="28">
        <f>SUM(L71:L90)</f>
        <v>-18066.474613200066</v>
      </c>
      <c r="M91" s="26" t="s">
        <v>266</v>
      </c>
      <c r="N91" s="27">
        <f>IF(COUNT(N71:N90), SUM(N71:N90) / COUNT(N71:N90), 0)</f>
        <v>-2.0530690462136673E-2</v>
      </c>
      <c r="O91" s="28">
        <f>SUM(O71:O90)</f>
        <v>-61592.071386410018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2022-03-04(금) 오전 00:00</v>
      </c>
      <c r="C96" s="234"/>
      <c r="D96" s="193" t="str">
        <f>TEXT($G$1, "[$-ko-KR]yyyy-mm-dd(ddd) ") &amp; "오후 14:00"</f>
        <v>2022-03-04(금) 오후 14:00</v>
      </c>
      <c r="E96" s="194"/>
      <c r="F96" s="195"/>
      <c r="G96" s="193" t="str">
        <f>TEXT($G$1, "[$-ko-KR]yyyy-mm-dd(ddd) ") &amp; "오후 19:00"</f>
        <v>2022-03-04(금) 오후 19:00</v>
      </c>
      <c r="H96" s="194"/>
      <c r="I96" s="195"/>
      <c r="J96" s="193" t="str">
        <f>TEXT($G$1, "[$-ko-KR]yyyy-mm-dd(ddd) ") &amp; "오후 21:00"</f>
        <v>2022-03-04(금) 오후 21:00</v>
      </c>
      <c r="K96" s="194"/>
      <c r="L96" s="195"/>
      <c r="M96" s="193" t="str">
        <f>TEXT($G$1+1, "[$-ko-KR]yyyy-mm-dd(ddd) ") &amp; "오전 00:00"</f>
        <v>2022-03-05(토)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178</v>
      </c>
      <c r="B98" s="124">
        <v>51460</v>
      </c>
      <c r="C98" s="76">
        <v>6.54244306E-2</v>
      </c>
      <c r="D98" s="13">
        <v>48910</v>
      </c>
      <c r="E98" s="14">
        <f>IF(ISNUMBER(D98), (D98 - $B98) / $B98, "")</f>
        <v>-4.9553050913330746E-2</v>
      </c>
      <c r="F98" s="16">
        <f>IF(ISNUMBER(D98), $B118 * E98, "")</f>
        <v>-7432.9576369996121</v>
      </c>
      <c r="G98" s="29">
        <v>49280</v>
      </c>
      <c r="H98" s="14">
        <f>IF(ISNUMBER(G98), (G98 - $B98) / $B98, "")</f>
        <v>-4.236300038865138E-2</v>
      </c>
      <c r="I98" s="100">
        <f>IF(ISNUMBER(G98), $B118 * H98, "")</f>
        <v>-6354.4500582977071</v>
      </c>
      <c r="J98" s="13">
        <v>50330</v>
      </c>
      <c r="K98" s="14">
        <f>IF(ISNUMBER(J98), (J98 - $B98) / $B98, "")</f>
        <v>-2.1958802953750484E-2</v>
      </c>
      <c r="L98" s="16">
        <f>IF(ISNUMBER(J98), $B118 * K98, "")</f>
        <v>-3293.8204430625728</v>
      </c>
      <c r="M98" s="29">
        <v>49030</v>
      </c>
      <c r="N98" s="14">
        <f>IF(ISNUMBER(M98), (M98 - $B98) / $B98, "")</f>
        <v>-4.7221142635056355E-2</v>
      </c>
      <c r="O98" s="16">
        <f>IF(ISNUMBER(M98), $B118 * N98, "")</f>
        <v>-7083.1713952584532</v>
      </c>
      <c r="Q98" s="191"/>
      <c r="R98" s="191"/>
      <c r="S98" s="191"/>
    </row>
    <row r="99" spans="1:19" ht="17.25" thickBot="1">
      <c r="A99" s="125" t="s">
        <v>124</v>
      </c>
      <c r="B99" s="126">
        <v>67.7</v>
      </c>
      <c r="C99" s="77">
        <v>5.1242235999999997E-2</v>
      </c>
      <c r="D99" s="15">
        <v>63.9</v>
      </c>
      <c r="E99" s="32">
        <f t="shared" ref="E99:E102" si="46">IF(ISNUMBER(D99), (D99 - $B99) / $B99, "")</f>
        <v>-5.6129985228951317E-2</v>
      </c>
      <c r="F99" s="18">
        <f>IF(ISNUMBER(D99), $B118 * E99, "")</f>
        <v>-8419.4977843426968</v>
      </c>
      <c r="G99" s="31">
        <v>64.900000000000006</v>
      </c>
      <c r="H99" s="32">
        <f t="shared" ref="H99:H102" si="47">IF(ISNUMBER(G99), (G99 - $B99) / $B99, "")</f>
        <v>-4.1358936484490356E-2</v>
      </c>
      <c r="I99" s="101">
        <f>IF(ISNUMBER(G99), $B118 * H99, "")</f>
        <v>-6203.8404726735534</v>
      </c>
      <c r="J99" s="15">
        <v>65.2</v>
      </c>
      <c r="K99" s="32">
        <f t="shared" ref="K99:K102" si="48">IF(ISNUMBER(J99), (J99 - $B99) / $B99, "")</f>
        <v>-3.6927621861152143E-2</v>
      </c>
      <c r="L99" s="18">
        <f>IF(ISNUMBER(J99), $B118 * K99, "")</f>
        <v>-5539.1432791728212</v>
      </c>
      <c r="M99" s="31">
        <v>63.7</v>
      </c>
      <c r="N99" s="32">
        <f t="shared" ref="N99:N102" si="49">IF(ISNUMBER(M99), (M99 - $B99) / $B99, "")</f>
        <v>-5.9084194977843424E-2</v>
      </c>
      <c r="O99" s="18">
        <f>IF(ISNUMBER(M99), $B118 * N99, "")</f>
        <v>-8862.6292466765135</v>
      </c>
      <c r="Q99" s="191"/>
      <c r="R99" s="191"/>
      <c r="S99" s="191"/>
    </row>
    <row r="100" spans="1:19" ht="17.25" thickBot="1">
      <c r="A100" s="125" t="s">
        <v>107</v>
      </c>
      <c r="B100" s="126">
        <v>114</v>
      </c>
      <c r="C100" s="77">
        <v>4.58715596E-2</v>
      </c>
      <c r="D100" s="15">
        <v>111</v>
      </c>
      <c r="E100" s="32">
        <f t="shared" si="46"/>
        <v>-2.6315789473684209E-2</v>
      </c>
      <c r="F100" s="18">
        <f>IF(ISNUMBER(D100), $B118 * E100, "")</f>
        <v>-3947.3684210526312</v>
      </c>
      <c r="G100" s="31">
        <v>113</v>
      </c>
      <c r="H100" s="32">
        <f t="shared" si="47"/>
        <v>-8.771929824561403E-3</v>
      </c>
      <c r="I100" s="101">
        <f>IF(ISNUMBER(G100), $B118 * H100, "")</f>
        <v>-1315.7894736842104</v>
      </c>
      <c r="J100" s="15">
        <v>114</v>
      </c>
      <c r="K100" s="32">
        <f t="shared" si="48"/>
        <v>0</v>
      </c>
      <c r="L100" s="18">
        <f>IF(ISNUMBER(J100), $B118 * K100, "")</f>
        <v>0</v>
      </c>
      <c r="M100" s="31">
        <v>112</v>
      </c>
      <c r="N100" s="32">
        <f t="shared" si="49"/>
        <v>-1.7543859649122806E-2</v>
      </c>
      <c r="O100" s="18">
        <f>IF(ISNUMBER(M100), $B118 * N100, "")</f>
        <v>-2631.5789473684208</v>
      </c>
      <c r="Q100" s="196"/>
      <c r="R100" s="196"/>
      <c r="S100" s="196"/>
    </row>
    <row r="101" spans="1:19" ht="17.25" thickBot="1">
      <c r="A101" s="125" t="s">
        <v>154</v>
      </c>
      <c r="B101" s="126">
        <v>22490</v>
      </c>
      <c r="C101" s="77">
        <v>3.3073036299999997E-2</v>
      </c>
      <c r="D101" s="15">
        <v>25380</v>
      </c>
      <c r="E101" s="32">
        <f t="shared" si="46"/>
        <v>0.12850155624722098</v>
      </c>
      <c r="F101" s="18">
        <f>IF(ISNUMBER(D101), $B118 * E101, "")</f>
        <v>19275.233437083149</v>
      </c>
      <c r="G101" s="31">
        <v>23870</v>
      </c>
      <c r="H101" s="32">
        <f t="shared" si="47"/>
        <v>6.1360604713205869E-2</v>
      </c>
      <c r="I101" s="101">
        <f>IF(ISNUMBER(G101), $B118 * H101, "")</f>
        <v>9204.09070698088</v>
      </c>
      <c r="J101" s="15">
        <v>23280</v>
      </c>
      <c r="K101" s="32">
        <f t="shared" si="48"/>
        <v>3.5126722987994664E-2</v>
      </c>
      <c r="L101" s="18">
        <f>IF(ISNUMBER(J101), $B118 * K101, "")</f>
        <v>5269.0084481991998</v>
      </c>
      <c r="M101" s="31">
        <v>23550</v>
      </c>
      <c r="N101" s="32">
        <f t="shared" si="49"/>
        <v>4.7132058692752332E-2</v>
      </c>
      <c r="O101" s="18">
        <f>IF(ISNUMBER(M101), $B118 * N101, "")</f>
        <v>7069.8088039128497</v>
      </c>
      <c r="Q101" s="196"/>
      <c r="R101" s="196"/>
      <c r="S101" s="196"/>
    </row>
    <row r="102" spans="1:19" ht="17.25" thickBot="1">
      <c r="A102" s="127" t="s">
        <v>99</v>
      </c>
      <c r="B102" s="128">
        <v>36880</v>
      </c>
      <c r="C102" s="78">
        <v>2.6154702299999999E-2</v>
      </c>
      <c r="D102" s="20">
        <v>36100</v>
      </c>
      <c r="E102" s="21">
        <f t="shared" si="46"/>
        <v>-2.1149674620390455E-2</v>
      </c>
      <c r="F102" s="22">
        <f>IF(ISNUMBER(D102), $B118 * E102, "")</f>
        <v>-3172.4511930585682</v>
      </c>
      <c r="G102" s="30">
        <v>35700</v>
      </c>
      <c r="H102" s="21">
        <f t="shared" si="47"/>
        <v>-3.1995661605206074E-2</v>
      </c>
      <c r="I102" s="105">
        <f>IF(ISNUMBER(G102), $B118 * H102, "")</f>
        <v>-4799.3492407809108</v>
      </c>
      <c r="J102" s="20">
        <v>36160</v>
      </c>
      <c r="K102" s="21">
        <f t="shared" si="48"/>
        <v>-1.9522776572668113E-2</v>
      </c>
      <c r="L102" s="22">
        <f>IF(ISNUMBER(J102), $B118 * K102, "")</f>
        <v>-2928.4164859002171</v>
      </c>
      <c r="M102" s="30">
        <v>35540</v>
      </c>
      <c r="N102" s="21">
        <f t="shared" si="49"/>
        <v>-3.6334056399132321E-2</v>
      </c>
      <c r="O102" s="22">
        <f>IF(ISNUMBER(M102), $B118 * N102, "")</f>
        <v>-5450.108459869848</v>
      </c>
      <c r="Q102" s="196"/>
      <c r="R102" s="196"/>
      <c r="S102" s="196"/>
    </row>
    <row r="103" spans="1:19" ht="17.25" thickBot="1">
      <c r="A103" s="125" t="s">
        <v>122</v>
      </c>
      <c r="B103" s="129">
        <v>137300</v>
      </c>
      <c r="C103" s="80">
        <v>2.2718808199999999E-2</v>
      </c>
      <c r="D103" s="106">
        <v>131000</v>
      </c>
      <c r="E103" s="107">
        <f>IF(ISNUMBER(D103), (D103 - $B103) / $B103, "")</f>
        <v>-4.5884923525127456E-2</v>
      </c>
      <c r="F103" s="108">
        <f>IF(ISNUMBER(D103), $B118 * E103, "")</f>
        <v>-6882.7385287691186</v>
      </c>
      <c r="G103" s="109">
        <v>131300</v>
      </c>
      <c r="H103" s="107">
        <f>IF(ISNUMBER(G103), (G103 - $B103) / $B103, "")</f>
        <v>-4.3699927166788055E-2</v>
      </c>
      <c r="I103" s="110">
        <f>IF(ISNUMBER(G103), $B118 * H103, "")</f>
        <v>-6554.9890750182085</v>
      </c>
      <c r="J103" s="106">
        <v>132350</v>
      </c>
      <c r="K103" s="107">
        <f>IF(ISNUMBER(J103), (J103 - $B103) / $B103, "")</f>
        <v>-3.6052439912600147E-2</v>
      </c>
      <c r="L103" s="108">
        <f>IF(ISNUMBER(J103), $B118 * K103, "")</f>
        <v>-5407.8659868900222</v>
      </c>
      <c r="M103" s="109">
        <v>129950</v>
      </c>
      <c r="N103" s="107">
        <f>IF(ISNUMBER(M103), (M103 - $B103) / $B103, "")</f>
        <v>-5.3532410779315365E-2</v>
      </c>
      <c r="O103" s="108">
        <f>IF(ISNUMBER(M103), $B118 * N103, "")</f>
        <v>-8029.8616168973049</v>
      </c>
      <c r="Q103" s="196"/>
      <c r="R103" s="196"/>
      <c r="S103" s="196"/>
    </row>
    <row r="104" spans="1:19" ht="17.25" thickBot="1">
      <c r="A104" s="125" t="s">
        <v>132</v>
      </c>
      <c r="B104" s="126">
        <v>3425</v>
      </c>
      <c r="C104" s="77">
        <v>2.2388059700000001E-2</v>
      </c>
      <c r="D104" s="15">
        <v>3510</v>
      </c>
      <c r="E104" s="32">
        <f t="shared" ref="E104:E107" si="50">IF(ISNUMBER(D104), (D104 - $B104) / $B104, "")</f>
        <v>2.4817518248175182E-2</v>
      </c>
      <c r="F104" s="18">
        <f>IF(ISNUMBER(D104), $B118 * E104, "")</f>
        <v>3722.6277372262771</v>
      </c>
      <c r="G104" s="31">
        <v>3400</v>
      </c>
      <c r="H104" s="32">
        <f t="shared" ref="H104:H107" si="51">IF(ISNUMBER(G104), (G104 - $B104) / $B104, "")</f>
        <v>-7.2992700729927005E-3</v>
      </c>
      <c r="I104" s="101">
        <f>IF(ISNUMBER(G104), $B118 * H104, "")</f>
        <v>-1094.8905109489051</v>
      </c>
      <c r="J104" s="15">
        <v>3290</v>
      </c>
      <c r="K104" s="32">
        <f t="shared" ref="K104:K107" si="52">IF(ISNUMBER(J104), (J104 - $B104) / $B104, "")</f>
        <v>-3.9416058394160583E-2</v>
      </c>
      <c r="L104" s="18">
        <f>IF(ISNUMBER(J104), $B118 * K104, "")</f>
        <v>-5912.4087591240877</v>
      </c>
      <c r="M104" s="31">
        <v>3250</v>
      </c>
      <c r="N104" s="32">
        <f t="shared" ref="N104:N107" si="53">IF(ISNUMBER(M104), (M104 - $B104) / $B104, "")</f>
        <v>-5.1094890510948905E-2</v>
      </c>
      <c r="O104" s="18">
        <f>IF(ISNUMBER(M104), $B118 * N104, "")</f>
        <v>-7664.2335766423357</v>
      </c>
      <c r="Q104" s="196"/>
      <c r="R104" s="196"/>
      <c r="S104" s="196"/>
    </row>
    <row r="105" spans="1:19" ht="17.25" thickBot="1">
      <c r="A105" s="125" t="s">
        <v>223</v>
      </c>
      <c r="B105" s="126">
        <v>1005</v>
      </c>
      <c r="C105" s="77">
        <v>1.6177957499999999E-2</v>
      </c>
      <c r="D105" s="15">
        <v>991</v>
      </c>
      <c r="E105" s="32">
        <f t="shared" si="50"/>
        <v>-1.3930348258706468E-2</v>
      </c>
      <c r="F105" s="18">
        <f>IF(ISNUMBER(D105), $B118 * E105, "")</f>
        <v>-2089.5522388059703</v>
      </c>
      <c r="G105" s="31">
        <v>1015</v>
      </c>
      <c r="H105" s="32">
        <f t="shared" si="51"/>
        <v>9.9502487562189053E-3</v>
      </c>
      <c r="I105" s="101">
        <f>IF(ISNUMBER(G105), $B118 * H105, "")</f>
        <v>1492.5373134328358</v>
      </c>
      <c r="J105" s="15">
        <v>1005</v>
      </c>
      <c r="K105" s="32">
        <f t="shared" si="52"/>
        <v>0</v>
      </c>
      <c r="L105" s="18">
        <f>IF(ISNUMBER(J105), $B118 * K105, "")</f>
        <v>0</v>
      </c>
      <c r="M105" s="31">
        <v>998</v>
      </c>
      <c r="N105" s="32">
        <f t="shared" si="53"/>
        <v>-6.965174129353234E-3</v>
      </c>
      <c r="O105" s="18">
        <f>IF(ISNUMBER(M105), $B118 * N105, "")</f>
        <v>-1044.7761194029852</v>
      </c>
      <c r="Q105" s="196"/>
      <c r="R105" s="196"/>
      <c r="S105" s="196"/>
    </row>
    <row r="106" spans="1:19" ht="17.25" thickBot="1">
      <c r="A106" s="125" t="s">
        <v>142</v>
      </c>
      <c r="B106" s="126">
        <v>1715</v>
      </c>
      <c r="C106" s="77">
        <v>1.47928994E-2</v>
      </c>
      <c r="D106" s="15">
        <v>1710</v>
      </c>
      <c r="E106" s="32">
        <f t="shared" si="50"/>
        <v>-2.9154518950437317E-3</v>
      </c>
      <c r="F106" s="18">
        <f>IF(ISNUMBER(D106), $B118 * E106, "")</f>
        <v>-437.31778425655978</v>
      </c>
      <c r="G106" s="31">
        <v>1775</v>
      </c>
      <c r="H106" s="32">
        <f t="shared" si="51"/>
        <v>3.4985422740524783E-2</v>
      </c>
      <c r="I106" s="101">
        <f>IF(ISNUMBER(G106), $B118 * H106, "")</f>
        <v>5247.8134110787178</v>
      </c>
      <c r="J106" s="15">
        <v>1780</v>
      </c>
      <c r="K106" s="32">
        <f t="shared" si="52"/>
        <v>3.7900874635568516E-2</v>
      </c>
      <c r="L106" s="18">
        <f>IF(ISNUMBER(J106), $B118 * K106, "")</f>
        <v>5685.131195335277</v>
      </c>
      <c r="M106" s="31">
        <v>1760</v>
      </c>
      <c r="N106" s="32">
        <f t="shared" si="53"/>
        <v>2.6239067055393587E-2</v>
      </c>
      <c r="O106" s="18">
        <f>IF(ISNUMBER(M106), $B118 * N106, "")</f>
        <v>3935.8600583090379</v>
      </c>
      <c r="Q106" s="33"/>
      <c r="R106" s="33"/>
    </row>
    <row r="107" spans="1:19" ht="17.25" thickBot="1">
      <c r="A107" s="130" t="s">
        <v>126</v>
      </c>
      <c r="B107" s="131">
        <v>87.7</v>
      </c>
      <c r="C107" s="79">
        <v>1.03686636E-2</v>
      </c>
      <c r="D107" s="24">
        <v>85.9</v>
      </c>
      <c r="E107" s="25">
        <f t="shared" si="50"/>
        <v>-2.0524515393386511E-2</v>
      </c>
      <c r="F107" s="104">
        <f>IF(ISNUMBER(D107), $B118 * E107, "")</f>
        <v>-3078.6773090079769</v>
      </c>
      <c r="G107" s="102">
        <v>86.6</v>
      </c>
      <c r="H107" s="25">
        <f t="shared" si="51"/>
        <v>-1.2542759407069653E-2</v>
      </c>
      <c r="I107" s="103">
        <f>IF(ISNUMBER(G107), $B118 * H107, "")</f>
        <v>-1881.4139110604478</v>
      </c>
      <c r="J107" s="24">
        <v>87.3</v>
      </c>
      <c r="K107" s="25">
        <f t="shared" si="52"/>
        <v>-4.5610034207526299E-3</v>
      </c>
      <c r="L107" s="104">
        <f>IF(ISNUMBER(J107), $B118 * K107, "")</f>
        <v>-684.15051311289449</v>
      </c>
      <c r="M107" s="102">
        <v>85.7</v>
      </c>
      <c r="N107" s="25">
        <f t="shared" si="53"/>
        <v>-2.2805017103762829E-2</v>
      </c>
      <c r="O107" s="104">
        <f>IF(ISNUMBER(M107), $B118 * N107, "")</f>
        <v>-3420.7525655644245</v>
      </c>
      <c r="Q107" s="205"/>
      <c r="R107" s="206"/>
      <c r="S107" s="207"/>
    </row>
    <row r="108" spans="1:19">
      <c r="A108" s="123" t="s">
        <v>73</v>
      </c>
      <c r="B108" s="124">
        <v>39540</v>
      </c>
      <c r="C108" s="76">
        <v>8.9308497000000001E-3</v>
      </c>
      <c r="D108" s="13">
        <v>41850</v>
      </c>
      <c r="E108" s="14">
        <f>IF(ISNUMBER(D108), (D108 - $B108) / $B108, "")</f>
        <v>5.8421851289833078E-2</v>
      </c>
      <c r="F108" s="16">
        <f>IF(ISNUMBER(D108), $B118 * E108, "")</f>
        <v>8763.2776934749618</v>
      </c>
      <c r="G108" s="29">
        <v>41800</v>
      </c>
      <c r="H108" s="14">
        <f>IF(ISNUMBER(G108), (G108 - $B108) / $B108, "")</f>
        <v>5.7157309054122404E-2</v>
      </c>
      <c r="I108" s="100">
        <f>IF(ISNUMBER(G108), $B118 * H108, "")</f>
        <v>8573.5963581183605</v>
      </c>
      <c r="J108" s="13">
        <v>41280</v>
      </c>
      <c r="K108" s="14">
        <f>IF(ISNUMBER(J108), (J108 - $B108) / $B108, "")</f>
        <v>4.4006069802731411E-2</v>
      </c>
      <c r="L108" s="16">
        <f>IF(ISNUMBER(J108), $B118 * K108, "")</f>
        <v>6600.9104704097117</v>
      </c>
      <c r="M108" s="29">
        <v>41320</v>
      </c>
      <c r="N108" s="14">
        <f>IF(ISNUMBER(M108), (M108 - $B108) / $B108, "")</f>
        <v>4.5017703591299953E-2</v>
      </c>
      <c r="O108" s="16">
        <f>IF(ISNUMBER(M108), $B118 * N108, "")</f>
        <v>6752.6555386949931</v>
      </c>
      <c r="Q108" s="208"/>
      <c r="R108" s="209"/>
      <c r="S108" s="210"/>
    </row>
    <row r="109" spans="1:19" ht="17.25" thickBot="1">
      <c r="A109" s="125" t="s">
        <v>176</v>
      </c>
      <c r="B109" s="126">
        <v>7970</v>
      </c>
      <c r="C109" s="77">
        <v>8.2226438999999998E-3</v>
      </c>
      <c r="D109" s="15">
        <v>7625</v>
      </c>
      <c r="E109" s="32">
        <f t="shared" ref="E109:E112" si="54">IF(ISNUMBER(D109), (D109 - $B109) / $B109, "")</f>
        <v>-4.3287327478042661E-2</v>
      </c>
      <c r="F109" s="18">
        <f>IF(ISNUMBER(D109), $B118 * E109, "")</f>
        <v>-6493.0991217063993</v>
      </c>
      <c r="G109" s="31">
        <v>7685</v>
      </c>
      <c r="H109" s="32">
        <f t="shared" ref="H109:H112" si="55">IF(ISNUMBER(G109), (G109 - $B109) / $B109, "")</f>
        <v>-3.5759096612296114E-2</v>
      </c>
      <c r="I109" s="101">
        <f>IF(ISNUMBER(G109), $B118 * H109, "")</f>
        <v>-5363.864491844417</v>
      </c>
      <c r="J109" s="15">
        <v>7735</v>
      </c>
      <c r="K109" s="32">
        <f t="shared" ref="K109:K112" si="56">IF(ISNUMBER(J109), (J109 - $B109) / $B109, "")</f>
        <v>-2.9485570890840654E-2</v>
      </c>
      <c r="L109" s="18">
        <f>IF(ISNUMBER(J109), $B118 * K109, "")</f>
        <v>-4422.8356336260977</v>
      </c>
      <c r="M109" s="31">
        <v>7645</v>
      </c>
      <c r="N109" s="32">
        <f t="shared" ref="N109:N112" si="57">IF(ISNUMBER(M109), (M109 - $B109) / $B109, "")</f>
        <v>-4.0777917189460479E-2</v>
      </c>
      <c r="O109" s="18">
        <f>IF(ISNUMBER(M109), $B118 * N109, "")</f>
        <v>-6116.6875784190715</v>
      </c>
      <c r="Q109" s="211"/>
      <c r="R109" s="212"/>
      <c r="S109" s="213"/>
    </row>
    <row r="110" spans="1:19" ht="17.25" thickBot="1">
      <c r="A110" s="125" t="s">
        <v>337</v>
      </c>
      <c r="B110" s="126">
        <v>13610</v>
      </c>
      <c r="C110" s="77">
        <v>8.1481481000000005E-3</v>
      </c>
      <c r="D110" s="15">
        <v>13700</v>
      </c>
      <c r="E110" s="32">
        <f t="shared" si="54"/>
        <v>6.6127847171197646E-3</v>
      </c>
      <c r="F110" s="18">
        <f>IF(ISNUMBER(D110), $B118 * E110, "")</f>
        <v>991.91770756796473</v>
      </c>
      <c r="G110" s="31">
        <v>13890</v>
      </c>
      <c r="H110" s="32">
        <f t="shared" si="55"/>
        <v>2.0573108008817047E-2</v>
      </c>
      <c r="I110" s="101">
        <f>IF(ISNUMBER(G110), $B118 * H110, "")</f>
        <v>3085.966201322557</v>
      </c>
      <c r="J110" s="15">
        <v>14290</v>
      </c>
      <c r="K110" s="32">
        <f t="shared" si="56"/>
        <v>4.996326230712711E-2</v>
      </c>
      <c r="L110" s="18">
        <f>IF(ISNUMBER(J110), $B118 * K110, "")</f>
        <v>7494.4893460690664</v>
      </c>
      <c r="M110" s="31">
        <v>14000</v>
      </c>
      <c r="N110" s="32">
        <f t="shared" si="57"/>
        <v>2.8655400440852314E-2</v>
      </c>
      <c r="O110" s="18">
        <f>IF(ISNUMBER(M110), $B118 * N110, "")</f>
        <v>4298.3100661278468</v>
      </c>
      <c r="Q110" s="196"/>
      <c r="R110" s="196"/>
      <c r="S110" s="196"/>
    </row>
    <row r="111" spans="1:19" ht="17.25" thickBot="1">
      <c r="A111" s="125" t="s">
        <v>195</v>
      </c>
      <c r="B111" s="126">
        <v>131</v>
      </c>
      <c r="C111" s="77">
        <v>7.6923076999999996E-3</v>
      </c>
      <c r="D111" s="15">
        <v>127</v>
      </c>
      <c r="E111" s="32">
        <f t="shared" si="54"/>
        <v>-3.0534351145038167E-2</v>
      </c>
      <c r="F111" s="18">
        <f>IF(ISNUMBER(D111), $B118 * E111, "")</f>
        <v>-4580.1526717557254</v>
      </c>
      <c r="G111" s="31">
        <v>127</v>
      </c>
      <c r="H111" s="32">
        <f t="shared" si="55"/>
        <v>-3.0534351145038167E-2</v>
      </c>
      <c r="I111" s="101">
        <f>IF(ISNUMBER(G111), $B118 * H111, "")</f>
        <v>-4580.1526717557254</v>
      </c>
      <c r="J111" s="15">
        <v>128</v>
      </c>
      <c r="K111" s="32">
        <f t="shared" si="56"/>
        <v>-2.2900763358778626E-2</v>
      </c>
      <c r="L111" s="18">
        <f>IF(ISNUMBER(J111), $B118 * K111, "")</f>
        <v>-3435.1145038167938</v>
      </c>
      <c r="M111" s="31">
        <v>126</v>
      </c>
      <c r="N111" s="32">
        <f t="shared" si="57"/>
        <v>-3.8167938931297711E-2</v>
      </c>
      <c r="O111" s="18">
        <f>IF(ISNUMBER(M111), $B118 * N111, "")</f>
        <v>-5725.1908396946565</v>
      </c>
      <c r="Q111" s="191"/>
      <c r="R111" s="191"/>
      <c r="S111" s="191"/>
    </row>
    <row r="112" spans="1:19" ht="17.25" thickBot="1">
      <c r="A112" s="127" t="s">
        <v>101</v>
      </c>
      <c r="B112" s="128">
        <v>699</v>
      </c>
      <c r="C112" s="78">
        <v>7.2046109999999997E-3</v>
      </c>
      <c r="D112" s="20">
        <v>672</v>
      </c>
      <c r="E112" s="21">
        <f t="shared" si="54"/>
        <v>-3.8626609442060089E-2</v>
      </c>
      <c r="F112" s="22">
        <f>IF(ISNUMBER(D112), $B118 * E112, "")</f>
        <v>-5793.9914163090134</v>
      </c>
      <c r="G112" s="30">
        <v>677</v>
      </c>
      <c r="H112" s="21">
        <f t="shared" si="55"/>
        <v>-3.1473533619456366E-2</v>
      </c>
      <c r="I112" s="105">
        <f>IF(ISNUMBER(G112), $B118 * H112, "")</f>
        <v>-4721.0300429184554</v>
      </c>
      <c r="J112" s="20">
        <v>684</v>
      </c>
      <c r="K112" s="21">
        <f t="shared" si="56"/>
        <v>-2.1459227467811159E-2</v>
      </c>
      <c r="L112" s="22">
        <f>IF(ISNUMBER(J112), $B118 * K112, "")</f>
        <v>-3218.8841201716737</v>
      </c>
      <c r="M112" s="30">
        <v>678</v>
      </c>
      <c r="N112" s="21">
        <f t="shared" si="57"/>
        <v>-3.0042918454935622E-2</v>
      </c>
      <c r="O112" s="22">
        <f>IF(ISNUMBER(M112), $B118 * N112, "")</f>
        <v>-4506.4377682403438</v>
      </c>
      <c r="Q112" s="191"/>
      <c r="R112" s="191"/>
      <c r="S112" s="191"/>
    </row>
    <row r="113" spans="1:19" ht="17.25" thickBot="1">
      <c r="A113" s="125" t="s">
        <v>62</v>
      </c>
      <c r="B113" s="129">
        <v>29220</v>
      </c>
      <c r="C113" s="80">
        <v>1.7140898000000001E-3</v>
      </c>
      <c r="D113" s="106">
        <v>27850</v>
      </c>
      <c r="E113" s="107">
        <f>IF(ISNUMBER(D113), (D113 - $B113) / $B113, "")</f>
        <v>-4.6885694729637238E-2</v>
      </c>
      <c r="F113" s="108">
        <f>IF(ISNUMBER(D113), $B118 * E113, "")</f>
        <v>-7032.8542094455861</v>
      </c>
      <c r="G113" s="109">
        <v>27980</v>
      </c>
      <c r="H113" s="107">
        <f>IF(ISNUMBER(G113), (G113 - $B113) / $B113, "")</f>
        <v>-4.2436687200547572E-2</v>
      </c>
      <c r="I113" s="110">
        <f>IF(ISNUMBER(G113), $B118 * H113, "")</f>
        <v>-6365.503080082136</v>
      </c>
      <c r="J113" s="106">
        <v>28300</v>
      </c>
      <c r="K113" s="107">
        <f>IF(ISNUMBER(J113), (J113 - $B113) / $B113, "")</f>
        <v>-3.1485284052019162E-2</v>
      </c>
      <c r="L113" s="108">
        <f>IF(ISNUMBER(J113), $B118 * K113, "")</f>
        <v>-4722.792607802874</v>
      </c>
      <c r="M113" s="109">
        <v>27640</v>
      </c>
      <c r="N113" s="107">
        <f>IF(ISNUMBER(M113), (M113 - $B113) / $B113, "")</f>
        <v>-5.4072553045859E-2</v>
      </c>
      <c r="O113" s="108">
        <f>IF(ISNUMBER(M113), $B118 * N113, "")</f>
        <v>-8110.8829568788497</v>
      </c>
      <c r="Q113" s="196"/>
      <c r="R113" s="196"/>
      <c r="S113" s="196"/>
    </row>
    <row r="114" spans="1:19" ht="17.25" thickBot="1">
      <c r="A114" s="125" t="s">
        <v>233</v>
      </c>
      <c r="B114" s="126">
        <v>103</v>
      </c>
      <c r="C114" s="77">
        <v>0</v>
      </c>
      <c r="D114" s="15">
        <v>98.7</v>
      </c>
      <c r="E114" s="32">
        <f t="shared" ref="E114:E117" si="58">IF(ISNUMBER(D114), (D114 - $B114) / $B114, "")</f>
        <v>-4.174757281553395E-2</v>
      </c>
      <c r="F114" s="18">
        <f>IF(ISNUMBER(D114), $B118 * E114, "")</f>
        <v>-6262.1359223300924</v>
      </c>
      <c r="G114" s="31">
        <v>100</v>
      </c>
      <c r="H114" s="32">
        <f t="shared" ref="H114:H117" si="59">IF(ISNUMBER(G114), (G114 - $B114) / $B114, "")</f>
        <v>-2.9126213592233011E-2</v>
      </c>
      <c r="I114" s="101">
        <f>IF(ISNUMBER(G114), $B118 * H114, "")</f>
        <v>-4368.9320388349515</v>
      </c>
      <c r="J114" s="15">
        <v>101</v>
      </c>
      <c r="K114" s="32">
        <f t="shared" ref="K114:K117" si="60">IF(ISNUMBER(J114), (J114 - $B114) / $B114, "")</f>
        <v>-1.9417475728155338E-2</v>
      </c>
      <c r="L114" s="18">
        <f>IF(ISNUMBER(J114), $B118 * K114, "")</f>
        <v>-2912.6213592233007</v>
      </c>
      <c r="M114" s="31">
        <v>99.5</v>
      </c>
      <c r="N114" s="32">
        <f t="shared" ref="N114:N117" si="61">IF(ISNUMBER(M114), (M114 - $B114) / $B114, "")</f>
        <v>-3.3980582524271843E-2</v>
      </c>
      <c r="O114" s="18">
        <f>IF(ISNUMBER(M114), $B118 * N114, "")</f>
        <v>-5097.0873786407765</v>
      </c>
      <c r="Q114" s="196"/>
      <c r="R114" s="196"/>
      <c r="S114" s="196"/>
    </row>
    <row r="115" spans="1:19" ht="17.25" thickBot="1">
      <c r="A115" s="125" t="s">
        <v>338</v>
      </c>
      <c r="B115" s="126">
        <v>272</v>
      </c>
      <c r="C115" s="77">
        <v>0</v>
      </c>
      <c r="D115" s="15">
        <v>261</v>
      </c>
      <c r="E115" s="32">
        <f t="shared" si="58"/>
        <v>-4.0441176470588237E-2</v>
      </c>
      <c r="F115" s="18">
        <f>IF(ISNUMBER(D115), $B118 * E115, "")</f>
        <v>-6066.176470588236</v>
      </c>
      <c r="G115" s="31">
        <v>263</v>
      </c>
      <c r="H115" s="32">
        <f t="shared" si="59"/>
        <v>-3.3088235294117647E-2</v>
      </c>
      <c r="I115" s="101">
        <f>IF(ISNUMBER(G115), $B118 * H115, "")</f>
        <v>-4963.2352941176468</v>
      </c>
      <c r="J115" s="15">
        <v>266</v>
      </c>
      <c r="K115" s="32">
        <f t="shared" si="60"/>
        <v>-2.2058823529411766E-2</v>
      </c>
      <c r="L115" s="18">
        <f>IF(ISNUMBER(J115), $B118 * K115, "")</f>
        <v>-3308.8235294117649</v>
      </c>
      <c r="M115" s="31">
        <v>260</v>
      </c>
      <c r="N115" s="32">
        <f t="shared" si="61"/>
        <v>-4.4117647058823532E-2</v>
      </c>
      <c r="O115" s="18">
        <f>IF(ISNUMBER(M115), $B118 * N115, "")</f>
        <v>-6617.6470588235297</v>
      </c>
      <c r="Q115" s="196"/>
      <c r="R115" s="196"/>
      <c r="S115" s="196"/>
    </row>
    <row r="116" spans="1:19">
      <c r="A116" s="125" t="s">
        <v>331</v>
      </c>
      <c r="B116" s="126">
        <v>999</v>
      </c>
      <c r="C116" s="77">
        <v>0</v>
      </c>
      <c r="D116" s="15">
        <v>955</v>
      </c>
      <c r="E116" s="32">
        <f t="shared" si="58"/>
        <v>-4.4044044044044044E-2</v>
      </c>
      <c r="F116" s="18">
        <f>IF(ISNUMBER(D116), $B118 * E116, "")</f>
        <v>-6606.6066066066069</v>
      </c>
      <c r="G116" s="31">
        <v>968</v>
      </c>
      <c r="H116" s="32">
        <f t="shared" si="59"/>
        <v>-3.1031031031031032E-2</v>
      </c>
      <c r="I116" s="101">
        <f>IF(ISNUMBER(G116), $B118 * H116, "")</f>
        <v>-4654.6546546546551</v>
      </c>
      <c r="J116" s="15">
        <v>987</v>
      </c>
      <c r="K116" s="32">
        <f t="shared" si="60"/>
        <v>-1.2012012012012012E-2</v>
      </c>
      <c r="L116" s="18">
        <f>IF(ISNUMBER(J116), $B118 * K116, "")</f>
        <v>-1801.8018018018017</v>
      </c>
      <c r="M116" s="31">
        <v>978</v>
      </c>
      <c r="N116" s="32">
        <f t="shared" si="61"/>
        <v>-2.1021021021021023E-2</v>
      </c>
      <c r="O116" s="18">
        <f>IF(ISNUMBER(M116), $B118 * N116, "")</f>
        <v>-3153.1531531531532</v>
      </c>
      <c r="Q116" s="218"/>
      <c r="R116" s="219"/>
      <c r="S116" s="220"/>
    </row>
    <row r="117" spans="1:19" ht="17.25" thickBot="1">
      <c r="A117" s="130" t="s">
        <v>89</v>
      </c>
      <c r="B117" s="131">
        <v>934</v>
      </c>
      <c r="C117" s="79">
        <v>-2.1367521E-3</v>
      </c>
      <c r="D117" s="24">
        <v>911</v>
      </c>
      <c r="E117" s="25">
        <f t="shared" si="58"/>
        <v>-2.4625267665952889E-2</v>
      </c>
      <c r="F117" s="104">
        <f>IF(ISNUMBER(D117), $B118 * E117, "")</f>
        <v>-3693.7901498929332</v>
      </c>
      <c r="G117" s="102">
        <v>905</v>
      </c>
      <c r="H117" s="25">
        <f t="shared" si="59"/>
        <v>-3.1049250535331904E-2</v>
      </c>
      <c r="I117" s="103">
        <f>IF(ISNUMBER(G117), $B118 * H117, "")</f>
        <v>-4657.3875802997854</v>
      </c>
      <c r="J117" s="24">
        <v>912</v>
      </c>
      <c r="K117" s="25">
        <f t="shared" si="60"/>
        <v>-2.3554603854389723E-2</v>
      </c>
      <c r="L117" s="104">
        <f>IF(ISNUMBER(J117), $B118 * K117, "")</f>
        <v>-3533.1905781584583</v>
      </c>
      <c r="M117" s="102">
        <v>902</v>
      </c>
      <c r="N117" s="25">
        <f t="shared" si="61"/>
        <v>-3.4261241970021415E-2</v>
      </c>
      <c r="O117" s="104">
        <f>IF(ISNUMBER(M117), $B118 * N117, "")</f>
        <v>-5139.186295503212</v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-1.6412103629858461E-2</v>
      </c>
      <c r="F118" s="28">
        <f>SUM(F98:F117)</f>
        <v>-49236.310889575376</v>
      </c>
      <c r="G118" s="26" t="s">
        <v>266</v>
      </c>
      <c r="H118" s="27">
        <f>IF(COUNT(H98:H117), SUM(H98:H117) / COUNT(H98:H117), 0)</f>
        <v>-1.3425159535346121E-2</v>
      </c>
      <c r="I118" s="28">
        <f>SUM(I98:I117)</f>
        <v>-40275.478606038363</v>
      </c>
      <c r="J118" s="26" t="s">
        <v>266</v>
      </c>
      <c r="K118" s="27">
        <f>IF(COUNT(K98:K117), SUM(K98:K117) / COUNT(K98:K117), 0)</f>
        <v>-8.6907767137540427E-3</v>
      </c>
      <c r="L118" s="28">
        <f>SUM(L98:L117)</f>
        <v>-26072.330141262122</v>
      </c>
      <c r="M118" s="26" t="s">
        <v>266</v>
      </c>
      <c r="N118" s="27">
        <f>IF(COUNT(N98:N117), SUM(N98:N117) / COUNT(N98:N117), 0)</f>
        <v>-2.2198916829996383E-2</v>
      </c>
      <c r="O118" s="28">
        <f>SUM(O98:O117)</f>
        <v>-66596.75048998915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2022-03-04(금) 오전 00:00</v>
      </c>
      <c r="C123" s="234"/>
      <c r="D123" s="193" t="str">
        <f>TEXT($G$1, "[$-ko-KR]yyyy-mm-dd(ddd) ") &amp; "오후 14:00"</f>
        <v>2022-03-04(금) 오후 14:00</v>
      </c>
      <c r="E123" s="194"/>
      <c r="F123" s="195"/>
      <c r="G123" s="193" t="str">
        <f>TEXT($G$1, "[$-ko-KR]yyyy-mm-dd(ddd) ") &amp; "오후 19:00"</f>
        <v>2022-03-04(금) 오후 19:00</v>
      </c>
      <c r="H123" s="194"/>
      <c r="I123" s="195"/>
      <c r="J123" s="193" t="str">
        <f>TEXT($G$1, "[$-ko-KR]yyyy-mm-dd(ddd) ") &amp; "오후 21:00"</f>
        <v>2022-03-04(금) 오후 21:00</v>
      </c>
      <c r="K123" s="194"/>
      <c r="L123" s="195"/>
      <c r="M123" s="193" t="str">
        <f>TEXT($G$1+1, "[$-ko-KR]yyyy-mm-dd(ddd) ") &amp; "오전 00:00"</f>
        <v>2022-03-05(토)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341</v>
      </c>
      <c r="B125" s="124">
        <v>9.1600000000000001E-2</v>
      </c>
      <c r="C125" s="76">
        <v>-9.7297297000000001E-3</v>
      </c>
      <c r="D125" s="13">
        <v>8.9499999999999996E-2</v>
      </c>
      <c r="E125" s="14">
        <f>IF(ISNUMBER(D125), (D125 - $B125) / $B125, "")</f>
        <v>-2.2925764192139788E-2</v>
      </c>
      <c r="F125" s="16">
        <f>IF(ISNUMBER(D125), $B145 * E125, "")</f>
        <v>-3438.8646288209684</v>
      </c>
      <c r="G125" s="29">
        <v>9.0200000000000002E-2</v>
      </c>
      <c r="H125" s="14">
        <f>IF(ISNUMBER(G125), (G125 - $B125) / $B125, "")</f>
        <v>-1.5283842794759809E-2</v>
      </c>
      <c r="I125" s="100">
        <f>IF(ISNUMBER(G125), $B145 * H125, "")</f>
        <v>-2292.5764192139713</v>
      </c>
      <c r="J125" s="13">
        <v>9.0800000000000006E-2</v>
      </c>
      <c r="K125" s="14">
        <f>IF(ISNUMBER(J125), (J125 - $B125) / $B125, "")</f>
        <v>-8.7336244541484191E-3</v>
      </c>
      <c r="L125" s="16">
        <f>IF(ISNUMBER(J125), $B145 * K125, "")</f>
        <v>-1310.0436681222629</v>
      </c>
      <c r="M125" s="29">
        <v>9.0200000000000002E-2</v>
      </c>
      <c r="N125" s="14">
        <f>IF(ISNUMBER(M125), (M125 - $B125) / $B125, "")</f>
        <v>-1.5283842794759809E-2</v>
      </c>
      <c r="O125" s="16">
        <f>IF(ISNUMBER(M125), $B145 * N125, "")</f>
        <v>-2292.5764192139713</v>
      </c>
      <c r="Q125" s="191"/>
      <c r="R125" s="191"/>
      <c r="S125" s="191"/>
    </row>
    <row r="126" spans="1:19" ht="17.25" thickBot="1">
      <c r="A126" s="125" t="s">
        <v>148</v>
      </c>
      <c r="B126" s="126">
        <v>74</v>
      </c>
      <c r="C126" s="77">
        <v>-1.0695187199999999E-2</v>
      </c>
      <c r="D126" s="15">
        <v>72.3</v>
      </c>
      <c r="E126" s="32">
        <f t="shared" ref="E126:E129" si="62">IF(ISNUMBER(D126), (D126 - $B126) / $B126, "")</f>
        <v>-2.2972972972973012E-2</v>
      </c>
      <c r="F126" s="18">
        <f>IF(ISNUMBER(D126), $B145 * E126, "")</f>
        <v>-3445.9459459459517</v>
      </c>
      <c r="G126" s="31">
        <v>72.400000000000006</v>
      </c>
      <c r="H126" s="32">
        <f t="shared" ref="H126:H129" si="63">IF(ISNUMBER(G126), (G126 - $B126) / $B126, "")</f>
        <v>-2.1621621621621546E-2</v>
      </c>
      <c r="I126" s="101">
        <f>IF(ISNUMBER(G126), $B145 * H126, "")</f>
        <v>-3243.243243243232</v>
      </c>
      <c r="J126" s="15">
        <v>73.3</v>
      </c>
      <c r="K126" s="32">
        <f t="shared" ref="K126:K129" si="64">IF(ISNUMBER(J126), (J126 - $B126) / $B126, "")</f>
        <v>-9.4594594594594981E-3</v>
      </c>
      <c r="L126" s="18">
        <f>IF(ISNUMBER(J126), $B145 * K126, "")</f>
        <v>-1418.9189189189246</v>
      </c>
      <c r="M126" s="31">
        <v>72.2</v>
      </c>
      <c r="N126" s="32">
        <f t="shared" ref="N126:N129" si="65">IF(ISNUMBER(M126), (M126 - $B126) / $B126, "")</f>
        <v>-2.4324324324324288E-2</v>
      </c>
      <c r="O126" s="18">
        <f>IF(ISNUMBER(M126), $B145 * N126, "")</f>
        <v>-3648.6486486486433</v>
      </c>
      <c r="Q126" s="191"/>
      <c r="R126" s="191"/>
      <c r="S126" s="191"/>
    </row>
    <row r="127" spans="1:19" ht="17.25" thickBot="1">
      <c r="A127" s="125" t="s">
        <v>205</v>
      </c>
      <c r="B127" s="126">
        <v>11.8</v>
      </c>
      <c r="C127" s="77">
        <v>-1.6666666699999999E-2</v>
      </c>
      <c r="D127" s="15">
        <v>11.3</v>
      </c>
      <c r="E127" s="32">
        <f t="shared" si="62"/>
        <v>-4.2372881355932202E-2</v>
      </c>
      <c r="F127" s="18">
        <f>IF(ISNUMBER(D127), $B145 * E127, "")</f>
        <v>-6355.9322033898306</v>
      </c>
      <c r="G127" s="31">
        <v>11.5</v>
      </c>
      <c r="H127" s="32">
        <f t="shared" si="63"/>
        <v>-2.5423728813559379E-2</v>
      </c>
      <c r="I127" s="101">
        <f>IF(ISNUMBER(G127), $B145 * H127, "")</f>
        <v>-3813.5593220339069</v>
      </c>
      <c r="J127" s="15">
        <v>11.4</v>
      </c>
      <c r="K127" s="32">
        <f t="shared" si="64"/>
        <v>-3.389830508474579E-2</v>
      </c>
      <c r="L127" s="18">
        <f>IF(ISNUMBER(J127), $B145 * K127, "")</f>
        <v>-5084.7457627118683</v>
      </c>
      <c r="M127" s="31">
        <v>11.5</v>
      </c>
      <c r="N127" s="32">
        <f t="shared" si="65"/>
        <v>-2.5423728813559379E-2</v>
      </c>
      <c r="O127" s="18">
        <f>IF(ISNUMBER(M127), $B145 * N127, "")</f>
        <v>-3813.5593220339069</v>
      </c>
      <c r="Q127" s="196"/>
      <c r="R127" s="196"/>
      <c r="S127" s="196"/>
    </row>
    <row r="128" spans="1:19" ht="17.25" thickBot="1">
      <c r="A128" s="125" t="s">
        <v>199</v>
      </c>
      <c r="B128" s="126">
        <v>11.6</v>
      </c>
      <c r="C128" s="77">
        <v>-1.6949152499999998E-2</v>
      </c>
      <c r="D128" s="15">
        <v>11.2</v>
      </c>
      <c r="E128" s="32">
        <f t="shared" si="62"/>
        <v>-3.4482758620689689E-2</v>
      </c>
      <c r="F128" s="18">
        <f>IF(ISNUMBER(D128), $B145 * E128, "")</f>
        <v>-5172.4137931034538</v>
      </c>
      <c r="G128" s="31">
        <v>11.4</v>
      </c>
      <c r="H128" s="32">
        <f t="shared" si="63"/>
        <v>-1.7241379310344768E-2</v>
      </c>
      <c r="I128" s="101">
        <f>IF(ISNUMBER(G128), $B145 * H128, "")</f>
        <v>-2586.2068965517151</v>
      </c>
      <c r="J128" s="15">
        <v>11.4</v>
      </c>
      <c r="K128" s="32">
        <f t="shared" si="64"/>
        <v>-1.7241379310344768E-2</v>
      </c>
      <c r="L128" s="18">
        <f>IF(ISNUMBER(J128), $B145 * K128, "")</f>
        <v>-2586.2068965517151</v>
      </c>
      <c r="M128" s="31">
        <v>11.2</v>
      </c>
      <c r="N128" s="32">
        <f t="shared" si="65"/>
        <v>-3.4482758620689689E-2</v>
      </c>
      <c r="O128" s="18">
        <f>IF(ISNUMBER(M128), $B145 * N128, "")</f>
        <v>-5172.4137931034538</v>
      </c>
      <c r="Q128" s="196"/>
      <c r="R128" s="196"/>
      <c r="S128" s="196"/>
    </row>
    <row r="129" spans="1:19" ht="17.25" thickBot="1">
      <c r="A129" s="127" t="s">
        <v>144</v>
      </c>
      <c r="B129" s="128">
        <v>11.4</v>
      </c>
      <c r="C129" s="78">
        <v>-1.7241379300000002E-2</v>
      </c>
      <c r="D129" s="20">
        <v>10.8</v>
      </c>
      <c r="E129" s="21">
        <f t="shared" si="62"/>
        <v>-5.263157894736839E-2</v>
      </c>
      <c r="F129" s="22">
        <f>IF(ISNUMBER(D129), $B145 * E129, "")</f>
        <v>-7894.7368421052588</v>
      </c>
      <c r="G129" s="30">
        <v>10.9</v>
      </c>
      <c r="H129" s="21">
        <f t="shared" si="63"/>
        <v>-4.3859649122807015E-2</v>
      </c>
      <c r="I129" s="105">
        <f>IF(ISNUMBER(G129), $B145 * H129, "")</f>
        <v>-6578.9473684210525</v>
      </c>
      <c r="J129" s="20">
        <v>11</v>
      </c>
      <c r="K129" s="21">
        <f t="shared" si="64"/>
        <v>-3.5087719298245647E-2</v>
      </c>
      <c r="L129" s="22">
        <f>IF(ISNUMBER(J129), $B145 * K129, "")</f>
        <v>-5263.1578947368471</v>
      </c>
      <c r="M129" s="30">
        <v>10.7</v>
      </c>
      <c r="N129" s="21">
        <f t="shared" si="65"/>
        <v>-6.1403508771929918E-2</v>
      </c>
      <c r="O129" s="22">
        <f>IF(ISNUMBER(M129), $B145 * N129, "")</f>
        <v>-9210.5263157894879</v>
      </c>
      <c r="Q129" s="196"/>
      <c r="R129" s="196"/>
      <c r="S129" s="196"/>
    </row>
    <row r="130" spans="1:19" ht="17.25" thickBot="1">
      <c r="A130" s="125" t="s">
        <v>245</v>
      </c>
      <c r="B130" s="129">
        <v>58.6</v>
      </c>
      <c r="C130" s="80">
        <v>-1.8425460599999999E-2</v>
      </c>
      <c r="D130" s="106">
        <v>57.1</v>
      </c>
      <c r="E130" s="107">
        <f>IF(ISNUMBER(D130), (D130 - $B130) / $B130, "")</f>
        <v>-2.5597269624573378E-2</v>
      </c>
      <c r="F130" s="108">
        <f>IF(ISNUMBER(D130), $B145 * E130, "")</f>
        <v>-3839.5904436860069</v>
      </c>
      <c r="G130" s="109">
        <v>58.2</v>
      </c>
      <c r="H130" s="107">
        <f>IF(ISNUMBER(G130), (G130 - $B130) / $B130, "")</f>
        <v>-6.8259385665528768E-3</v>
      </c>
      <c r="I130" s="110">
        <f>IF(ISNUMBER(G130), $B145 * H130, "")</f>
        <v>-1023.8907849829316</v>
      </c>
      <c r="J130" s="106">
        <v>58.7</v>
      </c>
      <c r="K130" s="107">
        <f>IF(ISNUMBER(J130), (J130 - $B130) / $B130, "")</f>
        <v>1.7064846416382496E-3</v>
      </c>
      <c r="L130" s="108">
        <f>IF(ISNUMBER(J130), $B145 * K130, "")</f>
        <v>255.97269624573744</v>
      </c>
      <c r="M130" s="109">
        <v>57.9</v>
      </c>
      <c r="N130" s="107">
        <f>IF(ISNUMBER(M130), (M130 - $B130) / $B130, "")</f>
        <v>-1.1945392491467624E-2</v>
      </c>
      <c r="O130" s="108">
        <f>IF(ISNUMBER(M130), $B145 * N130, "")</f>
        <v>-1791.8088737201438</v>
      </c>
      <c r="Q130" s="196"/>
      <c r="R130" s="196"/>
      <c r="S130" s="196"/>
    </row>
    <row r="131" spans="1:19" ht="17.25" thickBot="1">
      <c r="A131" s="125" t="s">
        <v>189</v>
      </c>
      <c r="B131" s="126">
        <v>89.9</v>
      </c>
      <c r="C131" s="77">
        <v>-1.8558952E-2</v>
      </c>
      <c r="D131" s="15">
        <v>86.6</v>
      </c>
      <c r="E131" s="32">
        <f t="shared" ref="E131:E134" si="66">IF(ISNUMBER(D131), (D131 - $B131) / $B131, "")</f>
        <v>-3.6707452725250403E-2</v>
      </c>
      <c r="F131" s="18">
        <f>IF(ISNUMBER(D131), $B145 * E131, "")</f>
        <v>-5506.1179087875607</v>
      </c>
      <c r="G131" s="31">
        <v>87.8</v>
      </c>
      <c r="H131" s="32">
        <f t="shared" ref="H131:H134" si="67">IF(ISNUMBER(G131), (G131 - $B131) / $B131, "")</f>
        <v>-2.3359288097886635E-2</v>
      </c>
      <c r="I131" s="101">
        <f>IF(ISNUMBER(G131), $B145 * H131, "")</f>
        <v>-3503.8932146829952</v>
      </c>
      <c r="J131" s="15">
        <v>88</v>
      </c>
      <c r="K131" s="32">
        <f t="shared" ref="K131:K134" si="68">IF(ISNUMBER(J131), (J131 - $B131) / $B131, "")</f>
        <v>-2.1134593993325981E-2</v>
      </c>
      <c r="L131" s="18">
        <f>IF(ISNUMBER(J131), $B145 * K131, "")</f>
        <v>-3170.189098998897</v>
      </c>
      <c r="M131" s="31">
        <v>87.9</v>
      </c>
      <c r="N131" s="32">
        <f t="shared" ref="N131:N134" si="69">IF(ISNUMBER(M131), (M131 - $B131) / $B131, "")</f>
        <v>-2.2246941045606226E-2</v>
      </c>
      <c r="O131" s="18">
        <f>IF(ISNUMBER(M131), $B145 * N131, "")</f>
        <v>-3337.041156840934</v>
      </c>
      <c r="Q131" s="196"/>
      <c r="R131" s="196"/>
      <c r="S131" s="196"/>
    </row>
    <row r="132" spans="1:19" ht="17.25" thickBot="1">
      <c r="A132" s="125" t="s">
        <v>158</v>
      </c>
      <c r="B132" s="126">
        <v>68.099999999999994</v>
      </c>
      <c r="C132" s="77">
        <v>-1.8731988500000001E-2</v>
      </c>
      <c r="D132" s="15">
        <v>66.400000000000006</v>
      </c>
      <c r="E132" s="32">
        <f t="shared" si="66"/>
        <v>-2.4963289280469734E-2</v>
      </c>
      <c r="F132" s="18">
        <f>IF(ISNUMBER(D132), $B145 * E132, "")</f>
        <v>-3744.4933920704602</v>
      </c>
      <c r="G132" s="31">
        <v>68.5</v>
      </c>
      <c r="H132" s="32">
        <f t="shared" si="67"/>
        <v>5.8737151248165302E-3</v>
      </c>
      <c r="I132" s="101">
        <f>IF(ISNUMBER(G132), $B145 * H132, "")</f>
        <v>881.05726872247953</v>
      </c>
      <c r="J132" s="15">
        <v>69.599999999999994</v>
      </c>
      <c r="K132" s="32">
        <f t="shared" si="68"/>
        <v>2.2026431718061675E-2</v>
      </c>
      <c r="L132" s="18">
        <f>IF(ISNUMBER(J132), $B145 * K132, "")</f>
        <v>3303.9647577092514</v>
      </c>
      <c r="M132" s="31">
        <v>68</v>
      </c>
      <c r="N132" s="32">
        <f t="shared" si="69"/>
        <v>-1.4684287812040283E-3</v>
      </c>
      <c r="O132" s="18">
        <f>IF(ISNUMBER(M132), $B145 * N132, "")</f>
        <v>-220.26431718060425</v>
      </c>
      <c r="Q132" s="196"/>
      <c r="R132" s="196"/>
      <c r="S132" s="196"/>
    </row>
    <row r="133" spans="1:19" ht="17.25" thickBot="1">
      <c r="A133" s="125" t="s">
        <v>185</v>
      </c>
      <c r="B133" s="126">
        <v>10.3</v>
      </c>
      <c r="C133" s="77">
        <v>-1.9047618999999998E-2</v>
      </c>
      <c r="D133" s="15">
        <v>10.1</v>
      </c>
      <c r="E133" s="32">
        <f t="shared" si="66"/>
        <v>-1.9417475728155442E-2</v>
      </c>
      <c r="F133" s="18">
        <f>IF(ISNUMBER(D133), $B145 * E133, "")</f>
        <v>-2912.6213592233162</v>
      </c>
      <c r="G133" s="31">
        <v>10.199999999999999</v>
      </c>
      <c r="H133" s="32">
        <f t="shared" si="67"/>
        <v>-9.7087378640778078E-3</v>
      </c>
      <c r="I133" s="101">
        <f>IF(ISNUMBER(G133), $B145 * H133, "")</f>
        <v>-1456.3106796116713</v>
      </c>
      <c r="J133" s="15">
        <v>10.199999999999999</v>
      </c>
      <c r="K133" s="32">
        <f t="shared" si="68"/>
        <v>-9.7087378640778078E-3</v>
      </c>
      <c r="L133" s="18">
        <f>IF(ISNUMBER(J133), $B145 * K133, "")</f>
        <v>-1456.3106796116713</v>
      </c>
      <c r="M133" s="31">
        <v>10.1</v>
      </c>
      <c r="N133" s="32">
        <f t="shared" si="69"/>
        <v>-1.9417475728155442E-2</v>
      </c>
      <c r="O133" s="18">
        <f>IF(ISNUMBER(M133), $B145 * N133, "")</f>
        <v>-2912.6213592233162</v>
      </c>
      <c r="Q133" s="33"/>
      <c r="R133" s="33"/>
    </row>
    <row r="134" spans="1:19" ht="17.25" thickBot="1">
      <c r="A134" s="130" t="s">
        <v>146</v>
      </c>
      <c r="B134" s="131">
        <v>8.6999999999999993</v>
      </c>
      <c r="C134" s="79">
        <v>-2.02702703E-2</v>
      </c>
      <c r="D134" s="24">
        <v>8.3699999999999992</v>
      </c>
      <c r="E134" s="25">
        <f t="shared" si="66"/>
        <v>-3.7931034482758634E-2</v>
      </c>
      <c r="F134" s="104">
        <f>IF(ISNUMBER(D134), $B145 * E134, "")</f>
        <v>-5689.6551724137953</v>
      </c>
      <c r="G134" s="102">
        <v>8.49</v>
      </c>
      <c r="H134" s="25">
        <f t="shared" si="67"/>
        <v>-2.4137931034482654E-2</v>
      </c>
      <c r="I134" s="103">
        <f>IF(ISNUMBER(G134), $B145 * H134, "")</f>
        <v>-3620.689655172398</v>
      </c>
      <c r="J134" s="24">
        <v>8.6199999999999992</v>
      </c>
      <c r="K134" s="25">
        <f t="shared" si="68"/>
        <v>-9.1954022988505833E-3</v>
      </c>
      <c r="L134" s="104">
        <f>IF(ISNUMBER(J134), $B145 * K134, "")</f>
        <v>-1379.3103448275874</v>
      </c>
      <c r="M134" s="102">
        <v>8.49</v>
      </c>
      <c r="N134" s="25">
        <f t="shared" si="69"/>
        <v>-2.4137931034482654E-2</v>
      </c>
      <c r="O134" s="104">
        <f>IF(ISNUMBER(M134), $B145 * N134, "")</f>
        <v>-3620.689655172398</v>
      </c>
      <c r="Q134" s="205"/>
      <c r="R134" s="206"/>
      <c r="S134" s="207"/>
    </row>
    <row r="135" spans="1:19">
      <c r="A135" s="123" t="s">
        <v>197</v>
      </c>
      <c r="B135" s="124">
        <v>48.2</v>
      </c>
      <c r="C135" s="76">
        <v>-2.2312373199999999E-2</v>
      </c>
      <c r="D135" s="13">
        <v>47.2</v>
      </c>
      <c r="E135" s="14">
        <f>IF(ISNUMBER(D135), (D135 - $B135) / $B135, "")</f>
        <v>-2.0746887966804978E-2</v>
      </c>
      <c r="F135" s="16">
        <f>IF(ISNUMBER(D135), $B145 * E135, "")</f>
        <v>-3112.0331950207469</v>
      </c>
      <c r="G135" s="29">
        <v>47.7</v>
      </c>
      <c r="H135" s="14">
        <f>IF(ISNUMBER(G135), (G135 - $B135) / $B135, "")</f>
        <v>-1.0373443983402489E-2</v>
      </c>
      <c r="I135" s="100">
        <f>IF(ISNUMBER(G135), $B145 * H135, "")</f>
        <v>-1556.0165975103735</v>
      </c>
      <c r="J135" s="13">
        <v>47.9</v>
      </c>
      <c r="K135" s="14">
        <f>IF(ISNUMBER(J135), (J135 - $B135) / $B135, "")</f>
        <v>-6.2240663900415818E-3</v>
      </c>
      <c r="L135" s="16">
        <f>IF(ISNUMBER(J135), $B145 * K135, "")</f>
        <v>-933.60995850623726</v>
      </c>
      <c r="M135" s="29">
        <v>47.5</v>
      </c>
      <c r="N135" s="14">
        <f>IF(ISNUMBER(M135), (M135 - $B135) / $B135, "")</f>
        <v>-1.4522821576763543E-2</v>
      </c>
      <c r="O135" s="16">
        <f>IF(ISNUMBER(M135), $B145 * N135, "")</f>
        <v>-2178.4232365145313</v>
      </c>
      <c r="Q135" s="208"/>
      <c r="R135" s="209"/>
      <c r="S135" s="210"/>
    </row>
    <row r="136" spans="1:19" ht="17.25" thickBot="1">
      <c r="A136" s="125" t="s">
        <v>203</v>
      </c>
      <c r="B136" s="126">
        <v>7.85</v>
      </c>
      <c r="C136" s="77">
        <v>-2.48447205E-2</v>
      </c>
      <c r="D136" s="15">
        <v>7.58</v>
      </c>
      <c r="E136" s="32">
        <f t="shared" ref="E136:E139" si="70">IF(ISNUMBER(D136), (D136 - $B136) / $B136, "")</f>
        <v>-3.439490445859867E-2</v>
      </c>
      <c r="F136" s="18">
        <f>IF(ISNUMBER(D136), $B145 * E136, "")</f>
        <v>-5159.2356687898009</v>
      </c>
      <c r="G136" s="31">
        <v>7.74</v>
      </c>
      <c r="H136" s="32">
        <f t="shared" ref="H136:H139" si="71">IF(ISNUMBER(G136), (G136 - $B136) / $B136, "")</f>
        <v>-1.4012738853503112E-2</v>
      </c>
      <c r="I136" s="101">
        <f>IF(ISNUMBER(G136), $B145 * H136, "")</f>
        <v>-2101.9108280254668</v>
      </c>
      <c r="J136" s="15">
        <v>7.77</v>
      </c>
      <c r="K136" s="32">
        <f t="shared" ref="K136:K139" si="72">IF(ISNUMBER(J136), (J136 - $B136) / $B136, "")</f>
        <v>-1.0191082802547781E-2</v>
      </c>
      <c r="L136" s="18">
        <f>IF(ISNUMBER(J136), $B145 * K136, "")</f>
        <v>-1528.6624203821671</v>
      </c>
      <c r="M136" s="31">
        <v>7.63</v>
      </c>
      <c r="N136" s="32">
        <f t="shared" ref="N136:N139" si="73">IF(ISNUMBER(M136), (M136 - $B136) / $B136, "")</f>
        <v>-2.8025477707006339E-2</v>
      </c>
      <c r="O136" s="18">
        <f>IF(ISNUMBER(M136), $B145 * N136, "")</f>
        <v>-4203.8216560509509</v>
      </c>
      <c r="Q136" s="211"/>
      <c r="R136" s="212"/>
      <c r="S136" s="213"/>
    </row>
    <row r="137" spans="1:19" ht="17.25" thickBot="1">
      <c r="A137" s="125" t="s">
        <v>140</v>
      </c>
      <c r="B137" s="126">
        <v>86.1</v>
      </c>
      <c r="C137" s="77">
        <v>-2.4915062299999999E-2</v>
      </c>
      <c r="D137" s="15">
        <v>83.2</v>
      </c>
      <c r="E137" s="32">
        <f t="shared" si="70"/>
        <v>-3.3681765389082366E-2</v>
      </c>
      <c r="F137" s="18">
        <f>IF(ISNUMBER(D137), $B145 * E137, "")</f>
        <v>-5052.2648083623553</v>
      </c>
      <c r="G137" s="31">
        <v>84.1</v>
      </c>
      <c r="H137" s="32">
        <f t="shared" si="71"/>
        <v>-2.3228803716608595E-2</v>
      </c>
      <c r="I137" s="101">
        <f>IF(ISNUMBER(G137), $B145 * H137, "")</f>
        <v>-3484.320557491289</v>
      </c>
      <c r="J137" s="15">
        <v>85.8</v>
      </c>
      <c r="K137" s="32">
        <f t="shared" si="72"/>
        <v>-3.4843205574912562E-3</v>
      </c>
      <c r="L137" s="18">
        <f>IF(ISNUMBER(J137), $B145 * K137, "")</f>
        <v>-522.64808362368842</v>
      </c>
      <c r="M137" s="31">
        <v>83.9</v>
      </c>
      <c r="N137" s="32">
        <f t="shared" si="73"/>
        <v>-2.5551684088269324E-2</v>
      </c>
      <c r="O137" s="18">
        <f>IF(ISNUMBER(M137), $B145 * N137, "")</f>
        <v>-3832.7526132403987</v>
      </c>
      <c r="Q137" s="196"/>
      <c r="R137" s="196"/>
      <c r="S137" s="196"/>
    </row>
    <row r="138" spans="1:19" ht="17.25" thickBot="1">
      <c r="A138" s="125" t="s">
        <v>64</v>
      </c>
      <c r="B138" s="126">
        <v>30.2</v>
      </c>
      <c r="C138" s="77">
        <v>-2.5806451599999999E-2</v>
      </c>
      <c r="D138" s="15">
        <v>29.1</v>
      </c>
      <c r="E138" s="32">
        <f t="shared" si="70"/>
        <v>-3.6423841059602578E-2</v>
      </c>
      <c r="F138" s="18">
        <f>IF(ISNUMBER(D138), $B145 * E138, "")</f>
        <v>-5463.5761589403864</v>
      </c>
      <c r="G138" s="31">
        <v>29.2</v>
      </c>
      <c r="H138" s="32">
        <f t="shared" si="71"/>
        <v>-3.3112582781456956E-2</v>
      </c>
      <c r="I138" s="101">
        <f>IF(ISNUMBER(G138), $B145 * H138, "")</f>
        <v>-4966.8874172185433</v>
      </c>
      <c r="J138" s="15">
        <v>29.5</v>
      </c>
      <c r="K138" s="32">
        <f t="shared" si="72"/>
        <v>-2.3178807947019844E-2</v>
      </c>
      <c r="L138" s="18">
        <f>IF(ISNUMBER(J138), $B145 * K138, "")</f>
        <v>-3476.8211920529766</v>
      </c>
      <c r="M138" s="31">
        <v>29</v>
      </c>
      <c r="N138" s="32">
        <f t="shared" si="73"/>
        <v>-3.9735099337748318E-2</v>
      </c>
      <c r="O138" s="18">
        <f>IF(ISNUMBER(M138), $B145 * N138, "")</f>
        <v>-5960.2649006622478</v>
      </c>
      <c r="Q138" s="191"/>
      <c r="R138" s="191"/>
      <c r="S138" s="191"/>
    </row>
    <row r="139" spans="1:19" ht="17.25" thickBot="1">
      <c r="A139" s="127" t="s">
        <v>229</v>
      </c>
      <c r="B139" s="128">
        <v>52.8</v>
      </c>
      <c r="C139" s="78">
        <v>-3.47349177E-2</v>
      </c>
      <c r="D139" s="20">
        <v>51.5</v>
      </c>
      <c r="E139" s="21">
        <f t="shared" si="70"/>
        <v>-2.4621212121212068E-2</v>
      </c>
      <c r="F139" s="22">
        <f>IF(ISNUMBER(D139), $B145 * E139, "")</f>
        <v>-3693.1818181818103</v>
      </c>
      <c r="G139" s="30">
        <v>51.8</v>
      </c>
      <c r="H139" s="21">
        <f t="shared" si="71"/>
        <v>-1.893939393939394E-2</v>
      </c>
      <c r="I139" s="105">
        <f>IF(ISNUMBER(G139), $B145 * H139, "")</f>
        <v>-2840.909090909091</v>
      </c>
      <c r="J139" s="20">
        <v>52.2</v>
      </c>
      <c r="K139" s="21">
        <f t="shared" si="72"/>
        <v>-1.1363636363636256E-2</v>
      </c>
      <c r="L139" s="22">
        <f>IF(ISNUMBER(J139), $B145 * K139, "")</f>
        <v>-1704.5454545454384</v>
      </c>
      <c r="M139" s="30">
        <v>51.5</v>
      </c>
      <c r="N139" s="21">
        <f t="shared" si="73"/>
        <v>-2.4621212121212068E-2</v>
      </c>
      <c r="O139" s="22">
        <f>IF(ISNUMBER(M139), $B145 * N139, "")</f>
        <v>-3693.1818181818103</v>
      </c>
      <c r="Q139" s="191"/>
      <c r="R139" s="191"/>
      <c r="S139" s="191"/>
    </row>
    <row r="140" spans="1:19" ht="17.25" thickBot="1">
      <c r="A140" s="125" t="s">
        <v>211</v>
      </c>
      <c r="B140" s="129">
        <v>7.49</v>
      </c>
      <c r="C140" s="80">
        <v>-3.4793814399999998E-2</v>
      </c>
      <c r="D140" s="106">
        <v>7.25</v>
      </c>
      <c r="E140" s="107">
        <f>IF(ISNUMBER(D140), (D140 - $B140) / $B140, "")</f>
        <v>-3.2042723631508709E-2</v>
      </c>
      <c r="F140" s="108">
        <f>IF(ISNUMBER(D140), $B145 * E140, "")</f>
        <v>-4806.408544726306</v>
      </c>
      <c r="G140" s="109">
        <v>7.33</v>
      </c>
      <c r="H140" s="107">
        <f>IF(ISNUMBER(G140), (G140 - $B140) / $B140, "")</f>
        <v>-2.1361815754339136E-2</v>
      </c>
      <c r="I140" s="110">
        <f>IF(ISNUMBER(G140), $B145 * H140, "")</f>
        <v>-3204.2723631508702</v>
      </c>
      <c r="J140" s="106">
        <v>7.48</v>
      </c>
      <c r="K140" s="107">
        <f>IF(ISNUMBER(J140), (J140 - $B140) / $B140, "")</f>
        <v>-1.3351134846461665E-3</v>
      </c>
      <c r="L140" s="108">
        <f>IF(ISNUMBER(J140), $B145 * K140, "")</f>
        <v>-200.26702269692498</v>
      </c>
      <c r="M140" s="109">
        <v>7.32</v>
      </c>
      <c r="N140" s="107">
        <f>IF(ISNUMBER(M140), (M140 - $B140) / $B140, "")</f>
        <v>-2.2696929238985305E-2</v>
      </c>
      <c r="O140" s="108">
        <f>IF(ISNUMBER(M140), $B145 * N140, "")</f>
        <v>-3404.5393858477955</v>
      </c>
      <c r="Q140" s="196"/>
      <c r="R140" s="196"/>
      <c r="S140" s="196"/>
    </row>
    <row r="141" spans="1:19" ht="17.25" thickBot="1">
      <c r="A141" s="125" t="s">
        <v>174</v>
      </c>
      <c r="B141" s="126">
        <v>10.9</v>
      </c>
      <c r="C141" s="77">
        <v>-3.5398230099999997E-2</v>
      </c>
      <c r="D141" s="15">
        <v>10.4</v>
      </c>
      <c r="E141" s="32">
        <f t="shared" ref="E141:E144" si="74">IF(ISNUMBER(D141), (D141 - $B141) / $B141, "")</f>
        <v>-4.5871559633027519E-2</v>
      </c>
      <c r="F141" s="18">
        <f>IF(ISNUMBER(D141), $B145 * E141, "")</f>
        <v>-6880.7339449541278</v>
      </c>
      <c r="G141" s="31">
        <v>10.4</v>
      </c>
      <c r="H141" s="32">
        <f t="shared" ref="H141:H144" si="75">IF(ISNUMBER(G141), (G141 - $B141) / $B141, "")</f>
        <v>-4.5871559633027519E-2</v>
      </c>
      <c r="I141" s="101">
        <f>IF(ISNUMBER(G141), $B145 * H141, "")</f>
        <v>-6880.7339449541278</v>
      </c>
      <c r="J141" s="15">
        <v>10.5</v>
      </c>
      <c r="K141" s="32">
        <f t="shared" ref="K141:K144" si="76">IF(ISNUMBER(J141), (J141 - $B141) / $B141, "")</f>
        <v>-3.6697247706422048E-2</v>
      </c>
      <c r="L141" s="18">
        <f>IF(ISNUMBER(J141), $B145 * K141, "")</f>
        <v>-5504.5871559633069</v>
      </c>
      <c r="M141" s="31">
        <v>10.4</v>
      </c>
      <c r="N141" s="32">
        <f t="shared" ref="N141:N144" si="77">IF(ISNUMBER(M141), (M141 - $B141) / $B141, "")</f>
        <v>-4.5871559633027519E-2</v>
      </c>
      <c r="O141" s="18">
        <f>IF(ISNUMBER(M141), $B145 * N141, "")</f>
        <v>-6880.7339449541278</v>
      </c>
      <c r="Q141" s="196"/>
      <c r="R141" s="196"/>
      <c r="S141" s="196"/>
    </row>
    <row r="142" spans="1:19" ht="17.25" thickBot="1">
      <c r="A142" s="125" t="s">
        <v>346</v>
      </c>
      <c r="B142" s="126">
        <v>9.5299999999999994</v>
      </c>
      <c r="C142" s="77">
        <v>-3.5425101200000003E-2</v>
      </c>
      <c r="D142" s="15">
        <v>9.25</v>
      </c>
      <c r="E142" s="32">
        <f t="shared" si="74"/>
        <v>-2.9380902413431203E-2</v>
      </c>
      <c r="F142" s="18">
        <f>IF(ISNUMBER(D142), $B145 * E142, "")</f>
        <v>-4407.1353620146801</v>
      </c>
      <c r="G142" s="31">
        <v>9.25</v>
      </c>
      <c r="H142" s="32">
        <f t="shared" si="75"/>
        <v>-2.9380902413431203E-2</v>
      </c>
      <c r="I142" s="101">
        <f>IF(ISNUMBER(G142), $B145 * H142, "")</f>
        <v>-4407.1353620146801</v>
      </c>
      <c r="J142" s="15">
        <v>9.4</v>
      </c>
      <c r="K142" s="32">
        <f t="shared" si="76"/>
        <v>-1.3641133263378701E-2</v>
      </c>
      <c r="L142" s="18">
        <f>IF(ISNUMBER(J142), $B145 * K142, "")</f>
        <v>-2046.169989506805</v>
      </c>
      <c r="M142" s="31">
        <v>9.26</v>
      </c>
      <c r="N142" s="32">
        <f t="shared" si="77"/>
        <v>-2.8331584470094397E-2</v>
      </c>
      <c r="O142" s="18">
        <f>IF(ISNUMBER(M142), $B145 * N142, "")</f>
        <v>-4249.7376705141596</v>
      </c>
      <c r="Q142" s="196"/>
      <c r="R142" s="196"/>
      <c r="S142" s="196"/>
    </row>
    <row r="143" spans="1:19">
      <c r="A143" s="125" t="s">
        <v>97</v>
      </c>
      <c r="B143" s="126">
        <v>2.3E-3</v>
      </c>
      <c r="C143" s="77">
        <v>-4.16666667E-2</v>
      </c>
      <c r="D143" s="15">
        <v>2.3999999999999998E-3</v>
      </c>
      <c r="E143" s="32">
        <f t="shared" si="74"/>
        <v>4.3478260869565147E-2</v>
      </c>
      <c r="F143" s="18">
        <f>IF(ISNUMBER(D143), $B145 * E143, "")</f>
        <v>6521.7391304347721</v>
      </c>
      <c r="G143" s="31">
        <v>2.3999999999999998E-3</v>
      </c>
      <c r="H143" s="32">
        <f t="shared" si="75"/>
        <v>4.3478260869565147E-2</v>
      </c>
      <c r="I143" s="101">
        <f>IF(ISNUMBER(G143), $B145 * H143, "")</f>
        <v>6521.7391304347721</v>
      </c>
      <c r="J143" s="15">
        <v>2.3999999999999998E-3</v>
      </c>
      <c r="K143" s="32">
        <f t="shared" si="76"/>
        <v>4.3478260869565147E-2</v>
      </c>
      <c r="L143" s="18">
        <f>IF(ISNUMBER(J143), $B145 * K143, "")</f>
        <v>6521.7391304347721</v>
      </c>
      <c r="M143" s="31">
        <v>2.3E-3</v>
      </c>
      <c r="N143" s="32">
        <f t="shared" si="77"/>
        <v>0</v>
      </c>
      <c r="O143" s="18">
        <f>IF(ISNUMBER(M143), $B145 * N143, "")</f>
        <v>0</v>
      </c>
      <c r="Q143" s="218"/>
      <c r="R143" s="219"/>
      <c r="S143" s="220"/>
    </row>
    <row r="144" spans="1:19" ht="17.25" thickBot="1">
      <c r="A144" s="130" t="s">
        <v>71</v>
      </c>
      <c r="B144" s="131">
        <v>19.899999999999999</v>
      </c>
      <c r="C144" s="79">
        <v>-4.3269230800000003E-2</v>
      </c>
      <c r="D144" s="24">
        <v>18.899999999999999</v>
      </c>
      <c r="E144" s="25">
        <f t="shared" si="74"/>
        <v>-5.0251256281407038E-2</v>
      </c>
      <c r="F144" s="104">
        <f>IF(ISNUMBER(D144), $B145 * E144, "")</f>
        <v>-7537.6884422110561</v>
      </c>
      <c r="G144" s="102">
        <v>19</v>
      </c>
      <c r="H144" s="25">
        <f t="shared" si="75"/>
        <v>-4.5226130653266264E-2</v>
      </c>
      <c r="I144" s="103">
        <f>IF(ISNUMBER(G144), $B145 * H144, "")</f>
        <v>-6783.9195979899396</v>
      </c>
      <c r="J144" s="24">
        <v>19.2</v>
      </c>
      <c r="K144" s="25">
        <f t="shared" si="76"/>
        <v>-3.517587939698489E-2</v>
      </c>
      <c r="L144" s="104">
        <f>IF(ISNUMBER(J144), $B145 * K144, "")</f>
        <v>-5276.3819095477338</v>
      </c>
      <c r="M144" s="102">
        <v>19.3</v>
      </c>
      <c r="N144" s="25">
        <f t="shared" si="77"/>
        <v>-3.0150753768844116E-2</v>
      </c>
      <c r="O144" s="104">
        <f>IF(ISNUMBER(M144), $B145 * N144, "")</f>
        <v>-4522.6130653266173</v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-2.9196963500771021E-2</v>
      </c>
      <c r="F145" s="28">
        <f>SUM(F125:F144)</f>
        <v>-87590.890502313123</v>
      </c>
      <c r="G145" s="26" t="s">
        <v>266</v>
      </c>
      <c r="H145" s="27">
        <f>IF(COUNT(H125:H144), SUM(H125:H144) / COUNT(H125:H144), 0)</f>
        <v>-1.8980875648007E-2</v>
      </c>
      <c r="I145" s="28">
        <f>SUM(I125:I144)</f>
        <v>-56942.626944021002</v>
      </c>
      <c r="J145" s="26" t="s">
        <v>266</v>
      </c>
      <c r="K145" s="27">
        <f>IF(COUNT(K125:K144), SUM(K125:K144) / COUNT(K125:K144), 0)</f>
        <v>-1.0926966622305096E-2</v>
      </c>
      <c r="L145" s="28">
        <f>SUM(L125:L144)</f>
        <v>-32780.899866915286</v>
      </c>
      <c r="M145" s="26" t="s">
        <v>266</v>
      </c>
      <c r="N145" s="27">
        <f>IF(COUNT(N125:N144), SUM(N125:N144) / COUNT(N125:N144), 0)</f>
        <v>-2.49820727174065E-2</v>
      </c>
      <c r="O145" s="28">
        <f>SUM(O125:O144)</f>
        <v>-74946.218152219502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2022-03-04(금) 오전 00:00</v>
      </c>
      <c r="C150" s="234"/>
      <c r="D150" s="193" t="str">
        <f>TEXT($G$1, "[$-ko-KR]yyyy-mm-dd(ddd) ") &amp; "오후 14:00"</f>
        <v>2022-03-04(금) 오후 14:00</v>
      </c>
      <c r="E150" s="194"/>
      <c r="F150" s="195"/>
      <c r="G150" s="193" t="str">
        <f>TEXT($G$1, "[$-ko-KR]yyyy-mm-dd(ddd) ") &amp; "오후 19:00"</f>
        <v>2022-03-04(금) 오후 19:00</v>
      </c>
      <c r="H150" s="194"/>
      <c r="I150" s="195"/>
      <c r="J150" s="193" t="str">
        <f>TEXT($G$1, "[$-ko-KR]yyyy-mm-dd(ddd) ") &amp; "오후 21:00"</f>
        <v>2022-03-04(금) 오후 21:00</v>
      </c>
      <c r="K150" s="194"/>
      <c r="L150" s="195"/>
      <c r="M150" s="193" t="str">
        <f>TEXT($G$1+1, "[$-ko-KR]yyyy-mm-dd(ddd) ") &amp; "오전 00:00"</f>
        <v>2022-03-05(토)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339</v>
      </c>
      <c r="B152" s="124">
        <v>530</v>
      </c>
      <c r="C152" s="76">
        <v>-2.21402214E-2</v>
      </c>
      <c r="D152" s="13">
        <v>512</v>
      </c>
      <c r="E152" s="14">
        <f>IF(ISNUMBER(D152), (D152 - $B152) / $B152, "")</f>
        <v>-3.3962264150943396E-2</v>
      </c>
      <c r="F152" s="16">
        <f>IF(ISNUMBER(D152), $B172 * E152, "")</f>
        <v>-5094.3396226415098</v>
      </c>
      <c r="G152" s="29">
        <v>517</v>
      </c>
      <c r="H152" s="14">
        <f>IF(ISNUMBER(G152), (G152 - $B152) / $B152, "")</f>
        <v>-2.4528301886792454E-2</v>
      </c>
      <c r="I152" s="100">
        <f>IF(ISNUMBER(G152), $B172 * H152, "")</f>
        <v>-3679.2452830188681</v>
      </c>
      <c r="J152" s="13">
        <v>517</v>
      </c>
      <c r="K152" s="14">
        <f>IF(ISNUMBER(J152), (J152 - $B152) / $B152, "")</f>
        <v>-2.4528301886792454E-2</v>
      </c>
      <c r="L152" s="16">
        <f>IF(ISNUMBER(J152), $B172 * K152, "")</f>
        <v>-3679.2452830188681</v>
      </c>
      <c r="M152" s="29">
        <v>510</v>
      </c>
      <c r="N152" s="14">
        <f>IF(ISNUMBER(M152), (M152 - $B152) / $B152, "")</f>
        <v>-3.7735849056603772E-2</v>
      </c>
      <c r="O152" s="16">
        <f>IF(ISNUMBER(M152), $B172 * N152, "")</f>
        <v>-5660.3773584905657</v>
      </c>
      <c r="Q152" s="191"/>
      <c r="R152" s="191"/>
      <c r="S152" s="191"/>
    </row>
    <row r="153" spans="1:19" ht="17.25" thickBot="1">
      <c r="A153" s="125" t="s">
        <v>180</v>
      </c>
      <c r="B153" s="126">
        <v>922</v>
      </c>
      <c r="C153" s="77">
        <v>-2.22693531E-2</v>
      </c>
      <c r="D153" s="15">
        <v>902</v>
      </c>
      <c r="E153" s="32">
        <f t="shared" ref="E153:E156" si="78">IF(ISNUMBER(D153), (D153 - $B153) / $B153, "")</f>
        <v>-2.1691973969631236E-2</v>
      </c>
      <c r="F153" s="18">
        <f>IF(ISNUMBER(D153), $B172 * E153, "")</f>
        <v>-3253.7960954446853</v>
      </c>
      <c r="G153" s="31">
        <v>914</v>
      </c>
      <c r="H153" s="32">
        <f t="shared" ref="H153:H156" si="79">IF(ISNUMBER(G153), (G153 - $B153) / $B153, "")</f>
        <v>-8.6767895878524948E-3</v>
      </c>
      <c r="I153" s="101">
        <f>IF(ISNUMBER(G153), $B172 * H153, "")</f>
        <v>-1301.5184381778743</v>
      </c>
      <c r="J153" s="15">
        <v>917</v>
      </c>
      <c r="K153" s="32">
        <f t="shared" ref="K153:K156" si="80">IF(ISNUMBER(J153), (J153 - $B153) / $B153, "")</f>
        <v>-5.4229934924078091E-3</v>
      </c>
      <c r="L153" s="18">
        <f>IF(ISNUMBER(J153), $B172 * K153, "")</f>
        <v>-813.44902386117133</v>
      </c>
      <c r="M153" s="31">
        <v>909</v>
      </c>
      <c r="N153" s="32">
        <f t="shared" ref="N153:N156" si="81">IF(ISNUMBER(M153), (M153 - $B153) / $B153, "")</f>
        <v>-1.4099783080260303E-2</v>
      </c>
      <c r="O153" s="18">
        <f>IF(ISNUMBER(M153), $B172 * N153, "")</f>
        <v>-2114.9674620390456</v>
      </c>
      <c r="Q153" s="191"/>
      <c r="R153" s="191"/>
      <c r="S153" s="191"/>
    </row>
    <row r="154" spans="1:19" ht="17.25" thickBot="1">
      <c r="A154" s="125" t="s">
        <v>172</v>
      </c>
      <c r="B154" s="126">
        <v>938</v>
      </c>
      <c r="C154" s="77">
        <v>-2.2916666700000001E-2</v>
      </c>
      <c r="D154" s="15">
        <v>912</v>
      </c>
      <c r="E154" s="32">
        <f t="shared" si="78"/>
        <v>-2.7718550106609809E-2</v>
      </c>
      <c r="F154" s="18">
        <f>IF(ISNUMBER(D154), $B172 * E154, "")</f>
        <v>-4157.782515991471</v>
      </c>
      <c r="G154" s="31">
        <v>922</v>
      </c>
      <c r="H154" s="32">
        <f t="shared" si="79"/>
        <v>-1.7057569296375266E-2</v>
      </c>
      <c r="I154" s="101">
        <f>IF(ISNUMBER(G154), $B172 * H154, "")</f>
        <v>-2558.6353944562898</v>
      </c>
      <c r="J154" s="15">
        <v>928</v>
      </c>
      <c r="K154" s="32">
        <f t="shared" si="80"/>
        <v>-1.0660980810234541E-2</v>
      </c>
      <c r="L154" s="18">
        <f>IF(ISNUMBER(J154), $B172 * K154, "")</f>
        <v>-1599.1471215351812</v>
      </c>
      <c r="M154" s="31">
        <v>916</v>
      </c>
      <c r="N154" s="32">
        <f t="shared" si="81"/>
        <v>-2.3454157782515993E-2</v>
      </c>
      <c r="O154" s="18">
        <f>IF(ISNUMBER(M154), $B172 * N154, "")</f>
        <v>-3518.1236673773988</v>
      </c>
      <c r="Q154" s="196"/>
      <c r="R154" s="196"/>
      <c r="S154" s="196"/>
    </row>
    <row r="155" spans="1:19" ht="17.25" thickBot="1">
      <c r="A155" s="125" t="s">
        <v>221</v>
      </c>
      <c r="B155" s="126">
        <v>934</v>
      </c>
      <c r="C155" s="77">
        <v>-2.6068821700000001E-2</v>
      </c>
      <c r="D155" s="15">
        <v>905</v>
      </c>
      <c r="E155" s="32">
        <f t="shared" si="78"/>
        <v>-3.1049250535331904E-2</v>
      </c>
      <c r="F155" s="18">
        <f>IF(ISNUMBER(D155), $B172 * E155, "")</f>
        <v>-4657.3875802997854</v>
      </c>
      <c r="G155" s="31">
        <v>913</v>
      </c>
      <c r="H155" s="32">
        <f t="shared" si="79"/>
        <v>-2.2483940042826552E-2</v>
      </c>
      <c r="I155" s="101">
        <f>IF(ISNUMBER(G155), $B172 * H155, "")</f>
        <v>-3372.5910064239829</v>
      </c>
      <c r="J155" s="15">
        <v>921</v>
      </c>
      <c r="K155" s="32">
        <f t="shared" si="80"/>
        <v>-1.3918629550321198E-2</v>
      </c>
      <c r="L155" s="18">
        <f>IF(ISNUMBER(J155), $B172 * K155, "")</f>
        <v>-2087.7944325481799</v>
      </c>
      <c r="M155" s="31">
        <v>905</v>
      </c>
      <c r="N155" s="32">
        <f t="shared" si="81"/>
        <v>-3.1049250535331904E-2</v>
      </c>
      <c r="O155" s="18">
        <f>IF(ISNUMBER(M155), $B172 * N155, "")</f>
        <v>-4657.3875802997854</v>
      </c>
      <c r="Q155" s="196"/>
      <c r="R155" s="196"/>
      <c r="S155" s="196"/>
    </row>
    <row r="156" spans="1:19" ht="17.25" thickBot="1">
      <c r="A156" s="127" t="s">
        <v>187</v>
      </c>
      <c r="B156" s="128">
        <v>245</v>
      </c>
      <c r="C156" s="78">
        <v>-2.77777778E-2</v>
      </c>
      <c r="D156" s="20">
        <v>249</v>
      </c>
      <c r="E156" s="21">
        <f t="shared" si="78"/>
        <v>1.6326530612244899E-2</v>
      </c>
      <c r="F156" s="22">
        <f>IF(ISNUMBER(D156), $B172 * E156, "")</f>
        <v>2448.9795918367349</v>
      </c>
      <c r="G156" s="30">
        <v>262</v>
      </c>
      <c r="H156" s="21">
        <f t="shared" si="79"/>
        <v>6.9387755102040816E-2</v>
      </c>
      <c r="I156" s="105">
        <f>IF(ISNUMBER(G156), $B172 * H156, "")</f>
        <v>10408.163265306122</v>
      </c>
      <c r="J156" s="20">
        <v>261</v>
      </c>
      <c r="K156" s="21">
        <f t="shared" si="80"/>
        <v>6.5306122448979598E-2</v>
      </c>
      <c r="L156" s="22">
        <f>IF(ISNUMBER(J156), $B172 * K156, "")</f>
        <v>9795.9183673469397</v>
      </c>
      <c r="M156" s="30">
        <v>251</v>
      </c>
      <c r="N156" s="21">
        <f t="shared" si="81"/>
        <v>2.4489795918367346E-2</v>
      </c>
      <c r="O156" s="22">
        <f>IF(ISNUMBER(M156), $B172 * N156, "")</f>
        <v>3673.4693877551017</v>
      </c>
      <c r="Q156" s="196"/>
      <c r="R156" s="196"/>
      <c r="S156" s="196"/>
    </row>
    <row r="157" spans="1:19" ht="17.25" thickBot="1">
      <c r="A157" s="125" t="s">
        <v>217</v>
      </c>
      <c r="B157" s="129">
        <v>208</v>
      </c>
      <c r="C157" s="80">
        <v>-2.8037383200000002E-2</v>
      </c>
      <c r="D157" s="106">
        <v>201</v>
      </c>
      <c r="E157" s="107">
        <f>IF(ISNUMBER(D157), (D157 - $B157) / $B157, "")</f>
        <v>-3.3653846153846152E-2</v>
      </c>
      <c r="F157" s="108">
        <f>IF(ISNUMBER(D157), $B172 * E157, "")</f>
        <v>-5048.0769230769229</v>
      </c>
      <c r="G157" s="109">
        <v>205</v>
      </c>
      <c r="H157" s="107">
        <f>IF(ISNUMBER(G157), (G157 - $B157) / $B157, "")</f>
        <v>-1.4423076923076924E-2</v>
      </c>
      <c r="I157" s="110">
        <f>IF(ISNUMBER(G157), $B172 * H157, "")</f>
        <v>-2163.4615384615386</v>
      </c>
      <c r="J157" s="106">
        <v>205</v>
      </c>
      <c r="K157" s="107">
        <f>IF(ISNUMBER(J157), (J157 - $B157) / $B157, "")</f>
        <v>-1.4423076923076924E-2</v>
      </c>
      <c r="L157" s="108">
        <f>IF(ISNUMBER(J157), $B172 * K157, "")</f>
        <v>-2163.4615384615386</v>
      </c>
      <c r="M157" s="109">
        <v>202</v>
      </c>
      <c r="N157" s="107">
        <f>IF(ISNUMBER(M157), (M157 - $B157) / $B157, "")</f>
        <v>-2.8846153846153848E-2</v>
      </c>
      <c r="O157" s="108">
        <f>IF(ISNUMBER(M157), $B172 * N157, "")</f>
        <v>-4326.9230769230771</v>
      </c>
      <c r="Q157" s="196"/>
      <c r="R157" s="196"/>
      <c r="S157" s="196"/>
    </row>
    <row r="158" spans="1:19" ht="17.25" thickBot="1">
      <c r="A158" s="125" t="s">
        <v>225</v>
      </c>
      <c r="B158" s="126">
        <v>368</v>
      </c>
      <c r="C158" s="77">
        <v>-2.9023746699999999E-2</v>
      </c>
      <c r="D158" s="15">
        <v>352</v>
      </c>
      <c r="E158" s="32">
        <f t="shared" ref="E158:E161" si="82">IF(ISNUMBER(D158), (D158 - $B158) / $B158, "")</f>
        <v>-4.3478260869565216E-2</v>
      </c>
      <c r="F158" s="18">
        <f>IF(ISNUMBER(D158), $B172 * E158, "")</f>
        <v>-6521.7391304347821</v>
      </c>
      <c r="G158" s="31">
        <v>357</v>
      </c>
      <c r="H158" s="32">
        <f t="shared" ref="H158:H161" si="83">IF(ISNUMBER(G158), (G158 - $B158) / $B158, "")</f>
        <v>-2.9891304347826088E-2</v>
      </c>
      <c r="I158" s="101">
        <f>IF(ISNUMBER(G158), $B172 * H158, "")</f>
        <v>-4483.695652173913</v>
      </c>
      <c r="J158" s="15">
        <v>363</v>
      </c>
      <c r="K158" s="32">
        <f t="shared" ref="K158:K161" si="84">IF(ISNUMBER(J158), (J158 - $B158) / $B158, "")</f>
        <v>-1.358695652173913E-2</v>
      </c>
      <c r="L158" s="18">
        <f>IF(ISNUMBER(J158), $B172 * K158, "")</f>
        <v>-2038.0434782608695</v>
      </c>
      <c r="M158" s="31">
        <v>354</v>
      </c>
      <c r="N158" s="32">
        <f t="shared" ref="N158:N161" si="85">IF(ISNUMBER(M158), (M158 - $B158) / $B158, "")</f>
        <v>-3.8043478260869568E-2</v>
      </c>
      <c r="O158" s="18">
        <f>IF(ISNUMBER(M158), $B172 * N158, "")</f>
        <v>-5706.521739130435</v>
      </c>
      <c r="Q158" s="196"/>
      <c r="R158" s="196"/>
      <c r="S158" s="196"/>
    </row>
    <row r="159" spans="1:19" ht="17.25" thickBot="1">
      <c r="A159" s="125" t="s">
        <v>170</v>
      </c>
      <c r="B159" s="126">
        <v>670</v>
      </c>
      <c r="C159" s="77">
        <v>-3.1791907500000001E-2</v>
      </c>
      <c r="D159" s="15">
        <v>644</v>
      </c>
      <c r="E159" s="32">
        <f t="shared" si="82"/>
        <v>-3.880597014925373E-2</v>
      </c>
      <c r="F159" s="18">
        <f>IF(ISNUMBER(D159), $B172 * E159, "")</f>
        <v>-5820.8955223880594</v>
      </c>
      <c r="G159" s="31">
        <v>667</v>
      </c>
      <c r="H159" s="32">
        <f t="shared" si="83"/>
        <v>-4.4776119402985077E-3</v>
      </c>
      <c r="I159" s="101">
        <f>IF(ISNUMBER(G159), $B172 * H159, "")</f>
        <v>-671.64179104477614</v>
      </c>
      <c r="J159" s="15">
        <v>667</v>
      </c>
      <c r="K159" s="32">
        <f t="shared" si="84"/>
        <v>-4.4776119402985077E-3</v>
      </c>
      <c r="L159" s="18">
        <f>IF(ISNUMBER(J159), $B172 * K159, "")</f>
        <v>-671.64179104477614</v>
      </c>
      <c r="M159" s="31">
        <v>658</v>
      </c>
      <c r="N159" s="32">
        <f t="shared" si="85"/>
        <v>-1.7910447761194031E-2</v>
      </c>
      <c r="O159" s="18">
        <f>IF(ISNUMBER(M159), $B172 * N159, "")</f>
        <v>-2686.5671641791046</v>
      </c>
      <c r="Q159" s="196"/>
      <c r="R159" s="196"/>
      <c r="S159" s="196"/>
    </row>
    <row r="160" spans="1:19" ht="17.25" thickBot="1">
      <c r="A160" s="125" t="s">
        <v>105</v>
      </c>
      <c r="B160" s="126">
        <v>830</v>
      </c>
      <c r="C160" s="77">
        <v>-3.2634032600000001E-2</v>
      </c>
      <c r="D160" s="15">
        <v>798</v>
      </c>
      <c r="E160" s="32">
        <f t="shared" si="82"/>
        <v>-3.8554216867469883E-2</v>
      </c>
      <c r="F160" s="18">
        <f>IF(ISNUMBER(D160), $B172 * E160, "")</f>
        <v>-5783.1325301204824</v>
      </c>
      <c r="G160" s="31">
        <v>816</v>
      </c>
      <c r="H160" s="32">
        <f t="shared" si="83"/>
        <v>-1.6867469879518072E-2</v>
      </c>
      <c r="I160" s="101">
        <f>IF(ISNUMBER(G160), $B172 * H160, "")</f>
        <v>-2530.1204819277109</v>
      </c>
      <c r="J160" s="15">
        <v>826</v>
      </c>
      <c r="K160" s="32">
        <f t="shared" si="84"/>
        <v>-4.8192771084337354E-3</v>
      </c>
      <c r="L160" s="18">
        <f>IF(ISNUMBER(J160), $B172 * K160, "")</f>
        <v>-722.89156626506031</v>
      </c>
      <c r="M160" s="31">
        <v>810</v>
      </c>
      <c r="N160" s="32">
        <f t="shared" si="85"/>
        <v>-2.4096385542168676E-2</v>
      </c>
      <c r="O160" s="18">
        <f>IF(ISNUMBER(M160), $B172 * N160, "")</f>
        <v>-3614.4578313253014</v>
      </c>
      <c r="Q160" s="33"/>
      <c r="R160" s="33"/>
    </row>
    <row r="161" spans="1:19" ht="17.25" thickBot="1">
      <c r="A161" s="130" t="s">
        <v>237</v>
      </c>
      <c r="B161" s="131">
        <v>522</v>
      </c>
      <c r="C161" s="79">
        <v>-3.3333333299999997E-2</v>
      </c>
      <c r="D161" s="24">
        <v>493</v>
      </c>
      <c r="E161" s="25">
        <f t="shared" si="82"/>
        <v>-5.5555555555555552E-2</v>
      </c>
      <c r="F161" s="104">
        <f>IF(ISNUMBER(D161), $B172 * E161, "")</f>
        <v>-8333.3333333333321</v>
      </c>
      <c r="G161" s="102">
        <v>629</v>
      </c>
      <c r="H161" s="25">
        <f t="shared" si="83"/>
        <v>0.2049808429118774</v>
      </c>
      <c r="I161" s="103">
        <f>IF(ISNUMBER(G161), $B172 * H161, "")</f>
        <v>30747.126436781611</v>
      </c>
      <c r="J161" s="24">
        <v>609</v>
      </c>
      <c r="K161" s="25">
        <f t="shared" si="84"/>
        <v>0.16666666666666666</v>
      </c>
      <c r="L161" s="104">
        <f>IF(ISNUMBER(J161), $B172 * K161, "")</f>
        <v>25000</v>
      </c>
      <c r="M161" s="102">
        <v>604</v>
      </c>
      <c r="N161" s="25">
        <f t="shared" si="85"/>
        <v>0.15708812260536398</v>
      </c>
      <c r="O161" s="104">
        <f>IF(ISNUMBER(M161), $B172 * N161, "")</f>
        <v>23563.218390804595</v>
      </c>
      <c r="Q161" s="205"/>
      <c r="R161" s="206"/>
      <c r="S161" s="207"/>
    </row>
    <row r="162" spans="1:19">
      <c r="A162" s="123" t="s">
        <v>235</v>
      </c>
      <c r="B162" s="124">
        <v>114</v>
      </c>
      <c r="C162" s="76">
        <v>-3.3898305099999998E-2</v>
      </c>
      <c r="D162" s="13">
        <v>110</v>
      </c>
      <c r="E162" s="14">
        <f>IF(ISNUMBER(D162), (D162 - $B162) / $B162, "")</f>
        <v>-3.5087719298245612E-2</v>
      </c>
      <c r="F162" s="16">
        <f>IF(ISNUMBER(D162), $B172 * E162, "")</f>
        <v>-5263.1578947368416</v>
      </c>
      <c r="G162" s="29">
        <v>111</v>
      </c>
      <c r="H162" s="14">
        <f>IF(ISNUMBER(G162), (G162 - $B162) / $B162, "")</f>
        <v>-2.6315789473684209E-2</v>
      </c>
      <c r="I162" s="100">
        <f>IF(ISNUMBER(G162), $B172 * H162, "")</f>
        <v>-3947.3684210526312</v>
      </c>
      <c r="J162" s="13">
        <v>113</v>
      </c>
      <c r="K162" s="14">
        <f>IF(ISNUMBER(J162), (J162 - $B162) / $B162, "")</f>
        <v>-8.771929824561403E-3</v>
      </c>
      <c r="L162" s="16">
        <f>IF(ISNUMBER(J162), $B172 * K162, "")</f>
        <v>-1315.7894736842104</v>
      </c>
      <c r="M162" s="29">
        <v>111</v>
      </c>
      <c r="N162" s="14">
        <f>IF(ISNUMBER(M162), (M162 - $B162) / $B162, "")</f>
        <v>-2.6315789473684209E-2</v>
      </c>
      <c r="O162" s="16">
        <f>IF(ISNUMBER(M162), $B172 * N162, "")</f>
        <v>-3947.3684210526312</v>
      </c>
      <c r="Q162" s="208"/>
      <c r="R162" s="209"/>
      <c r="S162" s="210"/>
    </row>
    <row r="163" spans="1:19" ht="17.25" thickBot="1">
      <c r="A163" s="125" t="s">
        <v>231</v>
      </c>
      <c r="B163" s="126">
        <v>392</v>
      </c>
      <c r="C163" s="77">
        <v>-3.4482758600000003E-2</v>
      </c>
      <c r="D163" s="15">
        <v>382</v>
      </c>
      <c r="E163" s="32">
        <f t="shared" ref="E163:E166" si="86">IF(ISNUMBER(D163), (D163 - $B163) / $B163, "")</f>
        <v>-2.5510204081632654E-2</v>
      </c>
      <c r="F163" s="18">
        <f>IF(ISNUMBER(D163), $B172 * E163, "")</f>
        <v>-3826.5306122448978</v>
      </c>
      <c r="G163" s="31">
        <v>390</v>
      </c>
      <c r="H163" s="32">
        <f t="shared" ref="H163:H166" si="87">IF(ISNUMBER(G163), (G163 - $B163) / $B163, "")</f>
        <v>-5.1020408163265302E-3</v>
      </c>
      <c r="I163" s="101">
        <f>IF(ISNUMBER(G163), $B172 * H163, "")</f>
        <v>-765.30612244897952</v>
      </c>
      <c r="J163" s="15">
        <v>395</v>
      </c>
      <c r="K163" s="32">
        <f t="shared" ref="K163:K166" si="88">IF(ISNUMBER(J163), (J163 - $B163) / $B163, "")</f>
        <v>7.6530612244897957E-3</v>
      </c>
      <c r="L163" s="18">
        <f>IF(ISNUMBER(J163), $B172 * K163, "")</f>
        <v>1147.9591836734694</v>
      </c>
      <c r="M163" s="31">
        <v>389</v>
      </c>
      <c r="N163" s="32">
        <f t="shared" ref="N163:N166" si="89">IF(ISNUMBER(M163), (M163 - $B163) / $B163, "")</f>
        <v>-7.6530612244897957E-3</v>
      </c>
      <c r="O163" s="18">
        <f>IF(ISNUMBER(M163), $B172 * N163, "")</f>
        <v>-1147.9591836734694</v>
      </c>
      <c r="Q163" s="211"/>
      <c r="R163" s="212"/>
      <c r="S163" s="213"/>
    </row>
    <row r="164" spans="1:19" ht="17.25" thickBot="1">
      <c r="A164" s="125" t="s">
        <v>201</v>
      </c>
      <c r="B164" s="126">
        <v>520</v>
      </c>
      <c r="C164" s="77">
        <v>-3.52504638E-2</v>
      </c>
      <c r="D164" s="15">
        <v>495</v>
      </c>
      <c r="E164" s="32">
        <f t="shared" si="86"/>
        <v>-4.807692307692308E-2</v>
      </c>
      <c r="F164" s="18">
        <f>IF(ISNUMBER(D164), $B172 * E164, "")</f>
        <v>-7211.5384615384619</v>
      </c>
      <c r="G164" s="31">
        <v>527</v>
      </c>
      <c r="H164" s="32">
        <f t="shared" si="87"/>
        <v>1.3461538461538462E-2</v>
      </c>
      <c r="I164" s="101">
        <f>IF(ISNUMBER(G164), $B172 * H164, "")</f>
        <v>2019.2307692307693</v>
      </c>
      <c r="J164" s="15">
        <v>514</v>
      </c>
      <c r="K164" s="32">
        <f t="shared" si="88"/>
        <v>-1.1538461538461539E-2</v>
      </c>
      <c r="L164" s="18">
        <f>IF(ISNUMBER(J164), $B172 * K164, "")</f>
        <v>-1730.7692307692309</v>
      </c>
      <c r="M164" s="31">
        <v>511</v>
      </c>
      <c r="N164" s="32">
        <f t="shared" si="89"/>
        <v>-1.7307692307692309E-2</v>
      </c>
      <c r="O164" s="18">
        <f>IF(ISNUMBER(M164), $B172 * N164, "")</f>
        <v>-2596.1538461538462</v>
      </c>
      <c r="Q164" s="196"/>
      <c r="R164" s="196"/>
      <c r="S164" s="196"/>
    </row>
    <row r="165" spans="1:19" ht="17.25" thickBot="1">
      <c r="A165" s="125" t="s">
        <v>120</v>
      </c>
      <c r="B165" s="126">
        <v>347</v>
      </c>
      <c r="C165" s="77">
        <v>-3.6111111100000003E-2</v>
      </c>
      <c r="D165" s="15">
        <v>330</v>
      </c>
      <c r="E165" s="32">
        <f t="shared" si="86"/>
        <v>-4.8991354466858789E-2</v>
      </c>
      <c r="F165" s="18">
        <f>IF(ISNUMBER(D165), $B172 * E165, "")</f>
        <v>-7348.703170028818</v>
      </c>
      <c r="G165" s="31">
        <v>342</v>
      </c>
      <c r="H165" s="32">
        <f t="shared" si="87"/>
        <v>-1.4409221902017291E-2</v>
      </c>
      <c r="I165" s="101">
        <f>IF(ISNUMBER(G165), $B172 * H165, "")</f>
        <v>-2161.3832853025938</v>
      </c>
      <c r="J165" s="15">
        <v>345</v>
      </c>
      <c r="K165" s="32">
        <f t="shared" si="88"/>
        <v>-5.763688760806916E-3</v>
      </c>
      <c r="L165" s="18">
        <f>IF(ISNUMBER(J165), $B172 * K165, "")</f>
        <v>-864.55331412103737</v>
      </c>
      <c r="M165" s="31">
        <v>347</v>
      </c>
      <c r="N165" s="32">
        <f t="shared" si="89"/>
        <v>0</v>
      </c>
      <c r="O165" s="18">
        <f>IF(ISNUMBER(M165), $B172 * N165, "")</f>
        <v>0</v>
      </c>
      <c r="Q165" s="191"/>
      <c r="R165" s="191"/>
      <c r="S165" s="191"/>
    </row>
    <row r="166" spans="1:19" ht="17.25" thickBot="1">
      <c r="A166" s="127" t="s">
        <v>134</v>
      </c>
      <c r="B166" s="128">
        <v>205</v>
      </c>
      <c r="C166" s="78">
        <v>-3.75586854E-2</v>
      </c>
      <c r="D166" s="20">
        <v>200</v>
      </c>
      <c r="E166" s="21">
        <f t="shared" si="86"/>
        <v>-2.4390243902439025E-2</v>
      </c>
      <c r="F166" s="22">
        <f>IF(ISNUMBER(D166), $B172 * E166, "")</f>
        <v>-3658.5365853658536</v>
      </c>
      <c r="G166" s="30">
        <v>200</v>
      </c>
      <c r="H166" s="21">
        <f t="shared" si="87"/>
        <v>-2.4390243902439025E-2</v>
      </c>
      <c r="I166" s="105">
        <f>IF(ISNUMBER(G166), $B172 * H166, "")</f>
        <v>-3658.5365853658536</v>
      </c>
      <c r="J166" s="20">
        <v>203</v>
      </c>
      <c r="K166" s="21">
        <f t="shared" si="88"/>
        <v>-9.7560975609756097E-3</v>
      </c>
      <c r="L166" s="22">
        <f>IF(ISNUMBER(J166), $B172 * K166, "")</f>
        <v>-1463.4146341463415</v>
      </c>
      <c r="M166" s="30">
        <v>198</v>
      </c>
      <c r="N166" s="21">
        <f t="shared" si="89"/>
        <v>-3.4146341463414637E-2</v>
      </c>
      <c r="O166" s="22">
        <f>IF(ISNUMBER(M166), $B172 * N166, "")</f>
        <v>-5121.9512195121952</v>
      </c>
      <c r="Q166" s="191"/>
      <c r="R166" s="191"/>
      <c r="S166" s="191"/>
    </row>
    <row r="167" spans="1:19" ht="17.25" thickBot="1">
      <c r="A167" s="125" t="s">
        <v>215</v>
      </c>
      <c r="B167" s="129">
        <v>139</v>
      </c>
      <c r="C167" s="80">
        <v>-4.13793103E-2</v>
      </c>
      <c r="D167" s="106">
        <v>136</v>
      </c>
      <c r="E167" s="107">
        <f>IF(ISNUMBER(D167), (D167 - $B167) / $B167, "")</f>
        <v>-2.1582733812949641E-2</v>
      </c>
      <c r="F167" s="108">
        <f>IF(ISNUMBER(D167), $B172 * E167, "")</f>
        <v>-3237.4100719424464</v>
      </c>
      <c r="G167" s="109">
        <v>138</v>
      </c>
      <c r="H167" s="107">
        <f>IF(ISNUMBER(G167), (G167 - $B167) / $B167, "")</f>
        <v>-7.1942446043165471E-3</v>
      </c>
      <c r="I167" s="110">
        <f>IF(ISNUMBER(G167), $B172 * H167, "")</f>
        <v>-1079.1366906474821</v>
      </c>
      <c r="J167" s="106">
        <v>139</v>
      </c>
      <c r="K167" s="107">
        <f>IF(ISNUMBER(J167), (J167 - $B167) / $B167, "")</f>
        <v>0</v>
      </c>
      <c r="L167" s="108">
        <f>IF(ISNUMBER(J167), $B172 * K167, "")</f>
        <v>0</v>
      </c>
      <c r="M167" s="109">
        <v>137</v>
      </c>
      <c r="N167" s="107">
        <f>IF(ISNUMBER(M167), (M167 - $B167) / $B167, "")</f>
        <v>-1.4388489208633094E-2</v>
      </c>
      <c r="O167" s="108">
        <f>IF(ISNUMBER(M167), $B172 * N167, "")</f>
        <v>-2158.2733812949641</v>
      </c>
      <c r="Q167" s="196"/>
      <c r="R167" s="196"/>
      <c r="S167" s="196"/>
    </row>
    <row r="168" spans="1:19" ht="17.25" thickBot="1">
      <c r="A168" s="125" t="s">
        <v>247</v>
      </c>
      <c r="B168" s="126">
        <v>744</v>
      </c>
      <c r="C168" s="77">
        <v>-4.6153846200000001E-2</v>
      </c>
      <c r="D168" s="15">
        <v>713</v>
      </c>
      <c r="E168" s="32">
        <f t="shared" ref="E168:E171" si="90">IF(ISNUMBER(D168), (D168 - $B168) / $B168, "")</f>
        <v>-4.1666666666666664E-2</v>
      </c>
      <c r="F168" s="18">
        <f>IF(ISNUMBER(D168), $B172 * E168, "")</f>
        <v>-6250</v>
      </c>
      <c r="G168" s="31">
        <v>722</v>
      </c>
      <c r="H168" s="32">
        <f t="shared" ref="H168:H171" si="91">IF(ISNUMBER(G168), (G168 - $B168) / $B168, "")</f>
        <v>-2.9569892473118281E-2</v>
      </c>
      <c r="I168" s="101">
        <f>IF(ISNUMBER(G168), $B172 * H168, "")</f>
        <v>-4435.4838709677424</v>
      </c>
      <c r="J168" s="15">
        <v>734</v>
      </c>
      <c r="K168" s="32">
        <f t="shared" ref="K168:K171" si="92">IF(ISNUMBER(J168), (J168 - $B168) / $B168, "")</f>
        <v>-1.3440860215053764E-2</v>
      </c>
      <c r="L168" s="18">
        <f>IF(ISNUMBER(J168), $B172 * K168, "")</f>
        <v>-2016.1290322580646</v>
      </c>
      <c r="M168" s="31">
        <v>720</v>
      </c>
      <c r="N168" s="32">
        <f t="shared" ref="N168:N171" si="93">IF(ISNUMBER(M168), (M168 - $B168) / $B168, "")</f>
        <v>-3.2258064516129031E-2</v>
      </c>
      <c r="O168" s="18">
        <f>IF(ISNUMBER(M168), $B172 * N168, "")</f>
        <v>-4838.7096774193551</v>
      </c>
      <c r="Q168" s="196"/>
      <c r="R168" s="196"/>
      <c r="S168" s="196"/>
    </row>
    <row r="169" spans="1:19" ht="17.25" thickBot="1">
      <c r="A169" s="125" t="s">
        <v>103</v>
      </c>
      <c r="B169" s="126">
        <v>660</v>
      </c>
      <c r="C169" s="77">
        <v>-5.4441260700000001E-2</v>
      </c>
      <c r="D169" s="15">
        <v>631</v>
      </c>
      <c r="E169" s="32">
        <f t="shared" si="90"/>
        <v>-4.3939393939393938E-2</v>
      </c>
      <c r="F169" s="18">
        <f>IF(ISNUMBER(D169), $B172 * E169, "")</f>
        <v>-6590.909090909091</v>
      </c>
      <c r="G169" s="31">
        <v>635</v>
      </c>
      <c r="H169" s="32">
        <f t="shared" si="91"/>
        <v>-3.787878787878788E-2</v>
      </c>
      <c r="I169" s="101">
        <f>IF(ISNUMBER(G169), $B172 * H169, "")</f>
        <v>-5681.818181818182</v>
      </c>
      <c r="J169" s="15">
        <v>640</v>
      </c>
      <c r="K169" s="32">
        <f t="shared" si="92"/>
        <v>-3.0303030303030304E-2</v>
      </c>
      <c r="L169" s="18">
        <f>IF(ISNUMBER(J169), $B172 * K169, "")</f>
        <v>-4545.454545454546</v>
      </c>
      <c r="M169" s="31">
        <v>630</v>
      </c>
      <c r="N169" s="32">
        <f t="shared" si="93"/>
        <v>-4.5454545454545456E-2</v>
      </c>
      <c r="O169" s="18">
        <f>IF(ISNUMBER(M169), $B172 * N169, "")</f>
        <v>-6818.181818181818</v>
      </c>
      <c r="Q169" s="196"/>
      <c r="R169" s="196"/>
      <c r="S169" s="196"/>
    </row>
    <row r="170" spans="1:19">
      <c r="A170" s="125" t="s">
        <v>327</v>
      </c>
      <c r="B170" s="126">
        <v>679</v>
      </c>
      <c r="C170" s="77">
        <v>-9.4666666699999999E-2</v>
      </c>
      <c r="D170" s="15">
        <v>619</v>
      </c>
      <c r="E170" s="32">
        <f t="shared" si="90"/>
        <v>-8.8365243004418267E-2</v>
      </c>
      <c r="F170" s="18">
        <f>IF(ISNUMBER(D170), $B172 * E170, "")</f>
        <v>-13254.786450662739</v>
      </c>
      <c r="G170" s="31">
        <v>633</v>
      </c>
      <c r="H170" s="32">
        <f t="shared" si="91"/>
        <v>-6.774668630338733E-2</v>
      </c>
      <c r="I170" s="101">
        <f>IF(ISNUMBER(G170), $B172 * H170, "")</f>
        <v>-10162.0029455081</v>
      </c>
      <c r="J170" s="15">
        <v>680</v>
      </c>
      <c r="K170" s="32">
        <f t="shared" si="92"/>
        <v>1.4727540500736377E-3</v>
      </c>
      <c r="L170" s="18">
        <f>IF(ISNUMBER(J170), $B172 * K170, "")</f>
        <v>220.91310751104564</v>
      </c>
      <c r="M170" s="31">
        <v>649</v>
      </c>
      <c r="N170" s="32">
        <f t="shared" si="93"/>
        <v>-4.4182621502209134E-2</v>
      </c>
      <c r="O170" s="18">
        <f>IF(ISNUMBER(M170), $B172 * N170, "")</f>
        <v>-6627.3932253313696</v>
      </c>
      <c r="Q170" s="218"/>
      <c r="R170" s="219"/>
      <c r="S170" s="220"/>
    </row>
    <row r="171" spans="1:19" ht="17.25" thickBot="1">
      <c r="A171" s="130" t="s">
        <v>348</v>
      </c>
      <c r="B171" s="131">
        <v>209</v>
      </c>
      <c r="C171" s="79">
        <v>-9.9137930999999999E-2</v>
      </c>
      <c r="D171" s="24">
        <v>189</v>
      </c>
      <c r="E171" s="25">
        <f t="shared" si="90"/>
        <v>-9.569377990430622E-2</v>
      </c>
      <c r="F171" s="104">
        <f>IF(ISNUMBER(D171), $B172 * E171, "")</f>
        <v>-14354.066985645934</v>
      </c>
      <c r="G171" s="102">
        <v>191</v>
      </c>
      <c r="H171" s="25">
        <f t="shared" si="91"/>
        <v>-8.6124401913875603E-2</v>
      </c>
      <c r="I171" s="103">
        <f>IF(ISNUMBER(G171), $B172 * H171, "")</f>
        <v>-12918.66028708134</v>
      </c>
      <c r="J171" s="24">
        <v>200</v>
      </c>
      <c r="K171" s="25">
        <f t="shared" si="92"/>
        <v>-4.3062200956937802E-2</v>
      </c>
      <c r="L171" s="104">
        <f>IF(ISNUMBER(J171), $B172 * K171, "")</f>
        <v>-6459.3301435406702</v>
      </c>
      <c r="M171" s="102">
        <v>195</v>
      </c>
      <c r="N171" s="25">
        <f t="shared" si="93"/>
        <v>-6.6985645933014357E-2</v>
      </c>
      <c r="O171" s="104">
        <f>IF(ISNUMBER(M171), $B172 * N171, "")</f>
        <v>-10047.846889952154</v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-3.9072380994989796E-2</v>
      </c>
      <c r="F172" s="28">
        <f>SUM(F152:F171)</f>
        <v>-117217.14298496937</v>
      </c>
      <c r="G172" s="26" t="s">
        <v>266</v>
      </c>
      <c r="H172" s="27">
        <f>IF(COUNT(H152:H171), SUM(H152:H171) / COUNT(H152:H171), 0)</f>
        <v>-7.4653618348531165E-3</v>
      </c>
      <c r="I172" s="28">
        <f>SUM(I152:I171)</f>
        <v>-22396.085504559356</v>
      </c>
      <c r="J172" s="26" t="s">
        <v>266</v>
      </c>
      <c r="K172" s="27">
        <f>IF(COUNT(K152:K171), SUM(K152:K171) / COUNT(K152:K171), 0)</f>
        <v>1.3312253498539018E-3</v>
      </c>
      <c r="L172" s="28">
        <f>SUM(L152:L171)</f>
        <v>3993.6760495617091</v>
      </c>
      <c r="M172" s="26" t="s">
        <v>266</v>
      </c>
      <c r="N172" s="27">
        <f>IF(COUNT(N152:N171), SUM(N152:N171) / COUNT(N152:N171), 0)</f>
        <v>-1.6117491921258938E-2</v>
      </c>
      <c r="O172" s="28">
        <f>SUM(O152:O171)</f>
        <v>-48352.47576377682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2022-03-04(금) 오전 00:00</v>
      </c>
      <c r="C177" s="234"/>
      <c r="D177" s="193" t="str">
        <f>TEXT($G$1, "[$-ko-KR]yyyy-mm-dd(ddd) ") &amp; "오후 14:00"</f>
        <v>2022-03-04(금) 오후 14:00</v>
      </c>
      <c r="E177" s="194"/>
      <c r="F177" s="195"/>
      <c r="G177" s="193" t="str">
        <f>TEXT($G$1, "[$-ko-KR]yyyy-mm-dd(ddd) ") &amp; "오후 19:00"</f>
        <v>2022-03-04(금) 오후 19:00</v>
      </c>
      <c r="H177" s="194"/>
      <c r="I177" s="195"/>
      <c r="J177" s="193" t="str">
        <f>TEXT($G$1, "[$-ko-KR]yyyy-mm-dd(ddd) ") &amp; "오후 21:00"</f>
        <v>2022-03-04(금) 오후 21:00</v>
      </c>
      <c r="K177" s="194"/>
      <c r="L177" s="195"/>
      <c r="M177" s="193" t="str">
        <f>TEXT($G$1+1, "[$-ko-KR]yyyy-mm-dd(ddd) ") &amp; "오전 00:00"</f>
        <v>2022-03-05(토)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346</v>
      </c>
      <c r="B179" s="124">
        <v>9.5299999999999994</v>
      </c>
      <c r="C179" s="76">
        <v>-3.5425101200000003E-2</v>
      </c>
      <c r="D179" s="13">
        <v>9.25</v>
      </c>
      <c r="E179" s="14">
        <f>IF(ISNUMBER(D179), (D179 - $B179) / $B179, "")</f>
        <v>-2.9380902413431203E-2</v>
      </c>
      <c r="F179" s="16">
        <f>IF(ISNUMBER(D179), $B199 * E179, "")</f>
        <v>-4407.1353620146801</v>
      </c>
      <c r="G179" s="29">
        <v>9.25</v>
      </c>
      <c r="H179" s="14">
        <f>IF(ISNUMBER(G179), (G179 - $B179) / $B179, "")</f>
        <v>-2.9380902413431203E-2</v>
      </c>
      <c r="I179" s="100">
        <f>IF(ISNUMBER(G179), $B199 * H179, "")</f>
        <v>-4407.1353620146801</v>
      </c>
      <c r="J179" s="13">
        <v>9.4</v>
      </c>
      <c r="K179" s="14">
        <f>IF(ISNUMBER(J179), (J179 - $B179) / $B179, "")</f>
        <v>-1.3641133263378701E-2</v>
      </c>
      <c r="L179" s="16">
        <f>IF(ISNUMBER(J179), $B199 * K179, "")</f>
        <v>-2046.169989506805</v>
      </c>
      <c r="M179" s="29">
        <v>9.26</v>
      </c>
      <c r="N179" s="14">
        <f>IF(ISNUMBER(M179), (M179 - $B179) / $B179, "")</f>
        <v>-2.8331584470094397E-2</v>
      </c>
      <c r="O179" s="16">
        <f>IF(ISNUMBER(M179), $B199 * N179, "")</f>
        <v>-4249.7376705141596</v>
      </c>
      <c r="Q179" s="191"/>
      <c r="R179" s="191"/>
      <c r="S179" s="191"/>
    </row>
    <row r="180" spans="1:19" ht="17.25" thickBot="1">
      <c r="A180" s="125" t="s">
        <v>120</v>
      </c>
      <c r="B180" s="126">
        <v>347</v>
      </c>
      <c r="C180" s="77">
        <v>-3.6111111100000003E-2</v>
      </c>
      <c r="D180" s="15">
        <v>330</v>
      </c>
      <c r="E180" s="32">
        <f t="shared" ref="E180:E183" si="94">IF(ISNUMBER(D180), (D180 - $B180) / $B180, "")</f>
        <v>-4.8991354466858789E-2</v>
      </c>
      <c r="F180" s="18">
        <f>IF(ISNUMBER(D180), $B199 * E180, "")</f>
        <v>-7348.703170028818</v>
      </c>
      <c r="G180" s="31">
        <v>342</v>
      </c>
      <c r="H180" s="32">
        <f t="shared" ref="H180:H183" si="95">IF(ISNUMBER(G180), (G180 - $B180) / $B180, "")</f>
        <v>-1.4409221902017291E-2</v>
      </c>
      <c r="I180" s="101">
        <f>IF(ISNUMBER(G180), $B199 * H180, "")</f>
        <v>-2161.3832853025938</v>
      </c>
      <c r="J180" s="15">
        <v>345</v>
      </c>
      <c r="K180" s="32">
        <f t="shared" ref="K180:K183" si="96">IF(ISNUMBER(J180), (J180 - $B180) / $B180, "")</f>
        <v>-5.763688760806916E-3</v>
      </c>
      <c r="L180" s="18">
        <f>IF(ISNUMBER(J180), $B199 * K180, "")</f>
        <v>-864.55331412103737</v>
      </c>
      <c r="M180" s="31">
        <v>347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191"/>
      <c r="R180" s="191"/>
      <c r="S180" s="191"/>
    </row>
    <row r="181" spans="1:19" ht="17.25" thickBot="1">
      <c r="A181" s="125" t="s">
        <v>168</v>
      </c>
      <c r="B181" s="126">
        <v>1865</v>
      </c>
      <c r="C181" s="77">
        <v>-3.6175710600000001E-2</v>
      </c>
      <c r="D181" s="15">
        <v>1790</v>
      </c>
      <c r="E181" s="32">
        <f t="shared" si="94"/>
        <v>-4.0214477211796246E-2</v>
      </c>
      <c r="F181" s="18">
        <f>IF(ISNUMBER(D181), $B199 * E181, "")</f>
        <v>-6032.1715817694367</v>
      </c>
      <c r="G181" s="31">
        <v>1825</v>
      </c>
      <c r="H181" s="32">
        <f t="shared" si="95"/>
        <v>-2.1447721179624665E-2</v>
      </c>
      <c r="I181" s="101">
        <f>IF(ISNUMBER(G181), $B199 * H181, "")</f>
        <v>-3217.1581769436998</v>
      </c>
      <c r="J181" s="15">
        <v>1840</v>
      </c>
      <c r="K181" s="32">
        <f t="shared" si="96"/>
        <v>-1.3404825737265416E-2</v>
      </c>
      <c r="L181" s="18">
        <f>IF(ISNUMBER(J181), $B199 * K181, "")</f>
        <v>-2010.7238605898124</v>
      </c>
      <c r="M181" s="31">
        <v>1800</v>
      </c>
      <c r="N181" s="32">
        <f t="shared" si="97"/>
        <v>-3.4852546916890083E-2</v>
      </c>
      <c r="O181" s="18">
        <f>IF(ISNUMBER(M181), $B199 * N181, "")</f>
        <v>-5227.8820375335126</v>
      </c>
      <c r="Q181" s="196"/>
      <c r="R181" s="196"/>
      <c r="S181" s="196"/>
    </row>
    <row r="182" spans="1:19" ht="17.25" thickBot="1">
      <c r="A182" s="125" t="s">
        <v>325</v>
      </c>
      <c r="B182" s="126">
        <v>117950</v>
      </c>
      <c r="C182" s="77">
        <v>-3.6356209200000003E-2</v>
      </c>
      <c r="D182" s="15">
        <v>112700</v>
      </c>
      <c r="E182" s="32">
        <f t="shared" si="94"/>
        <v>-4.4510385756676561E-2</v>
      </c>
      <c r="F182" s="18">
        <f>IF(ISNUMBER(D182), $B199 * E182, "")</f>
        <v>-6676.5578635014845</v>
      </c>
      <c r="G182" s="31">
        <v>113400</v>
      </c>
      <c r="H182" s="32">
        <f t="shared" si="95"/>
        <v>-3.857566765578635E-2</v>
      </c>
      <c r="I182" s="101">
        <f>IF(ISNUMBER(G182), $B199 * H182, "")</f>
        <v>-5786.3501483679529</v>
      </c>
      <c r="J182" s="15">
        <v>114350</v>
      </c>
      <c r="K182" s="32">
        <f t="shared" si="96"/>
        <v>-3.0521407376006782E-2</v>
      </c>
      <c r="L182" s="18">
        <f>IF(ISNUMBER(J182), $B199 * K182, "")</f>
        <v>-4578.2111064010169</v>
      </c>
      <c r="M182" s="31">
        <v>112750</v>
      </c>
      <c r="N182" s="32">
        <f t="shared" si="97"/>
        <v>-4.4086477320898688E-2</v>
      </c>
      <c r="O182" s="18">
        <f>IF(ISNUMBER(M182), $B199 * N182, "")</f>
        <v>-6612.9715981348036</v>
      </c>
      <c r="Q182" s="196"/>
      <c r="R182" s="196"/>
      <c r="S182" s="196"/>
    </row>
    <row r="183" spans="1:19" ht="17.25" thickBot="1">
      <c r="A183" s="127" t="s">
        <v>134</v>
      </c>
      <c r="B183" s="128">
        <v>205</v>
      </c>
      <c r="C183" s="78">
        <v>-3.75586854E-2</v>
      </c>
      <c r="D183" s="20">
        <v>200</v>
      </c>
      <c r="E183" s="21">
        <f t="shared" si="94"/>
        <v>-2.4390243902439025E-2</v>
      </c>
      <c r="F183" s="22">
        <f>IF(ISNUMBER(D183), $B199 * E183, "")</f>
        <v>-3658.5365853658536</v>
      </c>
      <c r="G183" s="30">
        <v>200</v>
      </c>
      <c r="H183" s="21">
        <f t="shared" si="95"/>
        <v>-2.4390243902439025E-2</v>
      </c>
      <c r="I183" s="105">
        <f>IF(ISNUMBER(G183), $B199 * H183, "")</f>
        <v>-3658.5365853658536</v>
      </c>
      <c r="J183" s="20">
        <v>203</v>
      </c>
      <c r="K183" s="21">
        <f t="shared" si="96"/>
        <v>-9.7560975609756097E-3</v>
      </c>
      <c r="L183" s="22">
        <f>IF(ISNUMBER(J183), $B199 * K183, "")</f>
        <v>-1463.4146341463415</v>
      </c>
      <c r="M183" s="30">
        <v>198</v>
      </c>
      <c r="N183" s="21">
        <f t="shared" si="97"/>
        <v>-3.4146341463414637E-2</v>
      </c>
      <c r="O183" s="22">
        <f>IF(ISNUMBER(M183), $B199 * N183, "")</f>
        <v>-5121.9512195121952</v>
      </c>
      <c r="Q183" s="196"/>
      <c r="R183" s="196"/>
      <c r="S183" s="196"/>
    </row>
    <row r="184" spans="1:19" ht="17.25" thickBot="1">
      <c r="A184" s="125" t="s">
        <v>156</v>
      </c>
      <c r="B184" s="129">
        <v>1265</v>
      </c>
      <c r="C184" s="80">
        <v>-3.8022813699999998E-2</v>
      </c>
      <c r="D184" s="106">
        <v>1235</v>
      </c>
      <c r="E184" s="107">
        <f>IF(ISNUMBER(D184), (D184 - $B184) / $B184, "")</f>
        <v>-2.3715415019762844E-2</v>
      </c>
      <c r="F184" s="108">
        <f>IF(ISNUMBER(D184), $B199 * E184, "")</f>
        <v>-3557.3122529644265</v>
      </c>
      <c r="G184" s="109">
        <v>1245</v>
      </c>
      <c r="H184" s="107">
        <f>IF(ISNUMBER(G184), (G184 - $B184) / $B184, "")</f>
        <v>-1.5810276679841896E-2</v>
      </c>
      <c r="I184" s="110">
        <f>IF(ISNUMBER(G184), $B199 * H184, "")</f>
        <v>-2371.5415019762845</v>
      </c>
      <c r="J184" s="106">
        <v>1265</v>
      </c>
      <c r="K184" s="107">
        <f>IF(ISNUMBER(J184), (J184 - $B184) / $B184, "")</f>
        <v>0</v>
      </c>
      <c r="L184" s="108">
        <f>IF(ISNUMBER(J184), $B199 * K184, "")</f>
        <v>0</v>
      </c>
      <c r="M184" s="109">
        <v>1220</v>
      </c>
      <c r="N184" s="107">
        <f>IF(ISNUMBER(M184), (M184 - $B184) / $B184, "")</f>
        <v>-3.5573122529644272E-2</v>
      </c>
      <c r="O184" s="108">
        <f>IF(ISNUMBER(M184), $B199 * N184, "")</f>
        <v>-5335.9683794466409</v>
      </c>
      <c r="Q184" s="196"/>
      <c r="R184" s="196"/>
      <c r="S184" s="196"/>
    </row>
    <row r="185" spans="1:19" ht="17.25" thickBot="1">
      <c r="A185" s="125" t="s">
        <v>182</v>
      </c>
      <c r="B185" s="126">
        <v>4730</v>
      </c>
      <c r="C185" s="77">
        <v>-3.86178862E-2</v>
      </c>
      <c r="D185" s="15">
        <v>4555</v>
      </c>
      <c r="E185" s="32">
        <f t="shared" ref="E185:E188" si="98">IF(ISNUMBER(D185), (D185 - $B185) / $B185, "")</f>
        <v>-3.699788583509514E-2</v>
      </c>
      <c r="F185" s="18">
        <f>IF(ISNUMBER(D185), $B199 * E185, "")</f>
        <v>-5549.6828752642714</v>
      </c>
      <c r="G185" s="31">
        <v>4625</v>
      </c>
      <c r="H185" s="32">
        <f t="shared" ref="H185:H188" si="99">IF(ISNUMBER(G185), (G185 - $B185) / $B185, "")</f>
        <v>-2.2198731501057084E-2</v>
      </c>
      <c r="I185" s="101">
        <f>IF(ISNUMBER(G185), $B199 * H185, "")</f>
        <v>-3329.8097251585627</v>
      </c>
      <c r="J185" s="15">
        <v>4660</v>
      </c>
      <c r="K185" s="32">
        <f t="shared" ref="K185:K188" si="100">IF(ISNUMBER(J185), (J185 - $B185) / $B185, "")</f>
        <v>-1.4799154334038054E-2</v>
      </c>
      <c r="L185" s="18">
        <f>IF(ISNUMBER(J185), $B199 * K185, "")</f>
        <v>-2219.8731501057082</v>
      </c>
      <c r="M185" s="31">
        <v>4545</v>
      </c>
      <c r="N185" s="32">
        <f t="shared" ref="N185:N188" si="101">IF(ISNUMBER(M185), (M185 - $B185) / $B185, "")</f>
        <v>-3.9112050739957716E-2</v>
      </c>
      <c r="O185" s="18">
        <f>IF(ISNUMBER(M185), $B199 * N185, "")</f>
        <v>-5866.8076109936574</v>
      </c>
      <c r="Q185" s="196"/>
      <c r="R185" s="196"/>
      <c r="S185" s="196"/>
    </row>
    <row r="186" spans="1:19" ht="17.25" thickBot="1">
      <c r="A186" s="125" t="s">
        <v>116</v>
      </c>
      <c r="B186" s="126">
        <v>3180</v>
      </c>
      <c r="C186" s="77">
        <v>-3.9274924500000002E-2</v>
      </c>
      <c r="D186" s="15">
        <v>3105</v>
      </c>
      <c r="E186" s="32">
        <f t="shared" si="98"/>
        <v>-2.358490566037736E-2</v>
      </c>
      <c r="F186" s="18">
        <f>IF(ISNUMBER(D186), $B199 * E186, "")</f>
        <v>-3537.7358490566039</v>
      </c>
      <c r="G186" s="31">
        <v>3135</v>
      </c>
      <c r="H186" s="32">
        <f t="shared" si="99"/>
        <v>-1.4150943396226415E-2</v>
      </c>
      <c r="I186" s="101">
        <f>IF(ISNUMBER(G186), $B199 * H186, "")</f>
        <v>-2122.6415094339623</v>
      </c>
      <c r="J186" s="15">
        <v>3175</v>
      </c>
      <c r="K186" s="32">
        <f t="shared" si="100"/>
        <v>-1.5723270440251573E-3</v>
      </c>
      <c r="L186" s="18">
        <f>IF(ISNUMBER(J186), $B199 * K186, "")</f>
        <v>-235.84905660377359</v>
      </c>
      <c r="M186" s="31">
        <v>3145</v>
      </c>
      <c r="N186" s="32">
        <f t="shared" si="101"/>
        <v>-1.10062893081761E-2</v>
      </c>
      <c r="O186" s="18">
        <f>IF(ISNUMBER(M186), $B199 * N186, "")</f>
        <v>-1650.943396226415</v>
      </c>
      <c r="Q186" s="196"/>
      <c r="R186" s="196"/>
      <c r="S186" s="196"/>
    </row>
    <row r="187" spans="1:19" ht="17.25" thickBot="1">
      <c r="A187" s="125" t="s">
        <v>215</v>
      </c>
      <c r="B187" s="126">
        <v>139</v>
      </c>
      <c r="C187" s="77">
        <v>-4.13793103E-2</v>
      </c>
      <c r="D187" s="15">
        <v>136</v>
      </c>
      <c r="E187" s="32">
        <f t="shared" si="98"/>
        <v>-2.1582733812949641E-2</v>
      </c>
      <c r="F187" s="18">
        <f>IF(ISNUMBER(D187), $B199 * E187, "")</f>
        <v>-3237.4100719424464</v>
      </c>
      <c r="G187" s="31">
        <v>138</v>
      </c>
      <c r="H187" s="32">
        <f t="shared" si="99"/>
        <v>-7.1942446043165471E-3</v>
      </c>
      <c r="I187" s="101">
        <f>IF(ISNUMBER(G187), $B199 * H187, "")</f>
        <v>-1079.1366906474821</v>
      </c>
      <c r="J187" s="15">
        <v>139</v>
      </c>
      <c r="K187" s="32">
        <f t="shared" si="100"/>
        <v>0</v>
      </c>
      <c r="L187" s="18">
        <f>IF(ISNUMBER(J187), $B199 * K187, "")</f>
        <v>0</v>
      </c>
      <c r="M187" s="31">
        <v>137</v>
      </c>
      <c r="N187" s="32">
        <f t="shared" si="101"/>
        <v>-1.4388489208633094E-2</v>
      </c>
      <c r="O187" s="18">
        <f>IF(ISNUMBER(M187), $B199 * N187, "")</f>
        <v>-2158.2733812949641</v>
      </c>
      <c r="Q187" s="33"/>
      <c r="R187" s="33"/>
    </row>
    <row r="188" spans="1:19" ht="17.25" thickBot="1">
      <c r="A188" s="130" t="s">
        <v>97</v>
      </c>
      <c r="B188" s="131">
        <v>2.3E-3</v>
      </c>
      <c r="C188" s="79">
        <v>-4.16666667E-2</v>
      </c>
      <c r="D188" s="24">
        <v>2.3999999999999998E-3</v>
      </c>
      <c r="E188" s="25">
        <f t="shared" si="98"/>
        <v>4.3478260869565147E-2</v>
      </c>
      <c r="F188" s="104">
        <f>IF(ISNUMBER(D188), $B199 * E188, "")</f>
        <v>6521.7391304347721</v>
      </c>
      <c r="G188" s="102">
        <v>2.3999999999999998E-3</v>
      </c>
      <c r="H188" s="25">
        <f t="shared" si="99"/>
        <v>4.3478260869565147E-2</v>
      </c>
      <c r="I188" s="103">
        <f>IF(ISNUMBER(G188), $B199 * H188, "")</f>
        <v>6521.7391304347721</v>
      </c>
      <c r="J188" s="24">
        <v>2.3999999999999998E-3</v>
      </c>
      <c r="K188" s="25">
        <f t="shared" si="100"/>
        <v>4.3478260869565147E-2</v>
      </c>
      <c r="L188" s="104">
        <f>IF(ISNUMBER(J188), $B199 * K188, "")</f>
        <v>6521.7391304347721</v>
      </c>
      <c r="M188" s="102">
        <v>2.3E-3</v>
      </c>
      <c r="N188" s="25">
        <f t="shared" si="101"/>
        <v>0</v>
      </c>
      <c r="O188" s="104">
        <f>IF(ISNUMBER(M188), $B199 * N188, "")</f>
        <v>0</v>
      </c>
      <c r="Q188" s="205"/>
      <c r="R188" s="206"/>
      <c r="S188" s="207"/>
    </row>
    <row r="189" spans="1:19">
      <c r="A189" s="123" t="s">
        <v>166</v>
      </c>
      <c r="B189" s="124">
        <v>17990</v>
      </c>
      <c r="C189" s="76">
        <v>-4.25758382E-2</v>
      </c>
      <c r="D189" s="13">
        <v>17400</v>
      </c>
      <c r="E189" s="14">
        <f>IF(ISNUMBER(D189), (D189 - $B189) / $B189, "")</f>
        <v>-3.2795997776542525E-2</v>
      </c>
      <c r="F189" s="16">
        <f>IF(ISNUMBER(D189), $B199 * E189, "")</f>
        <v>-4919.3996664813785</v>
      </c>
      <c r="G189" s="29">
        <v>17510</v>
      </c>
      <c r="H189" s="14">
        <f>IF(ISNUMBER(G189), (G189 - $B189) / $B189, "")</f>
        <v>-2.6681489716509171E-2</v>
      </c>
      <c r="I189" s="100">
        <f>IF(ISNUMBER(G189), $B199 * H189, "")</f>
        <v>-4002.2234574763756</v>
      </c>
      <c r="J189" s="13">
        <v>17700</v>
      </c>
      <c r="K189" s="14">
        <f>IF(ISNUMBER(J189), (J189 - $B189) / $B189, "")</f>
        <v>-1.6120066703724293E-2</v>
      </c>
      <c r="L189" s="16">
        <f>IF(ISNUMBER(J189), $B199 * K189, "")</f>
        <v>-2418.010005558644</v>
      </c>
      <c r="M189" s="29">
        <v>17390</v>
      </c>
      <c r="N189" s="14">
        <f>IF(ISNUMBER(M189), (M189 - $B189) / $B189, "")</f>
        <v>-3.3351862145636464E-2</v>
      </c>
      <c r="O189" s="16">
        <f>IF(ISNUMBER(M189), $B199 * N189, "")</f>
        <v>-5002.7793218454699</v>
      </c>
      <c r="Q189" s="208"/>
      <c r="R189" s="209"/>
      <c r="S189" s="210"/>
    </row>
    <row r="190" spans="1:19" ht="17.25" thickBot="1">
      <c r="A190" s="125" t="s">
        <v>193</v>
      </c>
      <c r="B190" s="126">
        <v>7465</v>
      </c>
      <c r="C190" s="77">
        <v>-4.2948717900000002E-2</v>
      </c>
      <c r="D190" s="15">
        <v>7130</v>
      </c>
      <c r="E190" s="32">
        <f t="shared" ref="E190:E193" si="102">IF(ISNUMBER(D190), (D190 - $B190) / $B190, "")</f>
        <v>-4.4876088412592094E-2</v>
      </c>
      <c r="F190" s="18">
        <f>IF(ISNUMBER(D190), $B199 * E190, "")</f>
        <v>-6731.4132618888143</v>
      </c>
      <c r="G190" s="31">
        <v>7350</v>
      </c>
      <c r="H190" s="32">
        <f t="shared" ref="H190:H193" si="103">IF(ISNUMBER(G190), (G190 - $B190) / $B190, "")</f>
        <v>-1.5405224380442064E-2</v>
      </c>
      <c r="I190" s="101">
        <f>IF(ISNUMBER(G190), $B199 * H190, "")</f>
        <v>-2310.7836570663094</v>
      </c>
      <c r="J190" s="15">
        <v>7480</v>
      </c>
      <c r="K190" s="32">
        <f t="shared" ref="K190:K193" si="104">IF(ISNUMBER(J190), (J190 - $B190) / $B190, "")</f>
        <v>2.0093770931011385E-3</v>
      </c>
      <c r="L190" s="18">
        <f>IF(ISNUMBER(J190), $B199 * K190, "")</f>
        <v>301.40656396517079</v>
      </c>
      <c r="M190" s="31">
        <v>7385</v>
      </c>
      <c r="N190" s="32">
        <f t="shared" ref="N190:N193" si="105">IF(ISNUMBER(M190), (M190 - $B190) / $B190, "")</f>
        <v>-1.0716677829872739E-2</v>
      </c>
      <c r="O190" s="18">
        <f>IF(ISNUMBER(M190), $B199 * N190, "")</f>
        <v>-1607.5016744809109</v>
      </c>
      <c r="Q190" s="211"/>
      <c r="R190" s="212"/>
      <c r="S190" s="213"/>
    </row>
    <row r="191" spans="1:19" ht="17.25" thickBot="1">
      <c r="A191" s="125" t="s">
        <v>71</v>
      </c>
      <c r="B191" s="126">
        <v>19.899999999999999</v>
      </c>
      <c r="C191" s="77">
        <v>-4.3269230800000003E-2</v>
      </c>
      <c r="D191" s="15">
        <v>18.899999999999999</v>
      </c>
      <c r="E191" s="32">
        <f t="shared" si="102"/>
        <v>-5.0251256281407038E-2</v>
      </c>
      <c r="F191" s="18">
        <f>IF(ISNUMBER(D191), $B199 * E191, "")</f>
        <v>-7537.6884422110561</v>
      </c>
      <c r="G191" s="31">
        <v>19</v>
      </c>
      <c r="H191" s="32">
        <f t="shared" si="103"/>
        <v>-4.5226130653266264E-2</v>
      </c>
      <c r="I191" s="101">
        <f>IF(ISNUMBER(G191), $B199 * H191, "")</f>
        <v>-6783.9195979899396</v>
      </c>
      <c r="J191" s="15">
        <v>19.2</v>
      </c>
      <c r="K191" s="32">
        <f t="shared" si="104"/>
        <v>-3.517587939698489E-2</v>
      </c>
      <c r="L191" s="18">
        <f>IF(ISNUMBER(J191), $B199 * K191, "")</f>
        <v>-5276.3819095477338</v>
      </c>
      <c r="M191" s="31">
        <v>19.3</v>
      </c>
      <c r="N191" s="32">
        <f t="shared" si="105"/>
        <v>-3.0150753768844116E-2</v>
      </c>
      <c r="O191" s="18">
        <f>IF(ISNUMBER(M191), $B199 * N191, "")</f>
        <v>-4522.6130653266173</v>
      </c>
      <c r="Q191" s="196"/>
      <c r="R191" s="196"/>
      <c r="S191" s="196"/>
    </row>
    <row r="192" spans="1:19" ht="17.25" thickBot="1">
      <c r="A192" s="125" t="s">
        <v>333</v>
      </c>
      <c r="B192" s="126">
        <v>160450</v>
      </c>
      <c r="C192" s="77">
        <v>-4.3517138599999998E-2</v>
      </c>
      <c r="D192" s="15">
        <v>159050</v>
      </c>
      <c r="E192" s="32">
        <f t="shared" si="102"/>
        <v>-8.7254596447491426E-3</v>
      </c>
      <c r="F192" s="18">
        <f>IF(ISNUMBER(D192), $B199 * E192, "")</f>
        <v>-1308.8189467123714</v>
      </c>
      <c r="G192" s="31">
        <v>160300</v>
      </c>
      <c r="H192" s="32">
        <f t="shared" si="103"/>
        <v>-9.348706762231225E-4</v>
      </c>
      <c r="I192" s="101">
        <f>IF(ISNUMBER(G192), $B199 * H192, "")</f>
        <v>-140.23060143346837</v>
      </c>
      <c r="J192" s="15">
        <v>160800</v>
      </c>
      <c r="K192" s="32">
        <f t="shared" si="104"/>
        <v>2.1813649111872857E-3</v>
      </c>
      <c r="L192" s="18">
        <f>IF(ISNUMBER(J192), $B199 * K192, "")</f>
        <v>327.20473667809284</v>
      </c>
      <c r="M192" s="31">
        <v>157500</v>
      </c>
      <c r="N192" s="32">
        <f t="shared" si="105"/>
        <v>-1.8385789965721409E-2</v>
      </c>
      <c r="O192" s="18">
        <f>IF(ISNUMBER(M192), $B199 * N192, "")</f>
        <v>-2757.8684948582113</v>
      </c>
      <c r="Q192" s="191"/>
      <c r="R192" s="191"/>
      <c r="S192" s="191"/>
    </row>
    <row r="193" spans="1:19" ht="17.25" thickBot="1">
      <c r="A193" s="127" t="s">
        <v>247</v>
      </c>
      <c r="B193" s="128">
        <v>744</v>
      </c>
      <c r="C193" s="78">
        <v>-4.6153846200000001E-2</v>
      </c>
      <c r="D193" s="20">
        <v>713</v>
      </c>
      <c r="E193" s="21">
        <f t="shared" si="102"/>
        <v>-4.1666666666666664E-2</v>
      </c>
      <c r="F193" s="22">
        <f>IF(ISNUMBER(D193), $B199 * E193, "")</f>
        <v>-6250</v>
      </c>
      <c r="G193" s="30">
        <v>722</v>
      </c>
      <c r="H193" s="21">
        <f t="shared" si="103"/>
        <v>-2.9569892473118281E-2</v>
      </c>
      <c r="I193" s="105">
        <f>IF(ISNUMBER(G193), $B199 * H193, "")</f>
        <v>-4435.4838709677424</v>
      </c>
      <c r="J193" s="20">
        <v>734</v>
      </c>
      <c r="K193" s="21">
        <f t="shared" si="104"/>
        <v>-1.3440860215053764E-2</v>
      </c>
      <c r="L193" s="22">
        <f>IF(ISNUMBER(J193), $B199 * K193, "")</f>
        <v>-2016.1290322580646</v>
      </c>
      <c r="M193" s="30">
        <v>720</v>
      </c>
      <c r="N193" s="21">
        <f t="shared" si="105"/>
        <v>-3.2258064516129031E-2</v>
      </c>
      <c r="O193" s="22">
        <f>IF(ISNUMBER(M193), $B199 * N193, "")</f>
        <v>-4838.7096774193551</v>
      </c>
      <c r="Q193" s="191"/>
      <c r="R193" s="191"/>
      <c r="S193" s="191"/>
    </row>
    <row r="194" spans="1:19" ht="17.25" thickBot="1">
      <c r="A194" s="125" t="s">
        <v>329</v>
      </c>
      <c r="B194" s="129">
        <v>96330</v>
      </c>
      <c r="C194" s="80">
        <v>-4.9062191499999998E-2</v>
      </c>
      <c r="D194" s="106">
        <v>95330</v>
      </c>
      <c r="E194" s="107">
        <f>IF(ISNUMBER(D194), (D194 - $B194) / $B194, "")</f>
        <v>-1.0380982040901069E-2</v>
      </c>
      <c r="F194" s="108">
        <f>IF(ISNUMBER(D194), $B199 * E194, "")</f>
        <v>-1557.1473061351603</v>
      </c>
      <c r="G194" s="109">
        <v>97250</v>
      </c>
      <c r="H194" s="107">
        <f>IF(ISNUMBER(G194), (G194 - $B194) / $B194, "")</f>
        <v>9.5505034776289834E-3</v>
      </c>
      <c r="I194" s="110">
        <f>IF(ISNUMBER(G194), $B199 * H194, "")</f>
        <v>1432.5755216443474</v>
      </c>
      <c r="J194" s="106">
        <v>99840</v>
      </c>
      <c r="K194" s="107">
        <f>IF(ISNUMBER(J194), (J194 - $B194) / $B194, "")</f>
        <v>3.643724696356275E-2</v>
      </c>
      <c r="L194" s="108">
        <f>IF(ISNUMBER(J194), $B199 * K194, "")</f>
        <v>5465.5870445344126</v>
      </c>
      <c r="M194" s="109">
        <v>98070</v>
      </c>
      <c r="N194" s="107">
        <f>IF(ISNUMBER(M194), (M194 - $B194) / $B194, "")</f>
        <v>1.806290875116786E-2</v>
      </c>
      <c r="O194" s="108">
        <f>IF(ISNUMBER(M194), $B199 * N194, "")</f>
        <v>2709.4363126751791</v>
      </c>
      <c r="Q194" s="196"/>
      <c r="R194" s="196"/>
      <c r="S194" s="196"/>
    </row>
    <row r="195" spans="1:19" ht="17.25" thickBot="1">
      <c r="A195" s="125" t="s">
        <v>209</v>
      </c>
      <c r="B195" s="126">
        <v>1105</v>
      </c>
      <c r="C195" s="77">
        <v>-5.1502145899999997E-2</v>
      </c>
      <c r="D195" s="15">
        <v>1050</v>
      </c>
      <c r="E195" s="32">
        <f t="shared" ref="E195:E198" si="106">IF(ISNUMBER(D195), (D195 - $B195) / $B195, "")</f>
        <v>-4.9773755656108594E-2</v>
      </c>
      <c r="F195" s="18">
        <f>IF(ISNUMBER(D195), $B199 * E195, "")</f>
        <v>-7466.063348416289</v>
      </c>
      <c r="G195" s="31">
        <v>1065</v>
      </c>
      <c r="H195" s="32">
        <f t="shared" ref="H195:H198" si="107">IF(ISNUMBER(G195), (G195 - $B195) / $B195, "")</f>
        <v>-3.6199095022624438E-2</v>
      </c>
      <c r="I195" s="101">
        <f>IF(ISNUMBER(G195), $B199 * H195, "")</f>
        <v>-5429.8642533936654</v>
      </c>
      <c r="J195" s="15">
        <v>1080</v>
      </c>
      <c r="K195" s="32">
        <f t="shared" ref="K195:K198" si="108">IF(ISNUMBER(J195), (J195 - $B195) / $B195, "")</f>
        <v>-2.2624434389140271E-2</v>
      </c>
      <c r="L195" s="18">
        <f>IF(ISNUMBER(J195), $B199 * K195, "")</f>
        <v>-3393.6651583710404</v>
      </c>
      <c r="M195" s="31">
        <v>1040</v>
      </c>
      <c r="N195" s="32">
        <f t="shared" ref="N195:N198" si="109">IF(ISNUMBER(M195), (M195 - $B195) / $B195, "")</f>
        <v>-5.8823529411764705E-2</v>
      </c>
      <c r="O195" s="18">
        <f>IF(ISNUMBER(M195), $B199 * N195, "")</f>
        <v>-8823.5294117647063</v>
      </c>
      <c r="Q195" s="196"/>
      <c r="R195" s="196"/>
      <c r="S195" s="196"/>
    </row>
    <row r="196" spans="1:19" ht="17.25" thickBot="1">
      <c r="A196" s="125" t="s">
        <v>103</v>
      </c>
      <c r="B196" s="126">
        <v>660</v>
      </c>
      <c r="C196" s="77">
        <v>-5.4441260700000001E-2</v>
      </c>
      <c r="D196" s="15">
        <v>631</v>
      </c>
      <c r="E196" s="32">
        <f t="shared" si="106"/>
        <v>-4.3939393939393938E-2</v>
      </c>
      <c r="F196" s="18">
        <f>IF(ISNUMBER(D196), $B199 * E196, "")</f>
        <v>-6590.909090909091</v>
      </c>
      <c r="G196" s="31">
        <v>635</v>
      </c>
      <c r="H196" s="32">
        <f t="shared" si="107"/>
        <v>-3.787878787878788E-2</v>
      </c>
      <c r="I196" s="101">
        <f>IF(ISNUMBER(G196), $B199 * H196, "")</f>
        <v>-5681.818181818182</v>
      </c>
      <c r="J196" s="15">
        <v>640</v>
      </c>
      <c r="K196" s="32">
        <f t="shared" si="108"/>
        <v>-3.0303030303030304E-2</v>
      </c>
      <c r="L196" s="18">
        <f>IF(ISNUMBER(J196), $B199 * K196, "")</f>
        <v>-4545.454545454546</v>
      </c>
      <c r="M196" s="31">
        <v>630</v>
      </c>
      <c r="N196" s="32">
        <f t="shared" si="109"/>
        <v>-4.5454545454545456E-2</v>
      </c>
      <c r="O196" s="18">
        <f>IF(ISNUMBER(M196), $B199 * N196, "")</f>
        <v>-6818.181818181818</v>
      </c>
      <c r="Q196" s="196"/>
      <c r="R196" s="196"/>
      <c r="S196" s="196"/>
    </row>
    <row r="197" spans="1:19">
      <c r="A197" s="125" t="s">
        <v>327</v>
      </c>
      <c r="B197" s="126">
        <v>679</v>
      </c>
      <c r="C197" s="77">
        <v>-9.4666666699999999E-2</v>
      </c>
      <c r="D197" s="15">
        <v>619</v>
      </c>
      <c r="E197" s="32">
        <f t="shared" si="106"/>
        <v>-8.8365243004418267E-2</v>
      </c>
      <c r="F197" s="18">
        <f>IF(ISNUMBER(D197), $B199 * E197, "")</f>
        <v>-13254.786450662739</v>
      </c>
      <c r="G197" s="31">
        <v>633</v>
      </c>
      <c r="H197" s="32">
        <f t="shared" si="107"/>
        <v>-6.774668630338733E-2</v>
      </c>
      <c r="I197" s="101">
        <f>IF(ISNUMBER(G197), $B199 * H197, "")</f>
        <v>-10162.0029455081</v>
      </c>
      <c r="J197" s="15">
        <v>680</v>
      </c>
      <c r="K197" s="32">
        <f t="shared" si="108"/>
        <v>1.4727540500736377E-3</v>
      </c>
      <c r="L197" s="18">
        <f>IF(ISNUMBER(J197), $B199 * K197, "")</f>
        <v>220.91310751104564</v>
      </c>
      <c r="M197" s="31">
        <v>649</v>
      </c>
      <c r="N197" s="32">
        <f t="shared" si="109"/>
        <v>-4.4182621502209134E-2</v>
      </c>
      <c r="O197" s="18">
        <f>IF(ISNUMBER(M197), $B199 * N197, "")</f>
        <v>-6627.3932253313696</v>
      </c>
      <c r="Q197" s="218"/>
      <c r="R197" s="219"/>
      <c r="S197" s="220"/>
    </row>
    <row r="198" spans="1:19" ht="17.25" thickBot="1">
      <c r="A198" s="130" t="s">
        <v>348</v>
      </c>
      <c r="B198" s="131">
        <v>209</v>
      </c>
      <c r="C198" s="79">
        <v>-9.9137930999999999E-2</v>
      </c>
      <c r="D198" s="24">
        <v>189</v>
      </c>
      <c r="E198" s="25">
        <f t="shared" si="106"/>
        <v>-9.569377990430622E-2</v>
      </c>
      <c r="F198" s="104">
        <f>IF(ISNUMBER(D198), $B199 * E198, "")</f>
        <v>-14354.066985645934</v>
      </c>
      <c r="G198" s="102">
        <v>191</v>
      </c>
      <c r="H198" s="25">
        <f t="shared" si="107"/>
        <v>-8.6124401913875603E-2</v>
      </c>
      <c r="I198" s="103">
        <f>IF(ISNUMBER(G198), $B199 * H198, "")</f>
        <v>-12918.66028708134</v>
      </c>
      <c r="J198" s="24">
        <v>200</v>
      </c>
      <c r="K198" s="25">
        <f t="shared" si="108"/>
        <v>-4.3062200956937802E-2</v>
      </c>
      <c r="L198" s="104">
        <f>IF(ISNUMBER(J198), $B199 * K198, "")</f>
        <v>-6459.3301435406702</v>
      </c>
      <c r="M198" s="102">
        <v>195</v>
      </c>
      <c r="N198" s="25">
        <f t="shared" si="109"/>
        <v>-6.6985645933014357E-2</v>
      </c>
      <c r="O198" s="104">
        <f>IF(ISNUMBER(M198), $B199 * N198, "")</f>
        <v>-10047.846889952154</v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-3.5817933326845366E-2</v>
      </c>
      <c r="F199" s="28">
        <f>SUM(F179:F198)</f>
        <v>-107453.79998053606</v>
      </c>
      <c r="G199" s="26" t="s">
        <v>266</v>
      </c>
      <c r="H199" s="27">
        <f>IF(COUNT(H179:H198), SUM(H179:H198) / COUNT(H179:H198), 0)</f>
        <v>-2.4014788395289026E-2</v>
      </c>
      <c r="I199" s="28">
        <f>SUM(I179:I198)</f>
        <v>-72044.365185867078</v>
      </c>
      <c r="J199" s="26" t="s">
        <v>266</v>
      </c>
      <c r="K199" s="27">
        <f>IF(COUNT(K179:K198), SUM(K179:K198) / COUNT(K179:K198), 0)</f>
        <v>-8.2303051076938992E-3</v>
      </c>
      <c r="L199" s="28">
        <f>SUM(L179:L198)</f>
        <v>-24690.915323081703</v>
      </c>
      <c r="M199" s="26" t="s">
        <v>266</v>
      </c>
      <c r="N199" s="27">
        <f>IF(COUNT(N179:N198), SUM(N179:N198) / COUNT(N179:N198), 0)</f>
        <v>-2.8187174186713931E-2</v>
      </c>
      <c r="O199" s="28">
        <f>SUM(O179:O198)</f>
        <v>-84561.522560141777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875100-7802-44CF-8E4F-8B477250B875}">
  <sheetPr codeName="Sheet11"/>
  <dimension ref="A1:S199"/>
  <sheetViews>
    <sheetView topLeftCell="A21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44625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-99,477 KRW (-3.32%)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-13,770 KRW (-0.46%)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-47,411 KRW (-1.58%)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-68,748 KRW (-2.29%)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2022-03-05(토) 오전 00:00</v>
      </c>
      <c r="C15" s="237"/>
      <c r="D15" s="193" t="str">
        <f>TEXT($G$1, "[$-ko-KR]yyyy-mm-dd(ddd) ") &amp; "오후 14:00"</f>
        <v>2022-03-05(토) 오후 14:00</v>
      </c>
      <c r="E15" s="194"/>
      <c r="F15" s="195"/>
      <c r="G15" s="193" t="str">
        <f>TEXT($G$1, "[$-ko-KR]yyyy-mm-dd(ddd) ") &amp; "오후 19:00"</f>
        <v>2022-03-05(토) 오후 19:00</v>
      </c>
      <c r="H15" s="194"/>
      <c r="I15" s="195"/>
      <c r="J15" s="193" t="str">
        <f>TEXT($G$1, "[$-ko-KR]yyyy-mm-dd(ddd) ") &amp; "오후 21:00"</f>
        <v>2022-03-05(토) 오후 21:00</v>
      </c>
      <c r="K15" s="194"/>
      <c r="L15" s="195"/>
      <c r="M15" s="193" t="str">
        <f>TEXT($G$1+1, "[$-ko-KR]yyyy-mm-dd(ddd) ") &amp; "오전 00:00"</f>
        <v>2022-03-06(일)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2022-03-05(토) 오전 00:00</v>
      </c>
      <c r="C42" s="234"/>
      <c r="D42" s="193" t="str">
        <f>TEXT($G$1, "[$-ko-KR]yyyy-mm-dd(ddd) ") &amp; "오후 14:00"</f>
        <v>2022-03-05(토) 오후 14:00</v>
      </c>
      <c r="E42" s="194"/>
      <c r="F42" s="195"/>
      <c r="G42" s="193" t="str">
        <f>TEXT($G$1, "[$-ko-KR]yyyy-mm-dd(ddd) ") &amp; "오후 19:00"</f>
        <v>2022-03-05(토) 오후 19:00</v>
      </c>
      <c r="H42" s="194"/>
      <c r="I42" s="195"/>
      <c r="J42" s="193" t="str">
        <f>TEXT($G$1, "[$-ko-KR]yyyy-mm-dd(ddd) ") &amp; "오후 21:00"</f>
        <v>2022-03-05(토) 오후 21:00</v>
      </c>
      <c r="K42" s="194"/>
      <c r="L42" s="195"/>
      <c r="M42" s="193" t="str">
        <f>TEXT($G$1+1, "[$-ko-KR]yyyy-mm-dd(ddd) ") &amp; "오전 00:00"</f>
        <v>2022-03-06(일)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158</v>
      </c>
      <c r="B44" s="124">
        <v>68</v>
      </c>
      <c r="C44" s="76">
        <v>0</v>
      </c>
      <c r="D44" s="13">
        <v>66.099999999999994</v>
      </c>
      <c r="E44" s="14">
        <f>IF(ISNUMBER(D44), (D44 - $B44) / $B44, "")</f>
        <v>-2.794117647058832E-2</v>
      </c>
      <c r="F44" s="16">
        <f>IF(ISNUMBER(D44), $B64 * E44, "")</f>
        <v>-4191.1764705882479</v>
      </c>
      <c r="G44" s="29">
        <v>67.400000000000006</v>
      </c>
      <c r="H44" s="14">
        <f>IF(ISNUMBER(G44), (G44 - $B44) / $B44, "")</f>
        <v>-8.8235294117646225E-3</v>
      </c>
      <c r="I44" s="100">
        <f>IF(ISNUMBER(G44), $B64 * H44, "")</f>
        <v>-1323.5294117646934</v>
      </c>
      <c r="J44" s="13">
        <v>67.3</v>
      </c>
      <c r="K44" s="14">
        <f>IF(ISNUMBER(J44), (J44 - $B44) / $B44, "")</f>
        <v>-1.0294117647058865E-2</v>
      </c>
      <c r="L44" s="16">
        <f>IF(ISNUMBER(J44), $B64 * K44, "")</f>
        <v>-1544.1176470588298</v>
      </c>
      <c r="M44" s="29">
        <v>67.2</v>
      </c>
      <c r="N44" s="14">
        <f>IF(ISNUMBER(M44), (M44 - $B44) / $B44, "")</f>
        <v>-1.1764705882352899E-2</v>
      </c>
      <c r="O44" s="16">
        <f>IF(ISNUMBER(M44), $B64 * N44, "")</f>
        <v>-1764.7058823529349</v>
      </c>
      <c r="Q44" s="191"/>
      <c r="R44" s="191"/>
      <c r="S44" s="191"/>
    </row>
    <row r="45" spans="1:19" ht="17.25" customHeight="1" thickBot="1">
      <c r="A45" s="125" t="s">
        <v>97</v>
      </c>
      <c r="B45" s="126">
        <v>2.3E-3</v>
      </c>
      <c r="C45" s="77">
        <v>0</v>
      </c>
      <c r="D45" s="15">
        <v>2.3E-3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2.2000000000000001E-3</v>
      </c>
      <c r="H45" s="32">
        <f t="shared" ref="H45:H48" si="15">IF(ISNUMBER(G45), (G45 - $B45) / $B45, "")</f>
        <v>-4.3478260869565147E-2</v>
      </c>
      <c r="I45" s="101">
        <f>IF(ISNUMBER(G45), $B64 * H45, "")</f>
        <v>-6521.7391304347721</v>
      </c>
      <c r="J45" s="15">
        <v>2.2000000000000001E-3</v>
      </c>
      <c r="K45" s="32">
        <f t="shared" ref="K45:K48" si="16">IF(ISNUMBER(J45), (J45 - $B45) / $B45, "")</f>
        <v>-4.3478260869565147E-2</v>
      </c>
      <c r="L45" s="18">
        <f>IF(ISNUMBER(J45), $B64 * K45, "")</f>
        <v>-6521.7391304347721</v>
      </c>
      <c r="M45" s="31">
        <v>2.3E-3</v>
      </c>
      <c r="N45" s="32">
        <f t="shared" ref="N45:N48" si="17">IF(ISNUMBER(M45), (M45 - $B45) / $B45, "")</f>
        <v>0</v>
      </c>
      <c r="O45" s="18">
        <f>IF(ISNUMBER(M45), $B64 * N45, "")</f>
        <v>0</v>
      </c>
      <c r="Q45" s="191"/>
      <c r="R45" s="191"/>
      <c r="S45" s="191"/>
    </row>
    <row r="46" spans="1:19" ht="17.25" customHeight="1" thickBot="1">
      <c r="A46" s="125" t="s">
        <v>341</v>
      </c>
      <c r="B46" s="126">
        <v>9.0200000000000002E-2</v>
      </c>
      <c r="C46" s="77">
        <v>-6.6079295E-3</v>
      </c>
      <c r="D46" s="15">
        <v>8.8099999999999998E-2</v>
      </c>
      <c r="E46" s="32">
        <f t="shared" si="14"/>
        <v>-2.3281596452328211E-2</v>
      </c>
      <c r="F46" s="18">
        <f>IF(ISNUMBER(D46), $B64 * E46, "")</f>
        <v>-3492.2394678492315</v>
      </c>
      <c r="G46" s="31">
        <v>8.8499999999999995E-2</v>
      </c>
      <c r="H46" s="32">
        <f t="shared" si="15"/>
        <v>-1.8847006651884778E-2</v>
      </c>
      <c r="I46" s="101">
        <f>IF(ISNUMBER(G46), $B64 * H46, "")</f>
        <v>-2827.0509977827169</v>
      </c>
      <c r="J46" s="15">
        <v>8.8999999999999996E-2</v>
      </c>
      <c r="K46" s="32">
        <f t="shared" si="16"/>
        <v>-1.330376940133045E-2</v>
      </c>
      <c r="L46" s="18">
        <f>IF(ISNUMBER(J46), $B64 * K46, "")</f>
        <v>-1995.5654101995674</v>
      </c>
      <c r="M46" s="31">
        <v>8.9200000000000002E-2</v>
      </c>
      <c r="N46" s="32">
        <f t="shared" si="17"/>
        <v>-1.1086474501108657E-2</v>
      </c>
      <c r="O46" s="18">
        <f>IF(ISNUMBER(M46), $B64 * N46, "")</f>
        <v>-1662.9711751662985</v>
      </c>
      <c r="Q46" s="196"/>
      <c r="R46" s="196"/>
      <c r="S46" s="196"/>
    </row>
    <row r="47" spans="1:19" ht="17.25" customHeight="1" thickBot="1">
      <c r="A47" s="125" t="s">
        <v>197</v>
      </c>
      <c r="B47" s="126">
        <v>47.5</v>
      </c>
      <c r="C47" s="77">
        <v>-1.2474012499999999E-2</v>
      </c>
      <c r="D47" s="15">
        <v>46.7</v>
      </c>
      <c r="E47" s="32">
        <f t="shared" si="14"/>
        <v>-1.6842105263157835E-2</v>
      </c>
      <c r="F47" s="18">
        <f>IF(ISNUMBER(D47), $B64 * E47, "")</f>
        <v>-2526.3157894736755</v>
      </c>
      <c r="G47" s="31">
        <v>46.5</v>
      </c>
      <c r="H47" s="32">
        <f t="shared" si="15"/>
        <v>-2.1052631578947368E-2</v>
      </c>
      <c r="I47" s="101">
        <f>IF(ISNUMBER(G47), $B64 * H47, "")</f>
        <v>-3157.894736842105</v>
      </c>
      <c r="J47" s="15">
        <v>46.7</v>
      </c>
      <c r="K47" s="32">
        <f t="shared" si="16"/>
        <v>-1.6842105263157835E-2</v>
      </c>
      <c r="L47" s="18">
        <f>IF(ISNUMBER(J47), $B64 * K47, "")</f>
        <v>-2526.3157894736755</v>
      </c>
      <c r="M47" s="31">
        <v>46.7</v>
      </c>
      <c r="N47" s="32">
        <f t="shared" si="17"/>
        <v>-1.6842105263157835E-2</v>
      </c>
      <c r="O47" s="18">
        <f>IF(ISNUMBER(M47), $B64 * N47, "")</f>
        <v>-2526.3157894736755</v>
      </c>
      <c r="Q47" s="196"/>
      <c r="R47" s="196"/>
      <c r="S47" s="196"/>
    </row>
    <row r="48" spans="1:19" ht="17.25" customHeight="1" thickBot="1">
      <c r="A48" s="127" t="s">
        <v>148</v>
      </c>
      <c r="B48" s="128">
        <v>72.2</v>
      </c>
      <c r="C48" s="78">
        <v>-1.36612022E-2</v>
      </c>
      <c r="D48" s="20">
        <v>72.3</v>
      </c>
      <c r="E48" s="21">
        <f t="shared" si="14"/>
        <v>1.3850415512464587E-3</v>
      </c>
      <c r="F48" s="22">
        <f>IF(ISNUMBER(D48), $B64 * E48, "")</f>
        <v>207.75623268696881</v>
      </c>
      <c r="G48" s="30">
        <v>72.8</v>
      </c>
      <c r="H48" s="21">
        <f t="shared" si="15"/>
        <v>8.310249307479145E-3</v>
      </c>
      <c r="I48" s="105">
        <f>IF(ISNUMBER(G48), $B64 * H48, "")</f>
        <v>1246.5373961218718</v>
      </c>
      <c r="J48" s="20">
        <v>73.099999999999994</v>
      </c>
      <c r="K48" s="21">
        <f t="shared" si="16"/>
        <v>1.2465373961218718E-2</v>
      </c>
      <c r="L48" s="22">
        <f>IF(ISNUMBER(J48), $B64 * K48, "")</f>
        <v>1869.8060941828076</v>
      </c>
      <c r="M48" s="30">
        <v>74.5</v>
      </c>
      <c r="N48" s="21">
        <f t="shared" si="17"/>
        <v>3.185595567867032E-2</v>
      </c>
      <c r="O48" s="22">
        <f>IF(ISNUMBER(M48), $B64 * N48, "")</f>
        <v>4778.3933518005479</v>
      </c>
      <c r="Q48" s="196"/>
      <c r="R48" s="196"/>
      <c r="S48" s="196"/>
    </row>
    <row r="49" spans="1:19" ht="17.25" customHeight="1" thickBot="1">
      <c r="A49" s="125" t="s">
        <v>245</v>
      </c>
      <c r="B49" s="129">
        <v>57.9</v>
      </c>
      <c r="C49" s="80">
        <v>-1.53061224E-2</v>
      </c>
      <c r="D49" s="106">
        <v>57</v>
      </c>
      <c r="E49" s="107">
        <f>IF(ISNUMBER(D49), (D49 - $B49) / $B49, "")</f>
        <v>-1.5544041450777177E-2</v>
      </c>
      <c r="F49" s="108">
        <f>IF(ISNUMBER(D49), $B64 * E49, "")</f>
        <v>-2331.6062176165765</v>
      </c>
      <c r="G49" s="109">
        <v>57.5</v>
      </c>
      <c r="H49" s="107">
        <f>IF(ISNUMBER(G49), (G49 - $B49) / $B49, "")</f>
        <v>-6.9084628670120652E-3</v>
      </c>
      <c r="I49" s="110">
        <f>IF(ISNUMBER(G49), $B64 * H49, "")</f>
        <v>-1036.2694300518099</v>
      </c>
      <c r="J49" s="106">
        <v>57.6</v>
      </c>
      <c r="K49" s="107">
        <f>IF(ISNUMBER(J49), (J49 - $B49) / $B49, "")</f>
        <v>-5.1813471502590181E-3</v>
      </c>
      <c r="L49" s="108">
        <f>IF(ISNUMBER(J49), $B64 * K49, "")</f>
        <v>-777.20207253885269</v>
      </c>
      <c r="M49" s="109">
        <v>58.1</v>
      </c>
      <c r="N49" s="107">
        <f>IF(ISNUMBER(M49), (M49 - $B49) / $B49, "")</f>
        <v>3.4542314335060942E-3</v>
      </c>
      <c r="O49" s="108">
        <f>IF(ISNUMBER(M49), $B64 * N49, "")</f>
        <v>518.13471502591415</v>
      </c>
      <c r="Q49" s="196"/>
      <c r="R49" s="196"/>
      <c r="S49" s="196"/>
    </row>
    <row r="50" spans="1:19" ht="17.25" customHeight="1" thickBot="1">
      <c r="A50" s="125" t="s">
        <v>205</v>
      </c>
      <c r="B50" s="126">
        <v>11.5</v>
      </c>
      <c r="C50" s="77">
        <v>-1.7094017100000001E-2</v>
      </c>
      <c r="D50" s="15">
        <v>11.4</v>
      </c>
      <c r="E50" s="32">
        <f t="shared" ref="E50:E53" si="18">IF(ISNUMBER(D50), (D50 - $B50) / $B50, "")</f>
        <v>-8.6956521739130124E-3</v>
      </c>
      <c r="F50" s="18">
        <f>IF(ISNUMBER(D50), $B64 * E50, "")</f>
        <v>-1304.347826086952</v>
      </c>
      <c r="G50" s="31">
        <v>11.5</v>
      </c>
      <c r="H50" s="32">
        <f t="shared" ref="H50:H53" si="19">IF(ISNUMBER(G50), (G50 - $B50) / $B50, "")</f>
        <v>0</v>
      </c>
      <c r="I50" s="101">
        <f>IF(ISNUMBER(G50), $B64 * H50, "")</f>
        <v>0</v>
      </c>
      <c r="J50" s="15">
        <v>11.5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11.6</v>
      </c>
      <c r="N50" s="32">
        <f t="shared" ref="N50:N53" si="21">IF(ISNUMBER(M50), (M50 - $B50) / $B50, "")</f>
        <v>8.6956521739130124E-3</v>
      </c>
      <c r="O50" s="18">
        <f>IF(ISNUMBER(M50), $B64 * N50, "")</f>
        <v>1304.347826086952</v>
      </c>
      <c r="Q50" s="196"/>
      <c r="R50" s="196"/>
      <c r="S50" s="196"/>
    </row>
    <row r="51" spans="1:19" ht="17.25" customHeight="1" thickBot="1">
      <c r="A51" s="125" t="s">
        <v>140</v>
      </c>
      <c r="B51" s="126">
        <v>83.9</v>
      </c>
      <c r="C51" s="77">
        <v>-1.75644028E-2</v>
      </c>
      <c r="D51" s="15">
        <v>79.7</v>
      </c>
      <c r="E51" s="32">
        <f t="shared" si="18"/>
        <v>-5.0059594755661532E-2</v>
      </c>
      <c r="F51" s="18">
        <f>IF(ISNUMBER(D51), $B64 * E51, "")</f>
        <v>-7508.9392133492302</v>
      </c>
      <c r="G51" s="31">
        <v>81.099999999999994</v>
      </c>
      <c r="H51" s="32">
        <f t="shared" si="19"/>
        <v>-3.3373063170441135E-2</v>
      </c>
      <c r="I51" s="101">
        <f>IF(ISNUMBER(G51), $B64 * H51, "")</f>
        <v>-5005.9594755661701</v>
      </c>
      <c r="J51" s="15">
        <v>82</v>
      </c>
      <c r="K51" s="32">
        <f t="shared" si="20"/>
        <v>-2.2646007151370745E-2</v>
      </c>
      <c r="L51" s="18">
        <f>IF(ISNUMBER(J51), $B64 * K51, "")</f>
        <v>-3396.9010727056116</v>
      </c>
      <c r="M51" s="31">
        <v>81.8</v>
      </c>
      <c r="N51" s="32">
        <f t="shared" si="21"/>
        <v>-2.5029797377830849E-2</v>
      </c>
      <c r="O51" s="18">
        <f>IF(ISNUMBER(M51), $B64 * N51, "")</f>
        <v>-3754.4696066746274</v>
      </c>
      <c r="Q51" s="196"/>
      <c r="R51" s="196"/>
      <c r="S51" s="196"/>
    </row>
    <row r="52" spans="1:19" ht="17.25" customHeight="1" thickBot="1">
      <c r="A52" s="125" t="s">
        <v>185</v>
      </c>
      <c r="B52" s="126">
        <v>10.1</v>
      </c>
      <c r="C52" s="77">
        <v>-1.9417475699999999E-2</v>
      </c>
      <c r="D52" s="15">
        <v>10</v>
      </c>
      <c r="E52" s="32">
        <f t="shared" si="18"/>
        <v>-9.9009900990098664E-3</v>
      </c>
      <c r="F52" s="18">
        <f>IF(ISNUMBER(D52), $B64 * E52, "")</f>
        <v>-1485.1485148514801</v>
      </c>
      <c r="G52" s="31">
        <v>10.1</v>
      </c>
      <c r="H52" s="32">
        <f t="shared" si="19"/>
        <v>0</v>
      </c>
      <c r="I52" s="101">
        <f>IF(ISNUMBER(G52), $B64 * H52, "")</f>
        <v>0</v>
      </c>
      <c r="J52" s="15">
        <v>10.1</v>
      </c>
      <c r="K52" s="32">
        <f t="shared" si="20"/>
        <v>0</v>
      </c>
      <c r="L52" s="18">
        <f>IF(ISNUMBER(J52), $B64 * K52, "")</f>
        <v>0</v>
      </c>
      <c r="M52" s="31">
        <v>10</v>
      </c>
      <c r="N52" s="32">
        <f t="shared" si="21"/>
        <v>-9.9009900990098664E-3</v>
      </c>
      <c r="O52" s="18">
        <f>IF(ISNUMBER(M52), $B64 * N52, "")</f>
        <v>-1485.1485148514801</v>
      </c>
      <c r="Q52" s="33"/>
      <c r="R52" s="33"/>
    </row>
    <row r="53" spans="1:19" ht="17.25" customHeight="1" thickBot="1">
      <c r="A53" s="130" t="s">
        <v>71</v>
      </c>
      <c r="B53" s="131">
        <v>19.3</v>
      </c>
      <c r="C53" s="79">
        <v>-2.0304568499999998E-2</v>
      </c>
      <c r="D53" s="24">
        <v>18.7</v>
      </c>
      <c r="E53" s="25">
        <f t="shared" si="18"/>
        <v>-3.1088082901554476E-2</v>
      </c>
      <c r="F53" s="104">
        <f>IF(ISNUMBER(D53), $B64 * E53, "")</f>
        <v>-4663.2124352331712</v>
      </c>
      <c r="G53" s="102">
        <v>18.899999999999999</v>
      </c>
      <c r="H53" s="25">
        <f t="shared" si="19"/>
        <v>-2.0725388601036378E-2</v>
      </c>
      <c r="I53" s="103">
        <f>IF(ISNUMBER(G53), $B64 * H53, "")</f>
        <v>-3108.8082901554567</v>
      </c>
      <c r="J53" s="24">
        <v>19</v>
      </c>
      <c r="K53" s="25">
        <f t="shared" si="20"/>
        <v>-1.5544041450777238E-2</v>
      </c>
      <c r="L53" s="104">
        <f>IF(ISNUMBER(J53), $B64 * K53, "")</f>
        <v>-2331.6062176165856</v>
      </c>
      <c r="M53" s="102">
        <v>19</v>
      </c>
      <c r="N53" s="25">
        <f t="shared" si="21"/>
        <v>-1.5544041450777238E-2</v>
      </c>
      <c r="O53" s="104">
        <f>IF(ISNUMBER(M53), $B64 * N53, "")</f>
        <v>-2331.6062176165856</v>
      </c>
      <c r="Q53" s="205"/>
      <c r="R53" s="206"/>
      <c r="S53" s="207"/>
    </row>
    <row r="54" spans="1:19" ht="17.25" customHeight="1">
      <c r="A54" s="123" t="s">
        <v>128</v>
      </c>
      <c r="B54" s="124">
        <v>50.2</v>
      </c>
      <c r="C54" s="76">
        <v>-2.14424951E-2</v>
      </c>
      <c r="D54" s="13">
        <v>47.6</v>
      </c>
      <c r="E54" s="14">
        <f>IF(ISNUMBER(D54), (D54 - $B54) / $B54, "")</f>
        <v>-5.1792828685258988E-2</v>
      </c>
      <c r="F54" s="16">
        <f>IF(ISNUMBER(D54), $B64 * E54, "")</f>
        <v>-7768.9243027888479</v>
      </c>
      <c r="G54" s="29">
        <v>48.4</v>
      </c>
      <c r="H54" s="14">
        <f>IF(ISNUMBER(G54), (G54 - $B54) / $B54, "")</f>
        <v>-3.5856573705179369E-2</v>
      </c>
      <c r="I54" s="100">
        <f>IF(ISNUMBER(G54), $B64 * H54, "")</f>
        <v>-5378.4860557769052</v>
      </c>
      <c r="J54" s="13">
        <v>48.8</v>
      </c>
      <c r="K54" s="14">
        <f>IF(ISNUMBER(J54), (J54 - $B54) / $B54, "")</f>
        <v>-2.7888446215139553E-2</v>
      </c>
      <c r="L54" s="16">
        <f>IF(ISNUMBER(J54), $B64 * K54, "")</f>
        <v>-4183.2669322709326</v>
      </c>
      <c r="M54" s="29">
        <v>48.9</v>
      </c>
      <c r="N54" s="14">
        <f>IF(ISNUMBER(M54), (M54 - $B54) / $B54, "")</f>
        <v>-2.5896414342629567E-2</v>
      </c>
      <c r="O54" s="16">
        <f>IF(ISNUMBER(M54), $B64 * N54, "")</f>
        <v>-3884.4621513944348</v>
      </c>
      <c r="Q54" s="208"/>
      <c r="R54" s="209"/>
      <c r="S54" s="210"/>
    </row>
    <row r="55" spans="1:19" ht="17.25" customHeight="1" thickBot="1">
      <c r="A55" s="125" t="s">
        <v>146</v>
      </c>
      <c r="B55" s="126">
        <v>8.49</v>
      </c>
      <c r="C55" s="77">
        <v>-2.30149597E-2</v>
      </c>
      <c r="D55" s="15">
        <v>8.18</v>
      </c>
      <c r="E55" s="32">
        <f t="shared" ref="E55:E58" si="22">IF(ISNUMBER(D55), (D55 - $B55) / $B55, "")</f>
        <v>-3.6513545347467667E-2</v>
      </c>
      <c r="F55" s="18">
        <f>IF(ISNUMBER(D55), $B64 * E55, "")</f>
        <v>-5477.0318021201501</v>
      </c>
      <c r="G55" s="31">
        <v>8.2899999999999991</v>
      </c>
      <c r="H55" s="32">
        <f t="shared" ref="H55:H58" si="23">IF(ISNUMBER(G55), (G55 - $B55) / $B55, "")</f>
        <v>-2.355712603062439E-2</v>
      </c>
      <c r="I55" s="101">
        <f>IF(ISNUMBER(G55), $B64 * H55, "")</f>
        <v>-3533.5689045936583</v>
      </c>
      <c r="J55" s="15">
        <v>8.33</v>
      </c>
      <c r="K55" s="32">
        <f t="shared" ref="K55:K58" si="24">IF(ISNUMBER(J55), (J55 - $B55) / $B55, "")</f>
        <v>-1.8845700824499427E-2</v>
      </c>
      <c r="L55" s="18">
        <f>IF(ISNUMBER(J55), $B64 * K55, "")</f>
        <v>-2826.855123674914</v>
      </c>
      <c r="M55" s="31">
        <v>8.34</v>
      </c>
      <c r="N55" s="32">
        <f t="shared" ref="N55:N58" si="25">IF(ISNUMBER(M55), (M55 - $B55) / $B55, "")</f>
        <v>-1.766784452296824E-2</v>
      </c>
      <c r="O55" s="18">
        <f>IF(ISNUMBER(M55), $B64 * N55, "")</f>
        <v>-2650.1766784452361</v>
      </c>
      <c r="Q55" s="211"/>
      <c r="R55" s="212"/>
      <c r="S55" s="213"/>
    </row>
    <row r="56" spans="1:19" ht="17.25" customHeight="1" thickBot="1">
      <c r="A56" s="125" t="s">
        <v>233</v>
      </c>
      <c r="B56" s="126">
        <v>99.5</v>
      </c>
      <c r="C56" s="77">
        <v>-2.4509803899999998E-2</v>
      </c>
      <c r="D56" s="15">
        <v>97.8</v>
      </c>
      <c r="E56" s="32">
        <f t="shared" si="22"/>
        <v>-1.708542713567842E-2</v>
      </c>
      <c r="F56" s="18">
        <f>IF(ISNUMBER(D56), $B64 * E56, "")</f>
        <v>-2562.8140703517629</v>
      </c>
      <c r="G56" s="31">
        <v>97.8</v>
      </c>
      <c r="H56" s="32">
        <f t="shared" si="23"/>
        <v>-1.708542713567842E-2</v>
      </c>
      <c r="I56" s="101">
        <f>IF(ISNUMBER(G56), $B64 * H56, "")</f>
        <v>-2562.8140703517629</v>
      </c>
      <c r="J56" s="15">
        <v>98.6</v>
      </c>
      <c r="K56" s="32">
        <f t="shared" si="24"/>
        <v>-9.0452261306533232E-3</v>
      </c>
      <c r="L56" s="18">
        <f>IF(ISNUMBER(J56), $B64 * K56, "")</f>
        <v>-1356.7839195979984</v>
      </c>
      <c r="M56" s="31">
        <v>98.4</v>
      </c>
      <c r="N56" s="32">
        <f t="shared" si="25"/>
        <v>-1.1055276381909491E-2</v>
      </c>
      <c r="O56" s="18">
        <f>IF(ISNUMBER(M56), $B64 * N56, "")</f>
        <v>-1658.2914572864236</v>
      </c>
      <c r="Q56" s="196"/>
      <c r="R56" s="196"/>
      <c r="S56" s="196"/>
    </row>
    <row r="57" spans="1:19" ht="17.25" customHeight="1" thickBot="1">
      <c r="A57" s="125" t="s">
        <v>346</v>
      </c>
      <c r="B57" s="126">
        <v>9.26</v>
      </c>
      <c r="C57" s="77">
        <v>-2.52631579E-2</v>
      </c>
      <c r="D57" s="15">
        <v>9.7200000000000006</v>
      </c>
      <c r="E57" s="32">
        <f t="shared" si="22"/>
        <v>4.9676025917926657E-2</v>
      </c>
      <c r="F57" s="18">
        <f>IF(ISNUMBER(D57), $B64 * E57, "")</f>
        <v>7451.4038876889981</v>
      </c>
      <c r="G57" s="31">
        <v>9.6300000000000008</v>
      </c>
      <c r="H57" s="32">
        <f t="shared" si="23"/>
        <v>3.9956803455723652E-2</v>
      </c>
      <c r="I57" s="101">
        <f>IF(ISNUMBER(G57), $B64 * H57, "")</f>
        <v>5993.5205183585476</v>
      </c>
      <c r="J57" s="15">
        <v>9.9600000000000009</v>
      </c>
      <c r="K57" s="32">
        <f t="shared" si="24"/>
        <v>7.5593952483801408E-2</v>
      </c>
      <c r="L57" s="18">
        <f>IF(ISNUMBER(J57), $B64 * K57, "")</f>
        <v>11339.092872570211</v>
      </c>
      <c r="M57" s="31">
        <v>9.81</v>
      </c>
      <c r="N57" s="32">
        <f t="shared" si="25"/>
        <v>5.9395248380129669E-2</v>
      </c>
      <c r="O57" s="18">
        <f>IF(ISNUMBER(M57), $B64 * N57, "")</f>
        <v>8909.2872570194504</v>
      </c>
      <c r="Q57" s="191"/>
      <c r="R57" s="191"/>
      <c r="S57" s="191"/>
    </row>
    <row r="58" spans="1:19" ht="17.25" customHeight="1" thickBot="1">
      <c r="A58" s="127" t="s">
        <v>211</v>
      </c>
      <c r="B58" s="128">
        <v>7.32</v>
      </c>
      <c r="C58" s="78">
        <v>-2.65957447E-2</v>
      </c>
      <c r="D58" s="20">
        <v>7.14</v>
      </c>
      <c r="E58" s="21">
        <f t="shared" si="22"/>
        <v>-2.4590163934426312E-2</v>
      </c>
      <c r="F58" s="22">
        <f>IF(ISNUMBER(D58), $B64 * E58, "")</f>
        <v>-3688.5245901639469</v>
      </c>
      <c r="G58" s="30">
        <v>7.17</v>
      </c>
      <c r="H58" s="21">
        <f t="shared" si="23"/>
        <v>-2.0491803278688572E-2</v>
      </c>
      <c r="I58" s="105">
        <f>IF(ISNUMBER(G58), $B64 * H58, "")</f>
        <v>-3073.7704918032859</v>
      </c>
      <c r="J58" s="20">
        <v>7.22</v>
      </c>
      <c r="K58" s="21">
        <f t="shared" si="24"/>
        <v>-1.3661202185792422E-2</v>
      </c>
      <c r="L58" s="22">
        <f>IF(ISNUMBER(J58), $B64 * K58, "")</f>
        <v>-2049.1803278688635</v>
      </c>
      <c r="M58" s="30">
        <v>7.19</v>
      </c>
      <c r="N58" s="21">
        <f t="shared" si="25"/>
        <v>-1.775956284153004E-2</v>
      </c>
      <c r="O58" s="22">
        <f>IF(ISNUMBER(M58), $B64 * N58, "")</f>
        <v>-2663.9344262295058</v>
      </c>
      <c r="Q58" s="191"/>
      <c r="R58" s="191"/>
      <c r="S58" s="191"/>
    </row>
    <row r="59" spans="1:19" ht="17.25" customHeight="1" thickBot="1">
      <c r="A59" s="125" t="s">
        <v>203</v>
      </c>
      <c r="B59" s="129">
        <v>7.63</v>
      </c>
      <c r="C59" s="80">
        <v>-2.6785714299999999E-2</v>
      </c>
      <c r="D59" s="106">
        <v>7.41</v>
      </c>
      <c r="E59" s="107">
        <f>IF(ISNUMBER(D59), (D59 - $B59) / $B59, "")</f>
        <v>-2.8833551769331552E-2</v>
      </c>
      <c r="F59" s="108">
        <f>IF(ISNUMBER(D59), $B64 * E59, "")</f>
        <v>-4325.0327653997329</v>
      </c>
      <c r="G59" s="109">
        <v>7.54</v>
      </c>
      <c r="H59" s="107">
        <f>IF(ISNUMBER(G59), (G59 - $B59) / $B59, "")</f>
        <v>-1.1795543905635631E-2</v>
      </c>
      <c r="I59" s="110">
        <f>IF(ISNUMBER(G59), $B64 * H59, "")</f>
        <v>-1769.3315858453448</v>
      </c>
      <c r="J59" s="106">
        <v>7.61</v>
      </c>
      <c r="K59" s="107">
        <f>IF(ISNUMBER(J59), (J59 - $B59) / $B59, "")</f>
        <v>-2.6212319790300882E-3</v>
      </c>
      <c r="L59" s="108">
        <f>IF(ISNUMBER(J59), $B64 * K59, "")</f>
        <v>-393.18479685451325</v>
      </c>
      <c r="M59" s="109">
        <v>7.59</v>
      </c>
      <c r="N59" s="107">
        <f>IF(ISNUMBER(M59), (M59 - $B59) / $B59, "")</f>
        <v>-5.2424639580602927E-3</v>
      </c>
      <c r="O59" s="108">
        <f>IF(ISNUMBER(M59), $B64 * N59, "")</f>
        <v>-786.3695937090439</v>
      </c>
      <c r="Q59" s="196"/>
      <c r="R59" s="196"/>
      <c r="S59" s="196"/>
    </row>
    <row r="60" spans="1:19" ht="17.25" customHeight="1" thickBot="1">
      <c r="A60" s="125" t="s">
        <v>126</v>
      </c>
      <c r="B60" s="126">
        <v>85.7</v>
      </c>
      <c r="C60" s="77">
        <v>-2.94450736E-2</v>
      </c>
      <c r="D60" s="15">
        <v>83.5</v>
      </c>
      <c r="E60" s="32">
        <f t="shared" ref="E60:E63" si="26">IF(ISNUMBER(D60), (D60 - $B60) / $B60, "")</f>
        <v>-2.5670945157526288E-2</v>
      </c>
      <c r="F60" s="18">
        <f>IF(ISNUMBER(D60), $B64 * E60, "")</f>
        <v>-3850.6417736289432</v>
      </c>
      <c r="G60" s="31">
        <v>82.8</v>
      </c>
      <c r="H60" s="32">
        <f t="shared" ref="H60:H63" si="27">IF(ISNUMBER(G60), (G60 - $B60) / $B60, "")</f>
        <v>-3.3838973162193767E-2</v>
      </c>
      <c r="I60" s="101">
        <f>IF(ISNUMBER(G60), $B64 * H60, "")</f>
        <v>-5075.845974329065</v>
      </c>
      <c r="J60" s="15">
        <v>83.6</v>
      </c>
      <c r="K60" s="32">
        <f t="shared" ref="K60:K63" si="28">IF(ISNUMBER(J60), (J60 - $B60) / $B60, "")</f>
        <v>-2.4504084014002434E-2</v>
      </c>
      <c r="L60" s="18">
        <f>IF(ISNUMBER(J60), $B64 * K60, "")</f>
        <v>-3675.6126021003652</v>
      </c>
      <c r="M60" s="31">
        <v>84</v>
      </c>
      <c r="N60" s="32">
        <f t="shared" ref="N60:N63" si="29">IF(ISNUMBER(M60), (M60 - $B60) / $B60, "")</f>
        <v>-1.9836639439906684E-2</v>
      </c>
      <c r="O60" s="18">
        <f>IF(ISNUMBER(M60), $B64 * N60, "")</f>
        <v>-2975.4959159860027</v>
      </c>
      <c r="Q60" s="196"/>
      <c r="R60" s="196"/>
      <c r="S60" s="196"/>
    </row>
    <row r="61" spans="1:19" ht="17.25" customHeight="1" thickBot="1">
      <c r="A61" s="125" t="s">
        <v>189</v>
      </c>
      <c r="B61" s="126">
        <v>87.9</v>
      </c>
      <c r="C61" s="77">
        <v>-2.98013245E-2</v>
      </c>
      <c r="D61" s="15">
        <v>88.5</v>
      </c>
      <c r="E61" s="32">
        <f t="shared" si="26"/>
        <v>6.825938566552836E-3</v>
      </c>
      <c r="F61" s="18">
        <f>IF(ISNUMBER(D61), $B64 * E61, "")</f>
        <v>1023.8907849829254</v>
      </c>
      <c r="G61" s="31">
        <v>88.4</v>
      </c>
      <c r="H61" s="32">
        <f t="shared" si="27"/>
        <v>5.6882821387940841E-3</v>
      </c>
      <c r="I61" s="101">
        <f>IF(ISNUMBER(G61), $B64 * H61, "")</f>
        <v>853.24232081911259</v>
      </c>
      <c r="J61" s="15">
        <v>88.7</v>
      </c>
      <c r="K61" s="32">
        <f t="shared" si="28"/>
        <v>9.1012514220705013E-3</v>
      </c>
      <c r="L61" s="18">
        <f>IF(ISNUMBER(J61), $B64 * K61, "")</f>
        <v>1365.1877133105752</v>
      </c>
      <c r="M61" s="31">
        <v>88.1</v>
      </c>
      <c r="N61" s="32">
        <f t="shared" si="29"/>
        <v>2.2753128555175043E-3</v>
      </c>
      <c r="O61" s="18">
        <f>IF(ISNUMBER(M61), $B64 * N61, "")</f>
        <v>341.29692832762566</v>
      </c>
      <c r="Q61" s="196"/>
      <c r="R61" s="196"/>
      <c r="S61" s="196"/>
    </row>
    <row r="62" spans="1:19" ht="17.25" customHeight="1">
      <c r="A62" s="125" t="s">
        <v>229</v>
      </c>
      <c r="B62" s="126">
        <v>51.5</v>
      </c>
      <c r="C62" s="77">
        <v>-3.0131826699999999E-2</v>
      </c>
      <c r="D62" s="15">
        <v>50.6</v>
      </c>
      <c r="E62" s="32">
        <f t="shared" si="26"/>
        <v>-1.7475728155339779E-2</v>
      </c>
      <c r="F62" s="18">
        <f>IF(ISNUMBER(D62), $B64 * E62, "")</f>
        <v>-2621.3592233009667</v>
      </c>
      <c r="G62" s="31">
        <v>50.7</v>
      </c>
      <c r="H62" s="32">
        <f t="shared" si="27"/>
        <v>-1.5533980582524217E-2</v>
      </c>
      <c r="I62" s="101">
        <f>IF(ISNUMBER(G62), $B64 * H62, "")</f>
        <v>-2330.0970873786328</v>
      </c>
      <c r="J62" s="15">
        <v>51</v>
      </c>
      <c r="K62" s="32">
        <f t="shared" si="28"/>
        <v>-9.7087378640776691E-3</v>
      </c>
      <c r="L62" s="18">
        <f>IF(ISNUMBER(J62), $B64 * K62, "")</f>
        <v>-1456.3106796116504</v>
      </c>
      <c r="M62" s="31">
        <v>50.7</v>
      </c>
      <c r="N62" s="32">
        <f t="shared" si="29"/>
        <v>-1.5533980582524217E-2</v>
      </c>
      <c r="O62" s="18">
        <f>IF(ISNUMBER(M62), $B64 * N62, "")</f>
        <v>-2330.0970873786328</v>
      </c>
      <c r="Q62" s="218"/>
      <c r="R62" s="219"/>
      <c r="S62" s="220"/>
    </row>
    <row r="63" spans="1:19" ht="17.25" customHeight="1" thickBot="1">
      <c r="A63" s="130" t="s">
        <v>118</v>
      </c>
      <c r="B63" s="131">
        <v>17.600000000000001</v>
      </c>
      <c r="C63" s="79">
        <v>-3.2967033E-2</v>
      </c>
      <c r="D63" s="24">
        <v>17</v>
      </c>
      <c r="E63" s="25">
        <f t="shared" si="26"/>
        <v>-3.4090909090909172E-2</v>
      </c>
      <c r="F63" s="104">
        <f>IF(ISNUMBER(D63), $B64 * E63, "")</f>
        <v>-5113.6363636363758</v>
      </c>
      <c r="G63" s="102">
        <v>17.3</v>
      </c>
      <c r="H63" s="25">
        <f t="shared" si="27"/>
        <v>-1.7045454545454586E-2</v>
      </c>
      <c r="I63" s="103">
        <f>IF(ISNUMBER(G63), $B64 * H63, "")</f>
        <v>-2556.8181818181879</v>
      </c>
      <c r="J63" s="24">
        <v>17.7</v>
      </c>
      <c r="K63" s="25">
        <f t="shared" si="28"/>
        <v>5.6818181818180605E-3</v>
      </c>
      <c r="L63" s="104">
        <f>IF(ISNUMBER(J63), $B64 * K63, "")</f>
        <v>852.27272727270906</v>
      </c>
      <c r="M63" s="102">
        <v>17.7</v>
      </c>
      <c r="N63" s="25">
        <f t="shared" si="29"/>
        <v>5.6818181818180605E-3</v>
      </c>
      <c r="O63" s="104">
        <f>IF(ISNUMBER(M63), $B64 * N63, "")</f>
        <v>852.27272727270906</v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-1.8075966640360128E-2</v>
      </c>
      <c r="F64" s="28">
        <f>SUM(F44:F63)</f>
        <v>-54227.899921080403</v>
      </c>
      <c r="G64" s="26" t="s">
        <v>266</v>
      </c>
      <c r="H64" s="27">
        <f>IF(COUNT(H44:H63), SUM(H44:H63) / COUNT(H44:H63), 0)</f>
        <v>-1.372289452973168E-2</v>
      </c>
      <c r="I64" s="28">
        <f>SUM(I44:I63)</f>
        <v>-41168.683589195047</v>
      </c>
      <c r="J64" s="26" t="s">
        <v>266</v>
      </c>
      <c r="K64" s="27">
        <f>IF(COUNT(K44:K63), SUM(K44:K63) / COUNT(K44:K63), 0)</f>
        <v>-6.5360941048902763E-3</v>
      </c>
      <c r="L64" s="28">
        <f>SUM(L44:L63)</f>
        <v>-19608.282314670832</v>
      </c>
      <c r="M64" s="26" t="s">
        <v>266</v>
      </c>
      <c r="N64" s="27">
        <f>IF(COUNT(N44:N63), SUM(N44:N63) / COUNT(N44:N63), 0)</f>
        <v>-4.5901038970105595E-3</v>
      </c>
      <c r="O64" s="28">
        <f>SUM(O44:O63)</f>
        <v>-13770.311691031682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2022-03-05(토) 오전 00:00</v>
      </c>
      <c r="C69" s="234"/>
      <c r="D69" s="193" t="str">
        <f>TEXT($G$1, "[$-ko-KR]yyyy-mm-dd(ddd) ") &amp; "오후 14:00"</f>
        <v>2022-03-05(토) 오후 14:00</v>
      </c>
      <c r="E69" s="194"/>
      <c r="F69" s="195"/>
      <c r="G69" s="193" t="str">
        <f>TEXT($G$1, "[$-ko-KR]yyyy-mm-dd(ddd) ") &amp; "오후 19:00"</f>
        <v>2022-03-05(토) 오후 19:00</v>
      </c>
      <c r="H69" s="194"/>
      <c r="I69" s="195"/>
      <c r="J69" s="193" t="str">
        <f>TEXT($G$1, "[$-ko-KR]yyyy-mm-dd(ddd) ") &amp; "오후 21:00"</f>
        <v>2022-03-05(토) 오후 21:00</v>
      </c>
      <c r="K69" s="194"/>
      <c r="L69" s="195"/>
      <c r="M69" s="193" t="str">
        <f>TEXT($G$1+1, "[$-ko-KR]yyyy-mm-dd(ddd) ") &amp; "오전 00:00"</f>
        <v>2022-03-06(일)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237</v>
      </c>
      <c r="B71" s="124">
        <v>604</v>
      </c>
      <c r="C71" s="76">
        <v>0.1504761905</v>
      </c>
      <c r="D71" s="13">
        <v>597</v>
      </c>
      <c r="E71" s="14">
        <f>IF(ISNUMBER(D71), (D71 - $B71) / $B71, "")</f>
        <v>-1.1589403973509934E-2</v>
      </c>
      <c r="F71" s="16">
        <f>IF(ISNUMBER(D71), $B91 * E71, "")</f>
        <v>-1738.4105960264901</v>
      </c>
      <c r="G71" s="29">
        <v>609</v>
      </c>
      <c r="H71" s="14">
        <f>IF(ISNUMBER(G71), (G71 - $B71) / $B71, "")</f>
        <v>8.2781456953642391E-3</v>
      </c>
      <c r="I71" s="100">
        <f>IF(ISNUMBER(G71), $B91 * H71, "")</f>
        <v>1241.7218543046358</v>
      </c>
      <c r="J71" s="13">
        <v>604</v>
      </c>
      <c r="K71" s="14">
        <f>IF(ISNUMBER(J71), (J71 - $B71) / $B71, "")</f>
        <v>0</v>
      </c>
      <c r="L71" s="16">
        <f>IF(ISNUMBER(J71), $B91 * K71, "")</f>
        <v>0</v>
      </c>
      <c r="M71" s="29">
        <v>587</v>
      </c>
      <c r="N71" s="14">
        <f>IF(ISNUMBER(M71), (M71 - $B71) / $B71, "")</f>
        <v>-2.8145695364238412E-2</v>
      </c>
      <c r="O71" s="16">
        <f>IF(ISNUMBER(M71), $B91 * N71, "")</f>
        <v>-4221.8543046357618</v>
      </c>
      <c r="Q71" s="191"/>
      <c r="R71" s="191"/>
      <c r="S71" s="191"/>
    </row>
    <row r="72" spans="1:19" ht="17.25" thickBot="1">
      <c r="A72" s="125" t="s">
        <v>187</v>
      </c>
      <c r="B72" s="126">
        <v>251</v>
      </c>
      <c r="C72" s="77">
        <v>2.44897959E-2</v>
      </c>
      <c r="D72" s="15">
        <v>246</v>
      </c>
      <c r="E72" s="32">
        <f t="shared" ref="E72:E75" si="30">IF(ISNUMBER(D72), (D72 - $B72) / $B72, "")</f>
        <v>-1.9920318725099601E-2</v>
      </c>
      <c r="F72" s="18">
        <f>IF(ISNUMBER(D72), $B91 * E72, "")</f>
        <v>-2988.0478087649403</v>
      </c>
      <c r="G72" s="31">
        <v>246</v>
      </c>
      <c r="H72" s="32">
        <f t="shared" ref="H72:H75" si="31">IF(ISNUMBER(G72), (G72 - $B72) / $B72, "")</f>
        <v>-1.9920318725099601E-2</v>
      </c>
      <c r="I72" s="101">
        <f>IF(ISNUMBER(G72), $B91 * H72, "")</f>
        <v>-2988.0478087649403</v>
      </c>
      <c r="J72" s="15">
        <v>248</v>
      </c>
      <c r="K72" s="32">
        <f t="shared" ref="K72:K75" si="32">IF(ISNUMBER(J72), (J72 - $B72) / $B72, "")</f>
        <v>-1.1952191235059761E-2</v>
      </c>
      <c r="L72" s="18">
        <f>IF(ISNUMBER(J72), $B91 * K72, "")</f>
        <v>-1792.828685258964</v>
      </c>
      <c r="M72" s="31">
        <v>247</v>
      </c>
      <c r="N72" s="32">
        <f t="shared" ref="N72:N75" si="33">IF(ISNUMBER(M72), (M72 - $B72) / $B72, "")</f>
        <v>-1.5936254980079681E-2</v>
      </c>
      <c r="O72" s="18">
        <f>IF(ISNUMBER(M72), $B91 * N72, "")</f>
        <v>-2390.4382470119522</v>
      </c>
      <c r="Q72" s="191"/>
      <c r="R72" s="191"/>
      <c r="S72" s="191"/>
    </row>
    <row r="73" spans="1:19" ht="17.25" thickBot="1">
      <c r="A73" s="125" t="s">
        <v>85</v>
      </c>
      <c r="B73" s="126">
        <v>246</v>
      </c>
      <c r="C73" s="77">
        <v>2.0746888000000002E-2</v>
      </c>
      <c r="D73" s="15">
        <v>236</v>
      </c>
      <c r="E73" s="32">
        <f t="shared" si="30"/>
        <v>-4.065040650406504E-2</v>
      </c>
      <c r="F73" s="18">
        <f>IF(ISNUMBER(D73), $B91 * E73, "")</f>
        <v>-6097.5609756097556</v>
      </c>
      <c r="G73" s="31">
        <v>262</v>
      </c>
      <c r="H73" s="32">
        <f t="shared" si="31"/>
        <v>6.5040650406504072E-2</v>
      </c>
      <c r="I73" s="101">
        <f>IF(ISNUMBER(G73), $B91 * H73, "")</f>
        <v>9756.0975609756115</v>
      </c>
      <c r="J73" s="15">
        <v>259</v>
      </c>
      <c r="K73" s="32">
        <f t="shared" si="32"/>
        <v>5.2845528455284556E-2</v>
      </c>
      <c r="L73" s="18">
        <f>IF(ISNUMBER(J73), $B91 * K73, "")</f>
        <v>7926.8292682926831</v>
      </c>
      <c r="M73" s="31">
        <v>258</v>
      </c>
      <c r="N73" s="32">
        <f t="shared" si="33"/>
        <v>4.878048780487805E-2</v>
      </c>
      <c r="O73" s="18">
        <f>IF(ISNUMBER(M73), $B91 * N73, "")</f>
        <v>7317.0731707317073</v>
      </c>
      <c r="Q73" s="196"/>
      <c r="R73" s="196"/>
      <c r="S73" s="196"/>
    </row>
    <row r="74" spans="1:19" ht="17.25" thickBot="1">
      <c r="A74" s="125" t="s">
        <v>160</v>
      </c>
      <c r="B74" s="126">
        <v>413</v>
      </c>
      <c r="C74" s="77">
        <v>1.2254902E-2</v>
      </c>
      <c r="D74" s="15">
        <v>407</v>
      </c>
      <c r="E74" s="32">
        <f t="shared" si="30"/>
        <v>-1.4527845036319613E-2</v>
      </c>
      <c r="F74" s="18">
        <f>IF(ISNUMBER(D74), $B91 * E74, "")</f>
        <v>-2179.176755447942</v>
      </c>
      <c r="G74" s="31">
        <v>406</v>
      </c>
      <c r="H74" s="32">
        <f t="shared" si="31"/>
        <v>-1.6949152542372881E-2</v>
      </c>
      <c r="I74" s="101">
        <f>IF(ISNUMBER(G74), $B91 * H74, "")</f>
        <v>-2542.3728813559323</v>
      </c>
      <c r="J74" s="15">
        <v>409</v>
      </c>
      <c r="K74" s="32">
        <f t="shared" si="32"/>
        <v>-9.6852300242130755E-3</v>
      </c>
      <c r="L74" s="18">
        <f>IF(ISNUMBER(J74), $B91 * K74, "")</f>
        <v>-1452.7845036319613</v>
      </c>
      <c r="M74" s="31">
        <v>406</v>
      </c>
      <c r="N74" s="32">
        <f t="shared" si="33"/>
        <v>-1.6949152542372881E-2</v>
      </c>
      <c r="O74" s="18">
        <f>IF(ISNUMBER(M74), $B91 * N74, "")</f>
        <v>-2542.3728813559323</v>
      </c>
      <c r="Q74" s="196"/>
      <c r="R74" s="196"/>
      <c r="S74" s="196"/>
    </row>
    <row r="75" spans="1:19" ht="17.25" thickBot="1">
      <c r="A75" s="127" t="s">
        <v>120</v>
      </c>
      <c r="B75" s="128">
        <v>347</v>
      </c>
      <c r="C75" s="78">
        <v>5.7971014E-3</v>
      </c>
      <c r="D75" s="20">
        <v>324</v>
      </c>
      <c r="E75" s="21">
        <f t="shared" si="30"/>
        <v>-6.6282420749279536E-2</v>
      </c>
      <c r="F75" s="22">
        <f>IF(ISNUMBER(D75), $B91 * E75, "")</f>
        <v>-9942.3631123919313</v>
      </c>
      <c r="G75" s="30">
        <v>326</v>
      </c>
      <c r="H75" s="21">
        <f t="shared" si="31"/>
        <v>-6.0518731988472622E-2</v>
      </c>
      <c r="I75" s="105">
        <f>IF(ISNUMBER(G75), $B91 * H75, "")</f>
        <v>-9077.8097982708932</v>
      </c>
      <c r="J75" s="20">
        <v>327</v>
      </c>
      <c r="K75" s="21">
        <f t="shared" si="32"/>
        <v>-5.7636887608069162E-2</v>
      </c>
      <c r="L75" s="22">
        <f>IF(ISNUMBER(J75), $B91 * K75, "")</f>
        <v>-8645.5331412103751</v>
      </c>
      <c r="M75" s="30">
        <v>327</v>
      </c>
      <c r="N75" s="21">
        <f t="shared" si="33"/>
        <v>-5.7636887608069162E-2</v>
      </c>
      <c r="O75" s="22">
        <f>IF(ISNUMBER(M75), $B91 * N75, "")</f>
        <v>-8645.5331412103751</v>
      </c>
      <c r="Q75" s="196"/>
      <c r="R75" s="196"/>
      <c r="S75" s="196"/>
    </row>
    <row r="76" spans="1:19" ht="17.25" thickBot="1">
      <c r="A76" s="125" t="s">
        <v>331</v>
      </c>
      <c r="B76" s="129">
        <v>978</v>
      </c>
      <c r="C76" s="80">
        <v>3.0769231000000001E-3</v>
      </c>
      <c r="D76" s="106">
        <v>937</v>
      </c>
      <c r="E76" s="107">
        <f>IF(ISNUMBER(D76), (D76 - $B76) / $B76, "")</f>
        <v>-4.1922290388548056E-2</v>
      </c>
      <c r="F76" s="108">
        <f>IF(ISNUMBER(D76), $B91 * E76, "")</f>
        <v>-6288.3435582822085</v>
      </c>
      <c r="G76" s="109">
        <v>941</v>
      </c>
      <c r="H76" s="107">
        <f>IF(ISNUMBER(G76), (G76 - $B76) / $B76, "")</f>
        <v>-3.7832310838445807E-2</v>
      </c>
      <c r="I76" s="110">
        <f>IF(ISNUMBER(G76), $B91 * H76, "")</f>
        <v>-5674.8466257668706</v>
      </c>
      <c r="J76" s="106">
        <v>947</v>
      </c>
      <c r="K76" s="107">
        <f>IF(ISNUMBER(J76), (J76 - $B76) / $B76, "")</f>
        <v>-3.1697341513292433E-2</v>
      </c>
      <c r="L76" s="108">
        <f>IF(ISNUMBER(J76), $B91 * K76, "")</f>
        <v>-4754.6012269938647</v>
      </c>
      <c r="M76" s="109">
        <v>945</v>
      </c>
      <c r="N76" s="107">
        <f>IF(ISNUMBER(M76), (M76 - $B76) / $B76, "")</f>
        <v>-3.3742331288343558E-2</v>
      </c>
      <c r="O76" s="108">
        <f>IF(ISNUMBER(M76), $B91 * N76, "")</f>
        <v>-5061.3496932515336</v>
      </c>
      <c r="Q76" s="196"/>
      <c r="R76" s="196"/>
      <c r="S76" s="196"/>
    </row>
    <row r="77" spans="1:19" ht="17.25" thickBot="1">
      <c r="A77" s="125" t="s">
        <v>249</v>
      </c>
      <c r="B77" s="126">
        <v>238</v>
      </c>
      <c r="C77" s="77">
        <v>0</v>
      </c>
      <c r="D77" s="15">
        <v>229</v>
      </c>
      <c r="E77" s="32">
        <f t="shared" ref="E77:E80" si="34">IF(ISNUMBER(D77), (D77 - $B77) / $B77, "")</f>
        <v>-3.7815126050420166E-2</v>
      </c>
      <c r="F77" s="18">
        <f>IF(ISNUMBER(D77), $B91 * E77, "")</f>
        <v>-5672.2689075630251</v>
      </c>
      <c r="G77" s="31">
        <v>230</v>
      </c>
      <c r="H77" s="32">
        <f t="shared" ref="H77:H80" si="35">IF(ISNUMBER(G77), (G77 - $B77) / $B77, "")</f>
        <v>-3.3613445378151259E-2</v>
      </c>
      <c r="I77" s="101">
        <f>IF(ISNUMBER(G77), $B91 * H77, "")</f>
        <v>-5042.0168067226887</v>
      </c>
      <c r="J77" s="15">
        <v>233</v>
      </c>
      <c r="K77" s="32">
        <f t="shared" ref="K77:K80" si="36">IF(ISNUMBER(J77), (J77 - $B77) / $B77, "")</f>
        <v>-2.100840336134454E-2</v>
      </c>
      <c r="L77" s="18">
        <f>IF(ISNUMBER(J77), $B91 * K77, "")</f>
        <v>-3151.2605042016808</v>
      </c>
      <c r="M77" s="31">
        <v>232</v>
      </c>
      <c r="N77" s="32">
        <f t="shared" ref="N77:N80" si="37">IF(ISNUMBER(M77), (M77 - $B77) / $B77, "")</f>
        <v>-2.5210084033613446E-2</v>
      </c>
      <c r="O77" s="18">
        <f>IF(ISNUMBER(M77), $B91 * N77, "")</f>
        <v>-3781.5126050420167</v>
      </c>
      <c r="Q77" s="196"/>
      <c r="R77" s="196"/>
      <c r="S77" s="196"/>
    </row>
    <row r="78" spans="1:19" ht="17.25" thickBot="1">
      <c r="A78" s="125" t="s">
        <v>201</v>
      </c>
      <c r="B78" s="126">
        <v>511</v>
      </c>
      <c r="C78" s="77">
        <v>-1.953125E-3</v>
      </c>
      <c r="D78" s="15">
        <v>502</v>
      </c>
      <c r="E78" s="32">
        <f t="shared" si="34"/>
        <v>-1.7612524461839529E-2</v>
      </c>
      <c r="F78" s="18">
        <f>IF(ISNUMBER(D78), $B91 * E78, "")</f>
        <v>-2641.8786692759295</v>
      </c>
      <c r="G78" s="31">
        <v>504</v>
      </c>
      <c r="H78" s="32">
        <f t="shared" si="35"/>
        <v>-1.3698630136986301E-2</v>
      </c>
      <c r="I78" s="101">
        <f>IF(ISNUMBER(G78), $B91 * H78, "")</f>
        <v>-2054.794520547945</v>
      </c>
      <c r="J78" s="15">
        <v>506</v>
      </c>
      <c r="K78" s="32">
        <f t="shared" si="36"/>
        <v>-9.7847358121330719E-3</v>
      </c>
      <c r="L78" s="18">
        <f>IF(ISNUMBER(J78), $B91 * K78, "")</f>
        <v>-1467.7103718199608</v>
      </c>
      <c r="M78" s="31">
        <v>502</v>
      </c>
      <c r="N78" s="32">
        <f t="shared" si="37"/>
        <v>-1.7612524461839529E-2</v>
      </c>
      <c r="O78" s="18">
        <f>IF(ISNUMBER(M78), $B91 * N78, "")</f>
        <v>-2641.8786692759295</v>
      </c>
      <c r="Q78" s="196"/>
      <c r="R78" s="196"/>
      <c r="S78" s="196"/>
    </row>
    <row r="79" spans="1:19" ht="17.25" thickBot="1">
      <c r="A79" s="125" t="s">
        <v>172</v>
      </c>
      <c r="B79" s="126">
        <v>916</v>
      </c>
      <c r="C79" s="77">
        <v>-1.2931034500000001E-2</v>
      </c>
      <c r="D79" s="15">
        <v>881</v>
      </c>
      <c r="E79" s="32">
        <f t="shared" si="34"/>
        <v>-3.8209606986899562E-2</v>
      </c>
      <c r="F79" s="18">
        <f>IF(ISNUMBER(D79), $B91 * E79, "")</f>
        <v>-5731.4410480349343</v>
      </c>
      <c r="G79" s="31">
        <v>884</v>
      </c>
      <c r="H79" s="32">
        <f t="shared" si="35"/>
        <v>-3.4934497816593885E-2</v>
      </c>
      <c r="I79" s="101">
        <f>IF(ISNUMBER(G79), $B91 * H79, "")</f>
        <v>-5240.1746724890827</v>
      </c>
      <c r="J79" s="15">
        <v>899</v>
      </c>
      <c r="K79" s="32">
        <f t="shared" si="36"/>
        <v>-1.8558951965065504E-2</v>
      </c>
      <c r="L79" s="18">
        <f>IF(ISNUMBER(J79), $B91 * K79, "")</f>
        <v>-2783.8427947598257</v>
      </c>
      <c r="M79" s="31">
        <v>903</v>
      </c>
      <c r="N79" s="32">
        <f t="shared" si="37"/>
        <v>-1.4192139737991267E-2</v>
      </c>
      <c r="O79" s="18">
        <f>IF(ISNUMBER(M79), $B91 * N79, "")</f>
        <v>-2128.8209606986898</v>
      </c>
      <c r="Q79" s="33"/>
      <c r="R79" s="33"/>
    </row>
    <row r="80" spans="1:19" ht="17.25" thickBot="1">
      <c r="A80" s="130" t="s">
        <v>56</v>
      </c>
      <c r="B80" s="131">
        <v>123</v>
      </c>
      <c r="C80" s="79">
        <v>-1.6E-2</v>
      </c>
      <c r="D80" s="24">
        <v>119</v>
      </c>
      <c r="E80" s="25">
        <f t="shared" si="34"/>
        <v>-3.2520325203252036E-2</v>
      </c>
      <c r="F80" s="104">
        <f>IF(ISNUMBER(D80), $B91 * E80, "")</f>
        <v>-4878.0487804878057</v>
      </c>
      <c r="G80" s="102">
        <v>119</v>
      </c>
      <c r="H80" s="25">
        <f t="shared" si="35"/>
        <v>-3.2520325203252036E-2</v>
      </c>
      <c r="I80" s="103">
        <f>IF(ISNUMBER(G80), $B91 * H80, "")</f>
        <v>-4878.0487804878057</v>
      </c>
      <c r="J80" s="24">
        <v>120</v>
      </c>
      <c r="K80" s="25">
        <f t="shared" si="36"/>
        <v>-2.4390243902439025E-2</v>
      </c>
      <c r="L80" s="104">
        <f>IF(ISNUMBER(J80), $B91 * K80, "")</f>
        <v>-3658.5365853658536</v>
      </c>
      <c r="M80" s="102">
        <v>120</v>
      </c>
      <c r="N80" s="25">
        <f t="shared" si="37"/>
        <v>-2.4390243902439025E-2</v>
      </c>
      <c r="O80" s="104">
        <f>IF(ISNUMBER(M80), $B91 * N80, "")</f>
        <v>-3658.5365853658536</v>
      </c>
      <c r="Q80" s="205"/>
      <c r="R80" s="206"/>
      <c r="S80" s="207"/>
    </row>
    <row r="81" spans="1:19">
      <c r="A81" s="123" t="s">
        <v>107</v>
      </c>
      <c r="B81" s="124">
        <v>112</v>
      </c>
      <c r="C81" s="76">
        <v>-1.75438596E-2</v>
      </c>
      <c r="D81" s="13">
        <v>109</v>
      </c>
      <c r="E81" s="14">
        <f>IF(ISNUMBER(D81), (D81 - $B81) / $B81, "")</f>
        <v>-2.6785714285714284E-2</v>
      </c>
      <c r="F81" s="16">
        <f>IF(ISNUMBER(D81), $B91 * E81, "")</f>
        <v>-4017.8571428571427</v>
      </c>
      <c r="G81" s="29">
        <v>109</v>
      </c>
      <c r="H81" s="14">
        <f>IF(ISNUMBER(G81), (G81 - $B81) / $B81, "")</f>
        <v>-2.6785714285714284E-2</v>
      </c>
      <c r="I81" s="100">
        <f>IF(ISNUMBER(G81), $B91 * H81, "")</f>
        <v>-4017.8571428571427</v>
      </c>
      <c r="J81" s="13">
        <v>110</v>
      </c>
      <c r="K81" s="14">
        <f>IF(ISNUMBER(J81), (J81 - $B81) / $B81, "")</f>
        <v>-1.7857142857142856E-2</v>
      </c>
      <c r="L81" s="16">
        <f>IF(ISNUMBER(J81), $B91 * K81, "")</f>
        <v>-2678.5714285714284</v>
      </c>
      <c r="M81" s="29">
        <v>109</v>
      </c>
      <c r="N81" s="14">
        <f>IF(ISNUMBER(M81), (M81 - $B81) / $B81, "")</f>
        <v>-2.6785714285714284E-2</v>
      </c>
      <c r="O81" s="16">
        <f>IF(ISNUMBER(M81), $B91 * N81, "")</f>
        <v>-4017.8571428571427</v>
      </c>
      <c r="Q81" s="208"/>
      <c r="R81" s="209"/>
      <c r="S81" s="210"/>
    </row>
    <row r="82" spans="1:19" ht="17.25" thickBot="1">
      <c r="A82" s="125" t="s">
        <v>231</v>
      </c>
      <c r="B82" s="126">
        <v>389</v>
      </c>
      <c r="C82" s="77">
        <v>-1.7676767699999998E-2</v>
      </c>
      <c r="D82" s="15">
        <v>378</v>
      </c>
      <c r="E82" s="32">
        <f t="shared" ref="E82:E85" si="38">IF(ISNUMBER(D82), (D82 - $B82) / $B82, "")</f>
        <v>-2.8277634961439587E-2</v>
      </c>
      <c r="F82" s="18">
        <f>IF(ISNUMBER(D82), $B91 * E82, "")</f>
        <v>-4241.645244215938</v>
      </c>
      <c r="G82" s="31">
        <v>381</v>
      </c>
      <c r="H82" s="32">
        <f t="shared" ref="H82:H85" si="39">IF(ISNUMBER(G82), (G82 - $B82) / $B82, "")</f>
        <v>-2.056555269922879E-2</v>
      </c>
      <c r="I82" s="101">
        <f>IF(ISNUMBER(G82), $B91 * H82, "")</f>
        <v>-3084.8329048843184</v>
      </c>
      <c r="J82" s="15">
        <v>382</v>
      </c>
      <c r="K82" s="32">
        <f t="shared" ref="K82:K85" si="40">IF(ISNUMBER(J82), (J82 - $B82) / $B82, "")</f>
        <v>-1.7994858611825194E-2</v>
      </c>
      <c r="L82" s="18">
        <f>IF(ISNUMBER(J82), $B91 * K82, "")</f>
        <v>-2699.228791773779</v>
      </c>
      <c r="M82" s="31">
        <v>381</v>
      </c>
      <c r="N82" s="32">
        <f t="shared" ref="N82:N85" si="41">IF(ISNUMBER(M82), (M82 - $B82) / $B82, "")</f>
        <v>-2.056555269922879E-2</v>
      </c>
      <c r="O82" s="18">
        <f>IF(ISNUMBER(M82), $B91 * N82, "")</f>
        <v>-3084.8329048843184</v>
      </c>
      <c r="Q82" s="211"/>
      <c r="R82" s="212"/>
      <c r="S82" s="213"/>
    </row>
    <row r="83" spans="1:19" ht="17.25" thickBot="1">
      <c r="A83" s="125" t="s">
        <v>207</v>
      </c>
      <c r="B83" s="126">
        <v>992</v>
      </c>
      <c r="C83" s="77">
        <v>-1.78217822E-2</v>
      </c>
      <c r="D83" s="15">
        <v>971</v>
      </c>
      <c r="E83" s="32">
        <f t="shared" si="38"/>
        <v>-2.1169354838709676E-2</v>
      </c>
      <c r="F83" s="18">
        <f>IF(ISNUMBER(D83), $B91 * E83, "")</f>
        <v>-3175.4032258064512</v>
      </c>
      <c r="G83" s="31">
        <v>971</v>
      </c>
      <c r="H83" s="32">
        <f t="shared" si="39"/>
        <v>-2.1169354838709676E-2</v>
      </c>
      <c r="I83" s="101">
        <f>IF(ISNUMBER(G83), $B91 * H83, "")</f>
        <v>-3175.4032258064512</v>
      </c>
      <c r="J83" s="15">
        <v>977</v>
      </c>
      <c r="K83" s="32">
        <f t="shared" si="40"/>
        <v>-1.5120967741935484E-2</v>
      </c>
      <c r="L83" s="18">
        <f>IF(ISNUMBER(J83), $B91 * K83, "")</f>
        <v>-2268.1451612903224</v>
      </c>
      <c r="M83" s="31">
        <v>979</v>
      </c>
      <c r="N83" s="32">
        <f t="shared" si="41"/>
        <v>-1.310483870967742E-2</v>
      </c>
      <c r="O83" s="18">
        <f>IF(ISNUMBER(M83), $B91 * N83, "")</f>
        <v>-1965.7258064516129</v>
      </c>
      <c r="Q83" s="196"/>
      <c r="R83" s="196"/>
      <c r="S83" s="196"/>
    </row>
    <row r="84" spans="1:19" ht="17.25" thickBot="1">
      <c r="A84" s="125" t="s">
        <v>105</v>
      </c>
      <c r="B84" s="126">
        <v>810</v>
      </c>
      <c r="C84" s="77">
        <v>-1.8181818200000002E-2</v>
      </c>
      <c r="D84" s="15">
        <v>763</v>
      </c>
      <c r="E84" s="32">
        <f t="shared" si="38"/>
        <v>-5.802469135802469E-2</v>
      </c>
      <c r="F84" s="18">
        <f>IF(ISNUMBER(D84), $B91 * E84, "")</f>
        <v>-8703.7037037037026</v>
      </c>
      <c r="G84" s="31">
        <v>781</v>
      </c>
      <c r="H84" s="32">
        <f t="shared" si="39"/>
        <v>-3.580246913580247E-2</v>
      </c>
      <c r="I84" s="101">
        <f>IF(ISNUMBER(G84), $B91 * H84, "")</f>
        <v>-5370.3703703703704</v>
      </c>
      <c r="J84" s="15">
        <v>789</v>
      </c>
      <c r="K84" s="32">
        <f t="shared" si="40"/>
        <v>-2.5925925925925925E-2</v>
      </c>
      <c r="L84" s="18">
        <f>IF(ISNUMBER(J84), $B91 * K84, "")</f>
        <v>-3888.8888888888887</v>
      </c>
      <c r="M84" s="31">
        <v>785</v>
      </c>
      <c r="N84" s="32">
        <f t="shared" si="41"/>
        <v>-3.0864197530864196E-2</v>
      </c>
      <c r="O84" s="18">
        <f>IF(ISNUMBER(M84), $B91 * N84, "")</f>
        <v>-4629.6296296296296</v>
      </c>
      <c r="Q84" s="191"/>
      <c r="R84" s="191"/>
      <c r="S84" s="191"/>
    </row>
    <row r="85" spans="1:19" ht="17.25" thickBot="1">
      <c r="A85" s="127" t="s">
        <v>261</v>
      </c>
      <c r="B85" s="128">
        <v>156</v>
      </c>
      <c r="C85" s="78">
        <v>-1.8867924500000001E-2</v>
      </c>
      <c r="D85" s="20">
        <v>152</v>
      </c>
      <c r="E85" s="21">
        <f t="shared" si="38"/>
        <v>-2.564102564102564E-2</v>
      </c>
      <c r="F85" s="22">
        <f>IF(ISNUMBER(D85), $B91 * E85, "")</f>
        <v>-3846.1538461538462</v>
      </c>
      <c r="G85" s="30">
        <v>153</v>
      </c>
      <c r="H85" s="21">
        <f t="shared" si="39"/>
        <v>-1.9230769230769232E-2</v>
      </c>
      <c r="I85" s="105">
        <f>IF(ISNUMBER(G85), $B91 * H85, "")</f>
        <v>-2884.6153846153848</v>
      </c>
      <c r="J85" s="20">
        <v>153</v>
      </c>
      <c r="K85" s="21">
        <f t="shared" si="40"/>
        <v>-1.9230769230769232E-2</v>
      </c>
      <c r="L85" s="22">
        <f>IF(ISNUMBER(J85), $B91 * K85, "")</f>
        <v>-2884.6153846153848</v>
      </c>
      <c r="M85" s="30">
        <v>153</v>
      </c>
      <c r="N85" s="21">
        <f t="shared" si="41"/>
        <v>-1.9230769230769232E-2</v>
      </c>
      <c r="O85" s="22">
        <f>IF(ISNUMBER(M85), $B91 * N85, "")</f>
        <v>-2884.6153846153848</v>
      </c>
      <c r="Q85" s="191"/>
      <c r="R85" s="191"/>
      <c r="S85" s="191"/>
    </row>
    <row r="86" spans="1:19" ht="17.25" thickBot="1">
      <c r="A86" s="125" t="s">
        <v>89</v>
      </c>
      <c r="B86" s="129">
        <v>902</v>
      </c>
      <c r="C86" s="80">
        <v>-1.9565217400000001E-2</v>
      </c>
      <c r="D86" s="106">
        <v>891</v>
      </c>
      <c r="E86" s="107">
        <f>IF(ISNUMBER(D86), (D86 - $B86) / $B86, "")</f>
        <v>-1.2195121951219513E-2</v>
      </c>
      <c r="F86" s="108">
        <f>IF(ISNUMBER(D86), $B91 * E86, "")</f>
        <v>-1829.2682926829268</v>
      </c>
      <c r="G86" s="109">
        <v>904</v>
      </c>
      <c r="H86" s="107">
        <f>IF(ISNUMBER(G86), (G86 - $B86) / $B86, "")</f>
        <v>2.2172949002217295E-3</v>
      </c>
      <c r="I86" s="110">
        <f>IF(ISNUMBER(G86), $B91 * H86, "")</f>
        <v>332.59423503325945</v>
      </c>
      <c r="J86" s="106">
        <v>911</v>
      </c>
      <c r="K86" s="107">
        <f>IF(ISNUMBER(J86), (J86 - $B86) / $B86, "")</f>
        <v>9.9778270509977823E-3</v>
      </c>
      <c r="L86" s="108">
        <f>IF(ISNUMBER(J86), $B91 * K86, "")</f>
        <v>1496.6740576496672</v>
      </c>
      <c r="M86" s="109">
        <v>936</v>
      </c>
      <c r="N86" s="107">
        <f>IF(ISNUMBER(M86), (M86 - $B86) / $B86, "")</f>
        <v>3.7694013303769404E-2</v>
      </c>
      <c r="O86" s="108">
        <f>IF(ISNUMBER(M86), $B91 * N86, "")</f>
        <v>5654.101995565411</v>
      </c>
      <c r="Q86" s="196"/>
      <c r="R86" s="196"/>
      <c r="S86" s="196"/>
    </row>
    <row r="87" spans="1:19" ht="17.25" thickBot="1">
      <c r="A87" s="125" t="s">
        <v>170</v>
      </c>
      <c r="B87" s="126">
        <v>658</v>
      </c>
      <c r="C87" s="77">
        <v>-2.08333333E-2</v>
      </c>
      <c r="D87" s="15">
        <v>645</v>
      </c>
      <c r="E87" s="32">
        <f t="shared" ref="E87:E90" si="42">IF(ISNUMBER(D87), (D87 - $B87) / $B87, "")</f>
        <v>-1.9756838905775075E-2</v>
      </c>
      <c r="F87" s="18">
        <f>IF(ISNUMBER(D87), $B91 * E87, "")</f>
        <v>-2963.5258358662613</v>
      </c>
      <c r="G87" s="31">
        <v>651</v>
      </c>
      <c r="H87" s="32">
        <f t="shared" ref="H87:H90" si="43">IF(ISNUMBER(G87), (G87 - $B87) / $B87, "")</f>
        <v>-1.0638297872340425E-2</v>
      </c>
      <c r="I87" s="101">
        <f>IF(ISNUMBER(G87), $B91 * H87, "")</f>
        <v>-1595.7446808510638</v>
      </c>
      <c r="J87" s="15">
        <v>653</v>
      </c>
      <c r="K87" s="32">
        <f t="shared" ref="K87:K90" si="44">IF(ISNUMBER(J87), (J87 - $B87) / $B87, "")</f>
        <v>-7.5987841945288756E-3</v>
      </c>
      <c r="L87" s="18">
        <f>IF(ISNUMBER(J87), $B91 * K87, "")</f>
        <v>-1139.8176291793313</v>
      </c>
      <c r="M87" s="31">
        <v>647</v>
      </c>
      <c r="N87" s="32">
        <f t="shared" ref="N87:N90" si="45">IF(ISNUMBER(M87), (M87 - $B87) / $B87, "")</f>
        <v>-1.6717325227963525E-2</v>
      </c>
      <c r="O87" s="18">
        <f>IF(ISNUMBER(M87), $B91 * N87, "")</f>
        <v>-2507.5987841945289</v>
      </c>
      <c r="Q87" s="196"/>
      <c r="R87" s="196"/>
      <c r="S87" s="196"/>
    </row>
    <row r="88" spans="1:19" ht="17.25" thickBot="1">
      <c r="A88" s="125" t="s">
        <v>215</v>
      </c>
      <c r="B88" s="126">
        <v>137</v>
      </c>
      <c r="C88" s="77">
        <v>-2.1428571399999999E-2</v>
      </c>
      <c r="D88" s="15">
        <v>136</v>
      </c>
      <c r="E88" s="32">
        <f t="shared" si="42"/>
        <v>-7.2992700729927005E-3</v>
      </c>
      <c r="F88" s="18">
        <f>IF(ISNUMBER(D88), $B91 * E88, "")</f>
        <v>-1094.8905109489051</v>
      </c>
      <c r="G88" s="31">
        <v>136</v>
      </c>
      <c r="H88" s="32">
        <f t="shared" si="43"/>
        <v>-7.2992700729927005E-3</v>
      </c>
      <c r="I88" s="101">
        <f>IF(ISNUMBER(G88), $B91 * H88, "")</f>
        <v>-1094.8905109489051</v>
      </c>
      <c r="J88" s="15">
        <v>136</v>
      </c>
      <c r="K88" s="32">
        <f t="shared" si="44"/>
        <v>-7.2992700729927005E-3</v>
      </c>
      <c r="L88" s="18">
        <f>IF(ISNUMBER(J88), $B91 * K88, "")</f>
        <v>-1094.8905109489051</v>
      </c>
      <c r="M88" s="31">
        <v>135</v>
      </c>
      <c r="N88" s="32">
        <f t="shared" si="45"/>
        <v>-1.4598540145985401E-2</v>
      </c>
      <c r="O88" s="18">
        <f>IF(ISNUMBER(M88), $B91 * N88, "")</f>
        <v>-2189.7810218978102</v>
      </c>
      <c r="Q88" s="196"/>
      <c r="R88" s="196"/>
      <c r="S88" s="196"/>
    </row>
    <row r="89" spans="1:19">
      <c r="A89" s="125" t="s">
        <v>51</v>
      </c>
      <c r="B89" s="126">
        <v>224</v>
      </c>
      <c r="C89" s="77">
        <v>-2.6086956500000001E-2</v>
      </c>
      <c r="D89" s="15">
        <v>217</v>
      </c>
      <c r="E89" s="32">
        <f t="shared" si="42"/>
        <v>-3.125E-2</v>
      </c>
      <c r="F89" s="18">
        <f>IF(ISNUMBER(D89), $B91 * E89, "")</f>
        <v>-4687.5</v>
      </c>
      <c r="G89" s="31">
        <v>217</v>
      </c>
      <c r="H89" s="32">
        <f t="shared" si="43"/>
        <v>-3.125E-2</v>
      </c>
      <c r="I89" s="101">
        <f>IF(ISNUMBER(G89), $B91 * H89, "")</f>
        <v>-4687.5</v>
      </c>
      <c r="J89" s="15">
        <v>219</v>
      </c>
      <c r="K89" s="32">
        <f t="shared" si="44"/>
        <v>-2.2321428571428572E-2</v>
      </c>
      <c r="L89" s="18">
        <f>IF(ISNUMBER(J89), $B91 * K89, "")</f>
        <v>-3348.2142857142858</v>
      </c>
      <c r="M89" s="31">
        <v>220</v>
      </c>
      <c r="N89" s="32">
        <f t="shared" si="45"/>
        <v>-1.7857142857142856E-2</v>
      </c>
      <c r="O89" s="18">
        <f>IF(ISNUMBER(M89), $B91 * N89, "")</f>
        <v>-2678.5714285714284</v>
      </c>
      <c r="Q89" s="218"/>
      <c r="R89" s="219"/>
      <c r="S89" s="220"/>
    </row>
    <row r="90" spans="1:19" ht="17.25" thickBot="1">
      <c r="A90" s="130" t="s">
        <v>235</v>
      </c>
      <c r="B90" s="131">
        <v>111</v>
      </c>
      <c r="C90" s="79">
        <v>-2.6315789499999999E-2</v>
      </c>
      <c r="D90" s="24">
        <v>111</v>
      </c>
      <c r="E90" s="25">
        <f t="shared" si="42"/>
        <v>0</v>
      </c>
      <c r="F90" s="104">
        <f>IF(ISNUMBER(D90), $B91 * E90, "")</f>
        <v>0</v>
      </c>
      <c r="G90" s="102">
        <v>109</v>
      </c>
      <c r="H90" s="25">
        <f t="shared" si="43"/>
        <v>-1.8018018018018018E-2</v>
      </c>
      <c r="I90" s="103">
        <f>IF(ISNUMBER(G90), $B91 * H90, "")</f>
        <v>-2702.7027027027025</v>
      </c>
      <c r="J90" s="24">
        <v>110</v>
      </c>
      <c r="K90" s="25">
        <f t="shared" si="44"/>
        <v>-9.0090090090090089E-3</v>
      </c>
      <c r="L90" s="104">
        <f>IF(ISNUMBER(J90), $B91 * K90, "")</f>
        <v>-1351.3513513513512</v>
      </c>
      <c r="M90" s="102">
        <v>110</v>
      </c>
      <c r="N90" s="25">
        <f t="shared" si="45"/>
        <v>-9.0090090090090089E-3</v>
      </c>
      <c r="O90" s="104">
        <f>IF(ISNUMBER(M90), $B91 * N90, "")</f>
        <v>-1351.3513513513512</v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-2.7572496004706716E-2</v>
      </c>
      <c r="F91" s="28">
        <f>SUM(F71:F90)</f>
        <v>-82717.488014120143</v>
      </c>
      <c r="G91" s="26" t="s">
        <v>266</v>
      </c>
      <c r="H91" s="27">
        <f>IF(COUNT(H71:H90), SUM(H71:H90) / COUNT(H71:H90), 0)</f>
        <v>-1.8260538389042999E-2</v>
      </c>
      <c r="I91" s="28">
        <f>SUM(I71:I90)</f>
        <v>-54781.615167128984</v>
      </c>
      <c r="J91" s="26" t="s">
        <v>266</v>
      </c>
      <c r="K91" s="27">
        <f>IF(COUNT(K71:K90), SUM(K71:K90) / COUNT(K71:K90), 0)</f>
        <v>-1.3212439306544605E-2</v>
      </c>
      <c r="L91" s="28">
        <f>SUM(L71:L90)</f>
        <v>-39637.317919633802</v>
      </c>
      <c r="M91" s="26" t="s">
        <v>266</v>
      </c>
      <c r="N91" s="27">
        <f>IF(COUNT(N71:N90), SUM(N71:N90) / COUNT(N71:N90), 0)</f>
        <v>-1.5803695125334711E-2</v>
      </c>
      <c r="O91" s="28">
        <f>SUM(O71:O90)</f>
        <v>-47411.085376004135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2022-03-05(토) 오전 00:00</v>
      </c>
      <c r="C96" s="234"/>
      <c r="D96" s="193" t="str">
        <f>TEXT($G$1, "[$-ko-KR]yyyy-mm-dd(ddd) ") &amp; "오후 14:00"</f>
        <v>2022-03-05(토) 오후 14:00</v>
      </c>
      <c r="E96" s="194"/>
      <c r="F96" s="195"/>
      <c r="G96" s="193" t="str">
        <f>TEXT($G$1, "[$-ko-KR]yyyy-mm-dd(ddd) ") &amp; "오후 19:00"</f>
        <v>2022-03-05(토) 오후 19:00</v>
      </c>
      <c r="H96" s="194"/>
      <c r="I96" s="195"/>
      <c r="J96" s="193" t="str">
        <f>TEXT($G$1, "[$-ko-KR]yyyy-mm-dd(ddd) ") &amp; "오후 21:00"</f>
        <v>2022-03-05(토) 오후 21:00</v>
      </c>
      <c r="K96" s="194"/>
      <c r="L96" s="195"/>
      <c r="M96" s="193" t="str">
        <f>TEXT($G$1+1, "[$-ko-KR]yyyy-mm-dd(ddd) ") &amp; "오전 00:00"</f>
        <v>2022-03-06(일)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237</v>
      </c>
      <c r="B98" s="124">
        <v>604</v>
      </c>
      <c r="C98" s="76">
        <v>0.1504761905</v>
      </c>
      <c r="D98" s="13">
        <v>597</v>
      </c>
      <c r="E98" s="14">
        <f>IF(ISNUMBER(D98), (D98 - $B98) / $B98, "")</f>
        <v>-1.1589403973509934E-2</v>
      </c>
      <c r="F98" s="16">
        <f>IF(ISNUMBER(D98), $B118 * E98, "")</f>
        <v>-1738.4105960264901</v>
      </c>
      <c r="G98" s="29">
        <v>609</v>
      </c>
      <c r="H98" s="14">
        <f>IF(ISNUMBER(G98), (G98 - $B98) / $B98, "")</f>
        <v>8.2781456953642391E-3</v>
      </c>
      <c r="I98" s="100">
        <f>IF(ISNUMBER(G98), $B118 * H98, "")</f>
        <v>1241.7218543046358</v>
      </c>
      <c r="J98" s="13">
        <v>604</v>
      </c>
      <c r="K98" s="14">
        <f>IF(ISNUMBER(J98), (J98 - $B98) / $B98, "")</f>
        <v>0</v>
      </c>
      <c r="L98" s="16">
        <f>IF(ISNUMBER(J98), $B118 * K98, "")</f>
        <v>0</v>
      </c>
      <c r="M98" s="29">
        <v>587</v>
      </c>
      <c r="N98" s="14">
        <f>IF(ISNUMBER(M98), (M98 - $B98) / $B98, "")</f>
        <v>-2.8145695364238412E-2</v>
      </c>
      <c r="O98" s="16">
        <f>IF(ISNUMBER(M98), $B118 * N98, "")</f>
        <v>-4221.8543046357618</v>
      </c>
      <c r="Q98" s="191"/>
      <c r="R98" s="191"/>
      <c r="S98" s="191"/>
    </row>
    <row r="99" spans="1:19" ht="17.25" thickBot="1">
      <c r="A99" s="125" t="s">
        <v>154</v>
      </c>
      <c r="B99" s="126">
        <v>23550</v>
      </c>
      <c r="C99" s="77">
        <v>5.3691275199999999E-2</v>
      </c>
      <c r="D99" s="15">
        <v>22520</v>
      </c>
      <c r="E99" s="32">
        <f t="shared" ref="E99:E102" si="46">IF(ISNUMBER(D99), (D99 - $B99) / $B99, "")</f>
        <v>-4.373673036093418E-2</v>
      </c>
      <c r="F99" s="18">
        <f>IF(ISNUMBER(D99), $B118 * E99, "")</f>
        <v>-6560.509554140127</v>
      </c>
      <c r="G99" s="31">
        <v>21510</v>
      </c>
      <c r="H99" s="32">
        <f t="shared" ref="H99:H102" si="47">IF(ISNUMBER(G99), (G99 - $B99) / $B99, "")</f>
        <v>-8.6624203821656046E-2</v>
      </c>
      <c r="I99" s="101">
        <f>IF(ISNUMBER(G99), $B118 * H99, "")</f>
        <v>-12993.630573248407</v>
      </c>
      <c r="J99" s="15">
        <v>21750</v>
      </c>
      <c r="K99" s="32">
        <f t="shared" ref="K99:K102" si="48">IF(ISNUMBER(J99), (J99 - $B99) / $B99, "")</f>
        <v>-7.6433121019108277E-2</v>
      </c>
      <c r="L99" s="18">
        <f>IF(ISNUMBER(J99), $B118 * K99, "")</f>
        <v>-11464.968152866242</v>
      </c>
      <c r="M99" s="31">
        <v>21540</v>
      </c>
      <c r="N99" s="32">
        <f t="shared" ref="N99:N102" si="49">IF(ISNUMBER(M99), (M99 - $B99) / $B99, "")</f>
        <v>-8.5350318471337575E-2</v>
      </c>
      <c r="O99" s="18">
        <f>IF(ISNUMBER(M99), $B118 * N99, "")</f>
        <v>-12802.547770700636</v>
      </c>
      <c r="Q99" s="191"/>
      <c r="R99" s="191"/>
      <c r="S99" s="191"/>
    </row>
    <row r="100" spans="1:19" ht="17.25" thickBot="1">
      <c r="A100" s="125" t="s">
        <v>337</v>
      </c>
      <c r="B100" s="126">
        <v>14000</v>
      </c>
      <c r="C100" s="77">
        <v>4.16666667E-2</v>
      </c>
      <c r="D100" s="15">
        <v>12900</v>
      </c>
      <c r="E100" s="32">
        <f t="shared" si="46"/>
        <v>-7.857142857142857E-2</v>
      </c>
      <c r="F100" s="18">
        <f>IF(ISNUMBER(D100), $B118 * E100, "")</f>
        <v>-11785.714285714286</v>
      </c>
      <c r="G100" s="31">
        <v>13070</v>
      </c>
      <c r="H100" s="32">
        <f t="shared" si="47"/>
        <v>-6.6428571428571434E-2</v>
      </c>
      <c r="I100" s="101">
        <f>IF(ISNUMBER(G100), $B118 * H100, "")</f>
        <v>-9964.2857142857156</v>
      </c>
      <c r="J100" s="15">
        <v>13140</v>
      </c>
      <c r="K100" s="32">
        <f t="shared" si="48"/>
        <v>-6.142857142857143E-2</v>
      </c>
      <c r="L100" s="18">
        <f>IF(ISNUMBER(J100), $B118 * K100, "")</f>
        <v>-9214.2857142857138</v>
      </c>
      <c r="M100" s="31">
        <v>12810</v>
      </c>
      <c r="N100" s="32">
        <f t="shared" si="49"/>
        <v>-8.5000000000000006E-2</v>
      </c>
      <c r="O100" s="18">
        <f>IF(ISNUMBER(M100), $B118 * N100, "")</f>
        <v>-12750.000000000002</v>
      </c>
      <c r="Q100" s="196"/>
      <c r="R100" s="196"/>
      <c r="S100" s="196"/>
    </row>
    <row r="101" spans="1:19" ht="17.25" thickBot="1">
      <c r="A101" s="125" t="s">
        <v>142</v>
      </c>
      <c r="B101" s="126">
        <v>1760</v>
      </c>
      <c r="C101" s="77">
        <v>2.6239067099999999E-2</v>
      </c>
      <c r="D101" s="15">
        <v>1680</v>
      </c>
      <c r="E101" s="32">
        <f t="shared" si="46"/>
        <v>-4.5454545454545456E-2</v>
      </c>
      <c r="F101" s="18">
        <f>IF(ISNUMBER(D101), $B118 * E101, "")</f>
        <v>-6818.181818181818</v>
      </c>
      <c r="G101" s="31">
        <v>1700</v>
      </c>
      <c r="H101" s="32">
        <f t="shared" si="47"/>
        <v>-3.4090909090909088E-2</v>
      </c>
      <c r="I101" s="101">
        <f>IF(ISNUMBER(G101), $B118 * H101, "")</f>
        <v>-5113.6363636363631</v>
      </c>
      <c r="J101" s="15">
        <v>1715</v>
      </c>
      <c r="K101" s="32">
        <f t="shared" si="48"/>
        <v>-2.556818181818182E-2</v>
      </c>
      <c r="L101" s="18">
        <f>IF(ISNUMBER(J101), $B118 * K101, "")</f>
        <v>-3835.227272727273</v>
      </c>
      <c r="M101" s="31">
        <v>1695</v>
      </c>
      <c r="N101" s="32">
        <f t="shared" si="49"/>
        <v>-3.6931818181818184E-2</v>
      </c>
      <c r="O101" s="18">
        <f>IF(ISNUMBER(M101), $B118 * N101, "")</f>
        <v>-5539.7727272727279</v>
      </c>
      <c r="Q101" s="196"/>
      <c r="R101" s="196"/>
      <c r="S101" s="196"/>
    </row>
    <row r="102" spans="1:19" ht="17.25" thickBot="1">
      <c r="A102" s="127" t="s">
        <v>187</v>
      </c>
      <c r="B102" s="128">
        <v>251</v>
      </c>
      <c r="C102" s="78">
        <v>2.44897959E-2</v>
      </c>
      <c r="D102" s="20">
        <v>246</v>
      </c>
      <c r="E102" s="21">
        <f t="shared" si="46"/>
        <v>-1.9920318725099601E-2</v>
      </c>
      <c r="F102" s="22">
        <f>IF(ISNUMBER(D102), $B118 * E102, "")</f>
        <v>-2988.0478087649403</v>
      </c>
      <c r="G102" s="30">
        <v>246</v>
      </c>
      <c r="H102" s="21">
        <f t="shared" si="47"/>
        <v>-1.9920318725099601E-2</v>
      </c>
      <c r="I102" s="105">
        <f>IF(ISNUMBER(G102), $B118 * H102, "")</f>
        <v>-2988.0478087649403</v>
      </c>
      <c r="J102" s="20">
        <v>248</v>
      </c>
      <c r="K102" s="21">
        <f t="shared" si="48"/>
        <v>-1.1952191235059761E-2</v>
      </c>
      <c r="L102" s="22">
        <f>IF(ISNUMBER(J102), $B118 * K102, "")</f>
        <v>-1792.828685258964</v>
      </c>
      <c r="M102" s="30">
        <v>247</v>
      </c>
      <c r="N102" s="21">
        <f t="shared" si="49"/>
        <v>-1.5936254980079681E-2</v>
      </c>
      <c r="O102" s="22">
        <f>IF(ISNUMBER(M102), $B118 * N102, "")</f>
        <v>-2390.4382470119522</v>
      </c>
      <c r="Q102" s="196"/>
      <c r="R102" s="196"/>
      <c r="S102" s="196"/>
    </row>
    <row r="103" spans="1:19" ht="17.25" thickBot="1">
      <c r="A103" s="125" t="s">
        <v>329</v>
      </c>
      <c r="B103" s="129">
        <v>98070</v>
      </c>
      <c r="C103" s="80">
        <v>2.14560983E-2</v>
      </c>
      <c r="D103" s="106">
        <v>92510</v>
      </c>
      <c r="E103" s="107">
        <f>IF(ISNUMBER(D103), (D103 - $B103) / $B103, "")</f>
        <v>-5.669419802182115E-2</v>
      </c>
      <c r="F103" s="108">
        <f>IF(ISNUMBER(D103), $B118 * E103, "")</f>
        <v>-8504.1297032731727</v>
      </c>
      <c r="G103" s="109">
        <v>94790</v>
      </c>
      <c r="H103" s="107">
        <f>IF(ISNUMBER(G103), (G103 - $B103) / $B103, "")</f>
        <v>-3.3445498113592334E-2</v>
      </c>
      <c r="I103" s="110">
        <f>IF(ISNUMBER(G103), $B118 * H103, "")</f>
        <v>-5016.8247170388504</v>
      </c>
      <c r="J103" s="106">
        <v>95850</v>
      </c>
      <c r="K103" s="107">
        <f>IF(ISNUMBER(J103), (J103 - $B103) / $B103, "")</f>
        <v>-2.2636892015907004E-2</v>
      </c>
      <c r="L103" s="108">
        <f>IF(ISNUMBER(J103), $B118 * K103, "")</f>
        <v>-3395.5338023860504</v>
      </c>
      <c r="M103" s="109">
        <v>94350</v>
      </c>
      <c r="N103" s="107">
        <f>IF(ISNUMBER(M103), (M103 - $B103) / $B103, "")</f>
        <v>-3.7932089323952277E-2</v>
      </c>
      <c r="O103" s="108">
        <f>IF(ISNUMBER(M103), $B118 * N103, "")</f>
        <v>-5689.8133985928416</v>
      </c>
      <c r="Q103" s="196"/>
      <c r="R103" s="196"/>
      <c r="S103" s="196"/>
    </row>
    <row r="104" spans="1:19" ht="17.25" thickBot="1">
      <c r="A104" s="125" t="s">
        <v>85</v>
      </c>
      <c r="B104" s="126">
        <v>246</v>
      </c>
      <c r="C104" s="77">
        <v>2.0746888000000002E-2</v>
      </c>
      <c r="D104" s="15">
        <v>236</v>
      </c>
      <c r="E104" s="32">
        <f t="shared" ref="E104:E107" si="50">IF(ISNUMBER(D104), (D104 - $B104) / $B104, "")</f>
        <v>-4.065040650406504E-2</v>
      </c>
      <c r="F104" s="18">
        <f>IF(ISNUMBER(D104), $B118 * E104, "")</f>
        <v>-6097.5609756097556</v>
      </c>
      <c r="G104" s="31">
        <v>262</v>
      </c>
      <c r="H104" s="32">
        <f t="shared" ref="H104:H107" si="51">IF(ISNUMBER(G104), (G104 - $B104) / $B104, "")</f>
        <v>6.5040650406504072E-2</v>
      </c>
      <c r="I104" s="101">
        <f>IF(ISNUMBER(G104), $B118 * H104, "")</f>
        <v>9756.0975609756115</v>
      </c>
      <c r="J104" s="15">
        <v>259</v>
      </c>
      <c r="K104" s="32">
        <f t="shared" ref="K104:K107" si="52">IF(ISNUMBER(J104), (J104 - $B104) / $B104, "")</f>
        <v>5.2845528455284556E-2</v>
      </c>
      <c r="L104" s="18">
        <f>IF(ISNUMBER(J104), $B118 * K104, "")</f>
        <v>7926.8292682926831</v>
      </c>
      <c r="M104" s="31">
        <v>258</v>
      </c>
      <c r="N104" s="32">
        <f t="shared" ref="N104:N107" si="53">IF(ISNUMBER(M104), (M104 - $B104) / $B104, "")</f>
        <v>4.878048780487805E-2</v>
      </c>
      <c r="O104" s="18">
        <f>IF(ISNUMBER(M104), $B118 * N104, "")</f>
        <v>7317.0731707317073</v>
      </c>
      <c r="Q104" s="196"/>
      <c r="R104" s="196"/>
      <c r="S104" s="196"/>
    </row>
    <row r="105" spans="1:19" ht="17.25" thickBot="1">
      <c r="A105" s="125" t="s">
        <v>160</v>
      </c>
      <c r="B105" s="126">
        <v>413</v>
      </c>
      <c r="C105" s="77">
        <v>1.2254902E-2</v>
      </c>
      <c r="D105" s="15">
        <v>407</v>
      </c>
      <c r="E105" s="32">
        <f t="shared" si="50"/>
        <v>-1.4527845036319613E-2</v>
      </c>
      <c r="F105" s="18">
        <f>IF(ISNUMBER(D105), $B118 * E105, "")</f>
        <v>-2179.176755447942</v>
      </c>
      <c r="G105" s="31">
        <v>406</v>
      </c>
      <c r="H105" s="32">
        <f t="shared" si="51"/>
        <v>-1.6949152542372881E-2</v>
      </c>
      <c r="I105" s="101">
        <f>IF(ISNUMBER(G105), $B118 * H105, "")</f>
        <v>-2542.3728813559323</v>
      </c>
      <c r="J105" s="15">
        <v>409</v>
      </c>
      <c r="K105" s="32">
        <f t="shared" si="52"/>
        <v>-9.6852300242130755E-3</v>
      </c>
      <c r="L105" s="18">
        <f>IF(ISNUMBER(J105), $B118 * K105, "")</f>
        <v>-1452.7845036319613</v>
      </c>
      <c r="M105" s="31">
        <v>406</v>
      </c>
      <c r="N105" s="32">
        <f t="shared" si="53"/>
        <v>-1.6949152542372881E-2</v>
      </c>
      <c r="O105" s="18">
        <f>IF(ISNUMBER(M105), $B118 * N105, "")</f>
        <v>-2542.3728813559323</v>
      </c>
      <c r="Q105" s="196"/>
      <c r="R105" s="196"/>
      <c r="S105" s="196"/>
    </row>
    <row r="106" spans="1:19" ht="17.25" thickBot="1">
      <c r="A106" s="125" t="s">
        <v>113</v>
      </c>
      <c r="B106" s="126">
        <v>4160</v>
      </c>
      <c r="C106" s="77">
        <v>1.2165450100000001E-2</v>
      </c>
      <c r="D106" s="15">
        <v>3815</v>
      </c>
      <c r="E106" s="32">
        <f t="shared" si="50"/>
        <v>-8.2932692307692304E-2</v>
      </c>
      <c r="F106" s="18">
        <f>IF(ISNUMBER(D106), $B118 * E106, "")</f>
        <v>-12439.903846153846</v>
      </c>
      <c r="G106" s="31">
        <v>3875</v>
      </c>
      <c r="H106" s="32">
        <f t="shared" si="51"/>
        <v>-6.8509615384615391E-2</v>
      </c>
      <c r="I106" s="101">
        <f>IF(ISNUMBER(G106), $B118 * H106, "")</f>
        <v>-10276.442307692309</v>
      </c>
      <c r="J106" s="15">
        <v>3905</v>
      </c>
      <c r="K106" s="32">
        <f t="shared" si="52"/>
        <v>-6.129807692307692E-2</v>
      </c>
      <c r="L106" s="18">
        <f>IF(ISNUMBER(J106), $B118 * K106, "")</f>
        <v>-9194.7115384615372</v>
      </c>
      <c r="M106" s="31">
        <v>3900</v>
      </c>
      <c r="N106" s="32">
        <f t="shared" si="53"/>
        <v>-6.25E-2</v>
      </c>
      <c r="O106" s="18">
        <f>IF(ISNUMBER(M106), $B118 * N106, "")</f>
        <v>-9375</v>
      </c>
      <c r="Q106" s="33"/>
      <c r="R106" s="33"/>
    </row>
    <row r="107" spans="1:19" ht="17.25" thickBot="1">
      <c r="A107" s="130" t="s">
        <v>120</v>
      </c>
      <c r="B107" s="131">
        <v>347</v>
      </c>
      <c r="C107" s="79">
        <v>5.7971014E-3</v>
      </c>
      <c r="D107" s="24">
        <v>324</v>
      </c>
      <c r="E107" s="25">
        <f t="shared" si="50"/>
        <v>-6.6282420749279536E-2</v>
      </c>
      <c r="F107" s="104">
        <f>IF(ISNUMBER(D107), $B118 * E107, "")</f>
        <v>-9942.3631123919313</v>
      </c>
      <c r="G107" s="102">
        <v>326</v>
      </c>
      <c r="H107" s="25">
        <f t="shared" si="51"/>
        <v>-6.0518731988472622E-2</v>
      </c>
      <c r="I107" s="103">
        <f>IF(ISNUMBER(G107), $B118 * H107, "")</f>
        <v>-9077.8097982708932</v>
      </c>
      <c r="J107" s="24">
        <v>327</v>
      </c>
      <c r="K107" s="25">
        <f t="shared" si="52"/>
        <v>-5.7636887608069162E-2</v>
      </c>
      <c r="L107" s="104">
        <f>IF(ISNUMBER(J107), $B118 * K107, "")</f>
        <v>-8645.5331412103751</v>
      </c>
      <c r="M107" s="102">
        <v>327</v>
      </c>
      <c r="N107" s="25">
        <f t="shared" si="53"/>
        <v>-5.7636887608069162E-2</v>
      </c>
      <c r="O107" s="104">
        <f>IF(ISNUMBER(M107), $B118 * N107, "")</f>
        <v>-8645.5331412103751</v>
      </c>
      <c r="Q107" s="205"/>
      <c r="R107" s="206"/>
      <c r="S107" s="207"/>
    </row>
    <row r="108" spans="1:19">
      <c r="A108" s="123" t="s">
        <v>331</v>
      </c>
      <c r="B108" s="124">
        <v>978</v>
      </c>
      <c r="C108" s="76">
        <v>3.0769231000000001E-3</v>
      </c>
      <c r="D108" s="13">
        <v>937</v>
      </c>
      <c r="E108" s="14">
        <f>IF(ISNUMBER(D108), (D108 - $B108) / $B108, "")</f>
        <v>-4.1922290388548056E-2</v>
      </c>
      <c r="F108" s="16">
        <f>IF(ISNUMBER(D108), $B118 * E108, "")</f>
        <v>-6288.3435582822085</v>
      </c>
      <c r="G108" s="29">
        <v>941</v>
      </c>
      <c r="H108" s="14">
        <f>IF(ISNUMBER(G108), (G108 - $B108) / $B108, "")</f>
        <v>-3.7832310838445807E-2</v>
      </c>
      <c r="I108" s="100">
        <f>IF(ISNUMBER(G108), $B118 * H108, "")</f>
        <v>-5674.8466257668706</v>
      </c>
      <c r="J108" s="13">
        <v>947</v>
      </c>
      <c r="K108" s="14">
        <f>IF(ISNUMBER(J108), (J108 - $B108) / $B108, "")</f>
        <v>-3.1697341513292433E-2</v>
      </c>
      <c r="L108" s="16">
        <f>IF(ISNUMBER(J108), $B118 * K108, "")</f>
        <v>-4754.6012269938647</v>
      </c>
      <c r="M108" s="29">
        <v>945</v>
      </c>
      <c r="N108" s="14">
        <f>IF(ISNUMBER(M108), (M108 - $B108) / $B108, "")</f>
        <v>-3.3742331288343558E-2</v>
      </c>
      <c r="O108" s="16">
        <f>IF(ISNUMBER(M108), $B118 * N108, "")</f>
        <v>-5061.3496932515336</v>
      </c>
      <c r="Q108" s="208"/>
      <c r="R108" s="209"/>
      <c r="S108" s="210"/>
    </row>
    <row r="109" spans="1:19" ht="17.25" thickBot="1">
      <c r="A109" s="125" t="s">
        <v>193</v>
      </c>
      <c r="B109" s="126">
        <v>7385</v>
      </c>
      <c r="C109" s="77">
        <v>2.7155464999999998E-3</v>
      </c>
      <c r="D109" s="15">
        <v>7120</v>
      </c>
      <c r="E109" s="32">
        <f t="shared" ref="E109:E112" si="54">IF(ISNUMBER(D109), (D109 - $B109) / $B109, "")</f>
        <v>-3.5883547731888961E-2</v>
      </c>
      <c r="F109" s="18">
        <f>IF(ISNUMBER(D109), $B118 * E109, "")</f>
        <v>-5382.5321597833445</v>
      </c>
      <c r="G109" s="31">
        <v>7235</v>
      </c>
      <c r="H109" s="32">
        <f t="shared" ref="H109:H112" si="55">IF(ISNUMBER(G109), (G109 - $B109) / $B109, "")</f>
        <v>-2.0311442112389978E-2</v>
      </c>
      <c r="I109" s="101">
        <f>IF(ISNUMBER(G109), $B118 * H109, "")</f>
        <v>-3046.7163168584966</v>
      </c>
      <c r="J109" s="15">
        <v>7305</v>
      </c>
      <c r="K109" s="32">
        <f t="shared" ref="K109:K112" si="56">IF(ISNUMBER(J109), (J109 - $B109) / $B109, "")</f>
        <v>-1.0832769126607989E-2</v>
      </c>
      <c r="L109" s="18">
        <f>IF(ISNUMBER(J109), $B118 * K109, "")</f>
        <v>-1624.9153689911984</v>
      </c>
      <c r="M109" s="31">
        <v>7200</v>
      </c>
      <c r="N109" s="32">
        <f t="shared" ref="N109:N112" si="57">IF(ISNUMBER(M109), (M109 - $B109) / $B109, "")</f>
        <v>-2.5050778605280974E-2</v>
      </c>
      <c r="O109" s="18">
        <f>IF(ISNUMBER(M109), $B118 * N109, "")</f>
        <v>-3757.6167907921463</v>
      </c>
      <c r="Q109" s="211"/>
      <c r="R109" s="212"/>
      <c r="S109" s="213"/>
    </row>
    <row r="110" spans="1:19" ht="17.25" thickBot="1">
      <c r="A110" s="125" t="s">
        <v>158</v>
      </c>
      <c r="B110" s="126">
        <v>68</v>
      </c>
      <c r="C110" s="77">
        <v>0</v>
      </c>
      <c r="D110" s="15">
        <v>66.099999999999994</v>
      </c>
      <c r="E110" s="32">
        <f t="shared" si="54"/>
        <v>-2.794117647058832E-2</v>
      </c>
      <c r="F110" s="18">
        <f>IF(ISNUMBER(D110), $B118 * E110, "")</f>
        <v>-4191.1764705882479</v>
      </c>
      <c r="G110" s="31">
        <v>67.400000000000006</v>
      </c>
      <c r="H110" s="32">
        <f t="shared" si="55"/>
        <v>-8.8235294117646225E-3</v>
      </c>
      <c r="I110" s="101">
        <f>IF(ISNUMBER(G110), $B118 * H110, "")</f>
        <v>-1323.5294117646934</v>
      </c>
      <c r="J110" s="15">
        <v>67.3</v>
      </c>
      <c r="K110" s="32">
        <f t="shared" si="56"/>
        <v>-1.0294117647058865E-2</v>
      </c>
      <c r="L110" s="18">
        <f>IF(ISNUMBER(J110), $B118 * K110, "")</f>
        <v>-1544.1176470588298</v>
      </c>
      <c r="M110" s="31">
        <v>67.2</v>
      </c>
      <c r="N110" s="32">
        <f t="shared" si="57"/>
        <v>-1.1764705882352899E-2</v>
      </c>
      <c r="O110" s="18">
        <f>IF(ISNUMBER(M110), $B118 * N110, "")</f>
        <v>-1764.7058823529349</v>
      </c>
      <c r="Q110" s="196"/>
      <c r="R110" s="196"/>
      <c r="S110" s="196"/>
    </row>
    <row r="111" spans="1:19" ht="17.25" thickBot="1">
      <c r="A111" s="125" t="s">
        <v>249</v>
      </c>
      <c r="B111" s="126">
        <v>238</v>
      </c>
      <c r="C111" s="77">
        <v>0</v>
      </c>
      <c r="D111" s="15">
        <v>229</v>
      </c>
      <c r="E111" s="32">
        <f t="shared" si="54"/>
        <v>-3.7815126050420166E-2</v>
      </c>
      <c r="F111" s="18">
        <f>IF(ISNUMBER(D111), $B118 * E111, "")</f>
        <v>-5672.2689075630251</v>
      </c>
      <c r="G111" s="31">
        <v>230</v>
      </c>
      <c r="H111" s="32">
        <f t="shared" si="55"/>
        <v>-3.3613445378151259E-2</v>
      </c>
      <c r="I111" s="101">
        <f>IF(ISNUMBER(G111), $B118 * H111, "")</f>
        <v>-5042.0168067226887</v>
      </c>
      <c r="J111" s="15">
        <v>233</v>
      </c>
      <c r="K111" s="32">
        <f t="shared" si="56"/>
        <v>-2.100840336134454E-2</v>
      </c>
      <c r="L111" s="18">
        <f>IF(ISNUMBER(J111), $B118 * K111, "")</f>
        <v>-3151.2605042016808</v>
      </c>
      <c r="M111" s="31">
        <v>232</v>
      </c>
      <c r="N111" s="32">
        <f t="shared" si="57"/>
        <v>-2.5210084033613446E-2</v>
      </c>
      <c r="O111" s="18">
        <f>IF(ISNUMBER(M111), $B118 * N111, "")</f>
        <v>-3781.5126050420167</v>
      </c>
      <c r="Q111" s="191"/>
      <c r="R111" s="191"/>
      <c r="S111" s="191"/>
    </row>
    <row r="112" spans="1:19" ht="17.25" thickBot="1">
      <c r="A112" s="127" t="s">
        <v>97</v>
      </c>
      <c r="B112" s="128">
        <v>2.3E-3</v>
      </c>
      <c r="C112" s="78">
        <v>0</v>
      </c>
      <c r="D112" s="20">
        <v>2.3E-3</v>
      </c>
      <c r="E112" s="21">
        <f t="shared" si="54"/>
        <v>0</v>
      </c>
      <c r="F112" s="22">
        <f>IF(ISNUMBER(D112), $B118 * E112, "")</f>
        <v>0</v>
      </c>
      <c r="G112" s="30">
        <v>2.2000000000000001E-3</v>
      </c>
      <c r="H112" s="21">
        <f t="shared" si="55"/>
        <v>-4.3478260869565147E-2</v>
      </c>
      <c r="I112" s="105">
        <f>IF(ISNUMBER(G112), $B118 * H112, "")</f>
        <v>-6521.7391304347721</v>
      </c>
      <c r="J112" s="20">
        <v>2.2000000000000001E-3</v>
      </c>
      <c r="K112" s="21">
        <f t="shared" si="56"/>
        <v>-4.3478260869565147E-2</v>
      </c>
      <c r="L112" s="22">
        <f>IF(ISNUMBER(J112), $B118 * K112, "")</f>
        <v>-6521.7391304347721</v>
      </c>
      <c r="M112" s="30">
        <v>2.3E-3</v>
      </c>
      <c r="N112" s="21">
        <f t="shared" si="57"/>
        <v>0</v>
      </c>
      <c r="O112" s="22">
        <f>IF(ISNUMBER(M112), $B118 * N112, "")</f>
        <v>0</v>
      </c>
      <c r="Q112" s="191"/>
      <c r="R112" s="191"/>
      <c r="S112" s="191"/>
    </row>
    <row r="113" spans="1:19" ht="17.25" thickBot="1">
      <c r="A113" s="125" t="s">
        <v>87</v>
      </c>
      <c r="B113" s="129">
        <v>102150</v>
      </c>
      <c r="C113" s="80">
        <v>-4.8923680000000005E-4</v>
      </c>
      <c r="D113" s="106">
        <v>98240</v>
      </c>
      <c r="E113" s="107">
        <f>IF(ISNUMBER(D113), (D113 - $B113) / $B113, "")</f>
        <v>-3.8277043563387174E-2</v>
      </c>
      <c r="F113" s="108">
        <f>IF(ISNUMBER(D113), $B118 * E113, "")</f>
        <v>-5741.5565345080759</v>
      </c>
      <c r="G113" s="109">
        <v>98480</v>
      </c>
      <c r="H113" s="107">
        <f>IF(ISNUMBER(G113), (G113 - $B113) / $B113, "")</f>
        <v>-3.5927557513460599E-2</v>
      </c>
      <c r="I113" s="110">
        <f>IF(ISNUMBER(G113), $B118 * H113, "")</f>
        <v>-5389.1336270190895</v>
      </c>
      <c r="J113" s="106">
        <v>99340</v>
      </c>
      <c r="K113" s="107">
        <f>IF(ISNUMBER(J113), (J113 - $B113) / $B113, "")</f>
        <v>-2.7508565834557023E-2</v>
      </c>
      <c r="L113" s="108">
        <f>IF(ISNUMBER(J113), $B118 * K113, "")</f>
        <v>-4126.2848751835536</v>
      </c>
      <c r="M113" s="109">
        <v>98920</v>
      </c>
      <c r="N113" s="107">
        <f>IF(ISNUMBER(M113), (M113 - $B113) / $B113, "")</f>
        <v>-3.1620166421928539E-2</v>
      </c>
      <c r="O113" s="108">
        <f>IF(ISNUMBER(M113), $B118 * N113, "")</f>
        <v>-4743.024963289281</v>
      </c>
      <c r="Q113" s="196"/>
      <c r="R113" s="196"/>
      <c r="S113" s="196"/>
    </row>
    <row r="114" spans="1:19" ht="17.25" thickBot="1">
      <c r="A114" s="125" t="s">
        <v>201</v>
      </c>
      <c r="B114" s="126">
        <v>511</v>
      </c>
      <c r="C114" s="77">
        <v>-1.953125E-3</v>
      </c>
      <c r="D114" s="15">
        <v>502</v>
      </c>
      <c r="E114" s="32">
        <f t="shared" ref="E114:E117" si="58">IF(ISNUMBER(D114), (D114 - $B114) / $B114, "")</f>
        <v>-1.7612524461839529E-2</v>
      </c>
      <c r="F114" s="18">
        <f>IF(ISNUMBER(D114), $B118 * E114, "")</f>
        <v>-2641.8786692759295</v>
      </c>
      <c r="G114" s="31">
        <v>504</v>
      </c>
      <c r="H114" s="32">
        <f t="shared" ref="H114:H117" si="59">IF(ISNUMBER(G114), (G114 - $B114) / $B114, "")</f>
        <v>-1.3698630136986301E-2</v>
      </c>
      <c r="I114" s="101">
        <f>IF(ISNUMBER(G114), $B118 * H114, "")</f>
        <v>-2054.794520547945</v>
      </c>
      <c r="J114" s="15">
        <v>506</v>
      </c>
      <c r="K114" s="32">
        <f t="shared" ref="K114:K117" si="60">IF(ISNUMBER(J114), (J114 - $B114) / $B114, "")</f>
        <v>-9.7847358121330719E-3</v>
      </c>
      <c r="L114" s="18">
        <f>IF(ISNUMBER(J114), $B118 * K114, "")</f>
        <v>-1467.7103718199608</v>
      </c>
      <c r="M114" s="31">
        <v>502</v>
      </c>
      <c r="N114" s="32">
        <f t="shared" ref="N114:N117" si="61">IF(ISNUMBER(M114), (M114 - $B114) / $B114, "")</f>
        <v>-1.7612524461839529E-2</v>
      </c>
      <c r="O114" s="18">
        <f>IF(ISNUMBER(M114), $B118 * N114, "")</f>
        <v>-2641.8786692759295</v>
      </c>
      <c r="Q114" s="196"/>
      <c r="R114" s="196"/>
      <c r="S114" s="196"/>
    </row>
    <row r="115" spans="1:19" ht="17.25" thickBot="1">
      <c r="A115" s="125" t="s">
        <v>73</v>
      </c>
      <c r="B115" s="126">
        <v>41320</v>
      </c>
      <c r="C115" s="77">
        <v>-5.0565855999999999E-3</v>
      </c>
      <c r="D115" s="15">
        <v>37040</v>
      </c>
      <c r="E115" s="32">
        <f t="shared" si="58"/>
        <v>-0.10358180058083252</v>
      </c>
      <c r="F115" s="18">
        <f>IF(ISNUMBER(D115), $B118 * E115, "")</f>
        <v>-15537.270087124878</v>
      </c>
      <c r="G115" s="31">
        <v>37080</v>
      </c>
      <c r="H115" s="32">
        <f t="shared" si="59"/>
        <v>-0.10261374636979671</v>
      </c>
      <c r="I115" s="101">
        <f>IF(ISNUMBER(G115), $B118 * H115, "")</f>
        <v>-15392.061955469508</v>
      </c>
      <c r="J115" s="15">
        <v>37300</v>
      </c>
      <c r="K115" s="32">
        <f t="shared" si="60"/>
        <v>-9.728944820909971E-2</v>
      </c>
      <c r="L115" s="18">
        <f>IF(ISNUMBER(J115), $B118 * K115, "")</f>
        <v>-14593.417231364956</v>
      </c>
      <c r="M115" s="31">
        <v>37150</v>
      </c>
      <c r="N115" s="32">
        <f t="shared" si="61"/>
        <v>-0.10091965150048403</v>
      </c>
      <c r="O115" s="18">
        <f>IF(ISNUMBER(M115), $B118 * N115, "")</f>
        <v>-15137.947725072605</v>
      </c>
      <c r="Q115" s="196"/>
      <c r="R115" s="196"/>
      <c r="S115" s="196"/>
    </row>
    <row r="116" spans="1:19">
      <c r="A116" s="125" t="s">
        <v>341</v>
      </c>
      <c r="B116" s="126">
        <v>9.0200000000000002E-2</v>
      </c>
      <c r="C116" s="77">
        <v>-6.6079295E-3</v>
      </c>
      <c r="D116" s="15">
        <v>8.8099999999999998E-2</v>
      </c>
      <c r="E116" s="32">
        <f t="shared" si="58"/>
        <v>-2.3281596452328211E-2</v>
      </c>
      <c r="F116" s="18">
        <f>IF(ISNUMBER(D116), $B118 * E116, "")</f>
        <v>-3492.2394678492315</v>
      </c>
      <c r="G116" s="31">
        <v>8.8499999999999995E-2</v>
      </c>
      <c r="H116" s="32">
        <f t="shared" si="59"/>
        <v>-1.8847006651884778E-2</v>
      </c>
      <c r="I116" s="101">
        <f>IF(ISNUMBER(G116), $B118 * H116, "")</f>
        <v>-2827.0509977827169</v>
      </c>
      <c r="J116" s="15">
        <v>8.8999999999999996E-2</v>
      </c>
      <c r="K116" s="32">
        <f t="shared" si="60"/>
        <v>-1.330376940133045E-2</v>
      </c>
      <c r="L116" s="18">
        <f>IF(ISNUMBER(J116), $B118 * K116, "")</f>
        <v>-1995.5654101995674</v>
      </c>
      <c r="M116" s="31">
        <v>8.9200000000000002E-2</v>
      </c>
      <c r="N116" s="32">
        <f t="shared" si="61"/>
        <v>-1.1086474501108657E-2</v>
      </c>
      <c r="O116" s="18">
        <f>IF(ISNUMBER(M116), $B118 * N116, "")</f>
        <v>-1662.9711751662985</v>
      </c>
      <c r="Q116" s="218"/>
      <c r="R116" s="219"/>
      <c r="S116" s="220"/>
    </row>
    <row r="117" spans="1:19" ht="17.25" thickBot="1">
      <c r="A117" s="130" t="s">
        <v>333</v>
      </c>
      <c r="B117" s="131">
        <v>157500</v>
      </c>
      <c r="C117" s="79">
        <v>-7.5614367000000002E-3</v>
      </c>
      <c r="D117" s="24">
        <v>153500</v>
      </c>
      <c r="E117" s="25">
        <f t="shared" si="58"/>
        <v>-2.5396825396825397E-2</v>
      </c>
      <c r="F117" s="104">
        <f>IF(ISNUMBER(D117), $B118 * E117, "")</f>
        <v>-3809.5238095238096</v>
      </c>
      <c r="G117" s="102">
        <v>153800</v>
      </c>
      <c r="H117" s="25">
        <f t="shared" si="59"/>
        <v>-2.3492063492063491E-2</v>
      </c>
      <c r="I117" s="103">
        <f>IF(ISNUMBER(G117), $B118 * H117, "")</f>
        <v>-3523.8095238095239</v>
      </c>
      <c r="J117" s="24">
        <v>153950</v>
      </c>
      <c r="K117" s="25">
        <f t="shared" si="60"/>
        <v>-2.253968253968254E-2</v>
      </c>
      <c r="L117" s="104">
        <f>IF(ISNUMBER(J117), $B118 * K117, "")</f>
        <v>-3380.9523809523812</v>
      </c>
      <c r="M117" s="102">
        <v>153000</v>
      </c>
      <c r="N117" s="25">
        <f t="shared" si="61"/>
        <v>-2.8571428571428571E-2</v>
      </c>
      <c r="O117" s="104">
        <f>IF(ISNUMBER(M117), $B118 * N117, "")</f>
        <v>-4285.7142857142853</v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-4.0603596040067684E-2</v>
      </c>
      <c r="F118" s="28">
        <f>SUM(F98:F117)</f>
        <v>-121810.78812020305</v>
      </c>
      <c r="G118" s="26" t="s">
        <v>266</v>
      </c>
      <c r="H118" s="27">
        <f>IF(COUNT(H98:H117), SUM(H98:H117) / COUNT(H98:H117), 0)</f>
        <v>-3.2590309888396486E-2</v>
      </c>
      <c r="I118" s="28">
        <f>SUM(I98:I117)</f>
        <v>-97770.929665189484</v>
      </c>
      <c r="J118" s="26" t="s">
        <v>266</v>
      </c>
      <c r="K118" s="27">
        <f>IF(COUNT(K98:K117), SUM(K98:K117) / COUNT(K98:K117), 0)</f>
        <v>-2.8076535896578731E-2</v>
      </c>
      <c r="L118" s="28">
        <f>SUM(L98:L117)</f>
        <v>-84229.607689736193</v>
      </c>
      <c r="M118" s="26" t="s">
        <v>266</v>
      </c>
      <c r="N118" s="27">
        <f>IF(COUNT(N98:N117), SUM(N98:N117) / COUNT(N98:N117), 0)</f>
        <v>-3.3158993696668512E-2</v>
      </c>
      <c r="O118" s="28">
        <f>SUM(O98:O117)</f>
        <v>-99476.981090005575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2022-03-05(토) 오전 00:00</v>
      </c>
      <c r="C123" s="234"/>
      <c r="D123" s="193" t="str">
        <f>TEXT($G$1, "[$-ko-KR]yyyy-mm-dd(ddd) ") &amp; "오후 14:00"</f>
        <v>2022-03-05(토) 오후 14:00</v>
      </c>
      <c r="E123" s="194"/>
      <c r="F123" s="195"/>
      <c r="G123" s="193" t="str">
        <f>TEXT($G$1, "[$-ko-KR]yyyy-mm-dd(ddd) ") &amp; "오후 19:00"</f>
        <v>2022-03-05(토) 오후 19:00</v>
      </c>
      <c r="H123" s="194"/>
      <c r="I123" s="195"/>
      <c r="J123" s="193" t="str">
        <f>TEXT($G$1, "[$-ko-KR]yyyy-mm-dd(ddd) ") &amp; "오후 21:00"</f>
        <v>2022-03-05(토) 오후 21:00</v>
      </c>
      <c r="K123" s="194"/>
      <c r="L123" s="195"/>
      <c r="M123" s="193" t="str">
        <f>TEXT($G$1+1, "[$-ko-KR]yyyy-mm-dd(ddd) ") &amp; "오전 00:00"</f>
        <v>2022-03-06(일)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245</v>
      </c>
      <c r="B125" s="124">
        <v>57.9</v>
      </c>
      <c r="C125" s="76">
        <v>-1.53061224E-2</v>
      </c>
      <c r="D125" s="13">
        <v>57</v>
      </c>
      <c r="E125" s="14">
        <f>IF(ISNUMBER(D125), (D125 - $B125) / $B125, "")</f>
        <v>-1.5544041450777177E-2</v>
      </c>
      <c r="F125" s="16">
        <f>IF(ISNUMBER(D125), $B145 * E125, "")</f>
        <v>-2331.6062176165765</v>
      </c>
      <c r="G125" s="29">
        <v>57.5</v>
      </c>
      <c r="H125" s="14">
        <f>IF(ISNUMBER(G125), (G125 - $B125) / $B125, "")</f>
        <v>-6.9084628670120652E-3</v>
      </c>
      <c r="I125" s="100">
        <f>IF(ISNUMBER(G125), $B145 * H125, "")</f>
        <v>-1036.2694300518099</v>
      </c>
      <c r="J125" s="13">
        <v>57.6</v>
      </c>
      <c r="K125" s="14">
        <f>IF(ISNUMBER(J125), (J125 - $B125) / $B125, "")</f>
        <v>-5.1813471502590181E-3</v>
      </c>
      <c r="L125" s="16">
        <f>IF(ISNUMBER(J125), $B145 * K125, "")</f>
        <v>-777.20207253885269</v>
      </c>
      <c r="M125" s="29">
        <v>58.1</v>
      </c>
      <c r="N125" s="14">
        <f>IF(ISNUMBER(M125), (M125 - $B125) / $B125, "")</f>
        <v>3.4542314335060942E-3</v>
      </c>
      <c r="O125" s="16">
        <f>IF(ISNUMBER(M125), $B145 * N125, "")</f>
        <v>518.13471502591415</v>
      </c>
      <c r="Q125" s="191"/>
      <c r="R125" s="191"/>
      <c r="S125" s="191"/>
    </row>
    <row r="126" spans="1:19" ht="17.25" thickBot="1">
      <c r="A126" s="125" t="s">
        <v>205</v>
      </c>
      <c r="B126" s="126">
        <v>11.5</v>
      </c>
      <c r="C126" s="77">
        <v>-1.7094017100000001E-2</v>
      </c>
      <c r="D126" s="15">
        <v>11.4</v>
      </c>
      <c r="E126" s="32">
        <f t="shared" ref="E126:E129" si="62">IF(ISNUMBER(D126), (D126 - $B126) / $B126, "")</f>
        <v>-8.6956521739130124E-3</v>
      </c>
      <c r="F126" s="18">
        <f>IF(ISNUMBER(D126), $B145 * E126, "")</f>
        <v>-1304.347826086952</v>
      </c>
      <c r="G126" s="31">
        <v>11.5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11.5</v>
      </c>
      <c r="K126" s="32">
        <f t="shared" ref="K126:K129" si="64">IF(ISNUMBER(J126), (J126 - $B126) / $B126, "")</f>
        <v>0</v>
      </c>
      <c r="L126" s="18">
        <f>IF(ISNUMBER(J126), $B145 * K126, "")</f>
        <v>0</v>
      </c>
      <c r="M126" s="31">
        <v>11.6</v>
      </c>
      <c r="N126" s="32">
        <f t="shared" ref="N126:N129" si="65">IF(ISNUMBER(M126), (M126 - $B126) / $B126, "")</f>
        <v>8.6956521739130124E-3</v>
      </c>
      <c r="O126" s="18">
        <f>IF(ISNUMBER(M126), $B145 * N126, "")</f>
        <v>1304.347826086952</v>
      </c>
      <c r="Q126" s="191"/>
      <c r="R126" s="191"/>
      <c r="S126" s="191"/>
    </row>
    <row r="127" spans="1:19" ht="17.25" thickBot="1">
      <c r="A127" s="125" t="s">
        <v>140</v>
      </c>
      <c r="B127" s="126">
        <v>83.9</v>
      </c>
      <c r="C127" s="77">
        <v>-1.75644028E-2</v>
      </c>
      <c r="D127" s="15">
        <v>79.7</v>
      </c>
      <c r="E127" s="32">
        <f t="shared" si="62"/>
        <v>-5.0059594755661532E-2</v>
      </c>
      <c r="F127" s="18">
        <f>IF(ISNUMBER(D127), $B145 * E127, "")</f>
        <v>-7508.9392133492302</v>
      </c>
      <c r="G127" s="31">
        <v>81.099999999999994</v>
      </c>
      <c r="H127" s="32">
        <f t="shared" si="63"/>
        <v>-3.3373063170441135E-2</v>
      </c>
      <c r="I127" s="101">
        <f>IF(ISNUMBER(G127), $B145 * H127, "")</f>
        <v>-5005.9594755661701</v>
      </c>
      <c r="J127" s="15">
        <v>82</v>
      </c>
      <c r="K127" s="32">
        <f t="shared" si="64"/>
        <v>-2.2646007151370745E-2</v>
      </c>
      <c r="L127" s="18">
        <f>IF(ISNUMBER(J127), $B145 * K127, "")</f>
        <v>-3396.9010727056116</v>
      </c>
      <c r="M127" s="31">
        <v>81.8</v>
      </c>
      <c r="N127" s="32">
        <f t="shared" si="65"/>
        <v>-2.5029797377830849E-2</v>
      </c>
      <c r="O127" s="18">
        <f>IF(ISNUMBER(M127), $B145 * N127, "")</f>
        <v>-3754.4696066746274</v>
      </c>
      <c r="Q127" s="196"/>
      <c r="R127" s="196"/>
      <c r="S127" s="196"/>
    </row>
    <row r="128" spans="1:19" ht="17.25" thickBot="1">
      <c r="A128" s="125" t="s">
        <v>185</v>
      </c>
      <c r="B128" s="126">
        <v>10.1</v>
      </c>
      <c r="C128" s="77">
        <v>-1.9417475699999999E-2</v>
      </c>
      <c r="D128" s="15">
        <v>10</v>
      </c>
      <c r="E128" s="32">
        <f t="shared" si="62"/>
        <v>-9.9009900990098664E-3</v>
      </c>
      <c r="F128" s="18">
        <f>IF(ISNUMBER(D128), $B145 * E128, "")</f>
        <v>-1485.1485148514801</v>
      </c>
      <c r="G128" s="31">
        <v>10.1</v>
      </c>
      <c r="H128" s="32">
        <f t="shared" si="63"/>
        <v>0</v>
      </c>
      <c r="I128" s="101">
        <f>IF(ISNUMBER(G128), $B145 * H128, "")</f>
        <v>0</v>
      </c>
      <c r="J128" s="15">
        <v>10.1</v>
      </c>
      <c r="K128" s="32">
        <f t="shared" si="64"/>
        <v>0</v>
      </c>
      <c r="L128" s="18">
        <f>IF(ISNUMBER(J128), $B145 * K128, "")</f>
        <v>0</v>
      </c>
      <c r="M128" s="31">
        <v>10</v>
      </c>
      <c r="N128" s="32">
        <f t="shared" si="65"/>
        <v>-9.9009900990098664E-3</v>
      </c>
      <c r="O128" s="18">
        <f>IF(ISNUMBER(M128), $B145 * N128, "")</f>
        <v>-1485.1485148514801</v>
      </c>
      <c r="Q128" s="196"/>
      <c r="R128" s="196"/>
      <c r="S128" s="196"/>
    </row>
    <row r="129" spans="1:19" ht="17.25" thickBot="1">
      <c r="A129" s="127" t="s">
        <v>71</v>
      </c>
      <c r="B129" s="128">
        <v>19.3</v>
      </c>
      <c r="C129" s="78">
        <v>-2.0304568499999998E-2</v>
      </c>
      <c r="D129" s="20">
        <v>18.7</v>
      </c>
      <c r="E129" s="21">
        <f t="shared" si="62"/>
        <v>-3.1088082901554476E-2</v>
      </c>
      <c r="F129" s="22">
        <f>IF(ISNUMBER(D129), $B145 * E129, "")</f>
        <v>-4663.2124352331712</v>
      </c>
      <c r="G129" s="30">
        <v>18.899999999999999</v>
      </c>
      <c r="H129" s="21">
        <f t="shared" si="63"/>
        <v>-2.0725388601036378E-2</v>
      </c>
      <c r="I129" s="105">
        <f>IF(ISNUMBER(G129), $B145 * H129, "")</f>
        <v>-3108.8082901554567</v>
      </c>
      <c r="J129" s="20">
        <v>19</v>
      </c>
      <c r="K129" s="21">
        <f t="shared" si="64"/>
        <v>-1.5544041450777238E-2</v>
      </c>
      <c r="L129" s="22">
        <f>IF(ISNUMBER(J129), $B145 * K129, "")</f>
        <v>-2331.6062176165856</v>
      </c>
      <c r="M129" s="30">
        <v>19</v>
      </c>
      <c r="N129" s="21">
        <f t="shared" si="65"/>
        <v>-1.5544041450777238E-2</v>
      </c>
      <c r="O129" s="22">
        <f>IF(ISNUMBER(M129), $B145 * N129, "")</f>
        <v>-2331.6062176165856</v>
      </c>
      <c r="Q129" s="196"/>
      <c r="R129" s="196"/>
      <c r="S129" s="196"/>
    </row>
    <row r="130" spans="1:19" ht="17.25" thickBot="1">
      <c r="A130" s="125" t="s">
        <v>128</v>
      </c>
      <c r="B130" s="129">
        <v>50.2</v>
      </c>
      <c r="C130" s="80">
        <v>-2.14424951E-2</v>
      </c>
      <c r="D130" s="106">
        <v>47.6</v>
      </c>
      <c r="E130" s="107">
        <f>IF(ISNUMBER(D130), (D130 - $B130) / $B130, "")</f>
        <v>-5.1792828685258988E-2</v>
      </c>
      <c r="F130" s="108">
        <f>IF(ISNUMBER(D130), $B145 * E130, "")</f>
        <v>-7768.9243027888479</v>
      </c>
      <c r="G130" s="109">
        <v>48.4</v>
      </c>
      <c r="H130" s="107">
        <f>IF(ISNUMBER(G130), (G130 - $B130) / $B130, "")</f>
        <v>-3.5856573705179369E-2</v>
      </c>
      <c r="I130" s="110">
        <f>IF(ISNUMBER(G130), $B145 * H130, "")</f>
        <v>-5378.4860557769052</v>
      </c>
      <c r="J130" s="106">
        <v>48.8</v>
      </c>
      <c r="K130" s="107">
        <f>IF(ISNUMBER(J130), (J130 - $B130) / $B130, "")</f>
        <v>-2.7888446215139553E-2</v>
      </c>
      <c r="L130" s="108">
        <f>IF(ISNUMBER(J130), $B145 * K130, "")</f>
        <v>-4183.2669322709326</v>
      </c>
      <c r="M130" s="109">
        <v>48.9</v>
      </c>
      <c r="N130" s="107">
        <f>IF(ISNUMBER(M130), (M130 - $B130) / $B130, "")</f>
        <v>-2.5896414342629567E-2</v>
      </c>
      <c r="O130" s="108">
        <f>IF(ISNUMBER(M130), $B145 * N130, "")</f>
        <v>-3884.4621513944348</v>
      </c>
      <c r="Q130" s="196"/>
      <c r="R130" s="196"/>
      <c r="S130" s="196"/>
    </row>
    <row r="131" spans="1:19" ht="17.25" thickBot="1">
      <c r="A131" s="125" t="s">
        <v>146</v>
      </c>
      <c r="B131" s="126">
        <v>8.49</v>
      </c>
      <c r="C131" s="77">
        <v>-2.30149597E-2</v>
      </c>
      <c r="D131" s="15">
        <v>8.18</v>
      </c>
      <c r="E131" s="32">
        <f t="shared" ref="E131:E134" si="66">IF(ISNUMBER(D131), (D131 - $B131) / $B131, "")</f>
        <v>-3.6513545347467667E-2</v>
      </c>
      <c r="F131" s="18">
        <f>IF(ISNUMBER(D131), $B145 * E131, "")</f>
        <v>-5477.0318021201501</v>
      </c>
      <c r="G131" s="31">
        <v>8.2899999999999991</v>
      </c>
      <c r="H131" s="32">
        <f t="shared" ref="H131:H134" si="67">IF(ISNUMBER(G131), (G131 - $B131) / $B131, "")</f>
        <v>-2.355712603062439E-2</v>
      </c>
      <c r="I131" s="101">
        <f>IF(ISNUMBER(G131), $B145 * H131, "")</f>
        <v>-3533.5689045936583</v>
      </c>
      <c r="J131" s="15">
        <v>8.33</v>
      </c>
      <c r="K131" s="32">
        <f t="shared" ref="K131:K134" si="68">IF(ISNUMBER(J131), (J131 - $B131) / $B131, "")</f>
        <v>-1.8845700824499427E-2</v>
      </c>
      <c r="L131" s="18">
        <f>IF(ISNUMBER(J131), $B145 * K131, "")</f>
        <v>-2826.855123674914</v>
      </c>
      <c r="M131" s="31">
        <v>8.34</v>
      </c>
      <c r="N131" s="32">
        <f t="shared" ref="N131:N134" si="69">IF(ISNUMBER(M131), (M131 - $B131) / $B131, "")</f>
        <v>-1.766784452296824E-2</v>
      </c>
      <c r="O131" s="18">
        <f>IF(ISNUMBER(M131), $B145 * N131, "")</f>
        <v>-2650.1766784452361</v>
      </c>
      <c r="Q131" s="196"/>
      <c r="R131" s="196"/>
      <c r="S131" s="196"/>
    </row>
    <row r="132" spans="1:19" ht="17.25" thickBot="1">
      <c r="A132" s="125" t="s">
        <v>233</v>
      </c>
      <c r="B132" s="126">
        <v>99.5</v>
      </c>
      <c r="C132" s="77">
        <v>-2.4509803899999998E-2</v>
      </c>
      <c r="D132" s="15">
        <v>97.8</v>
      </c>
      <c r="E132" s="32">
        <f t="shared" si="66"/>
        <v>-1.708542713567842E-2</v>
      </c>
      <c r="F132" s="18">
        <f>IF(ISNUMBER(D132), $B145 * E132, "")</f>
        <v>-2562.8140703517629</v>
      </c>
      <c r="G132" s="31">
        <v>97.8</v>
      </c>
      <c r="H132" s="32">
        <f t="shared" si="67"/>
        <v>-1.708542713567842E-2</v>
      </c>
      <c r="I132" s="101">
        <f>IF(ISNUMBER(G132), $B145 * H132, "")</f>
        <v>-2562.8140703517629</v>
      </c>
      <c r="J132" s="15">
        <v>98.6</v>
      </c>
      <c r="K132" s="32">
        <f t="shared" si="68"/>
        <v>-9.0452261306533232E-3</v>
      </c>
      <c r="L132" s="18">
        <f>IF(ISNUMBER(J132), $B145 * K132, "")</f>
        <v>-1356.7839195979984</v>
      </c>
      <c r="M132" s="31">
        <v>98.4</v>
      </c>
      <c r="N132" s="32">
        <f t="shared" si="69"/>
        <v>-1.1055276381909491E-2</v>
      </c>
      <c r="O132" s="18">
        <f>IF(ISNUMBER(M132), $B145 * N132, "")</f>
        <v>-1658.2914572864236</v>
      </c>
      <c r="Q132" s="196"/>
      <c r="R132" s="196"/>
      <c r="S132" s="196"/>
    </row>
    <row r="133" spans="1:19" ht="17.25" thickBot="1">
      <c r="A133" s="125" t="s">
        <v>346</v>
      </c>
      <c r="B133" s="126">
        <v>9.26</v>
      </c>
      <c r="C133" s="77">
        <v>-2.52631579E-2</v>
      </c>
      <c r="D133" s="15">
        <v>9.7200000000000006</v>
      </c>
      <c r="E133" s="32">
        <f t="shared" si="66"/>
        <v>4.9676025917926657E-2</v>
      </c>
      <c r="F133" s="18">
        <f>IF(ISNUMBER(D133), $B145 * E133, "")</f>
        <v>7451.4038876889981</v>
      </c>
      <c r="G133" s="31">
        <v>9.6300000000000008</v>
      </c>
      <c r="H133" s="32">
        <f t="shared" si="67"/>
        <v>3.9956803455723652E-2</v>
      </c>
      <c r="I133" s="101">
        <f>IF(ISNUMBER(G133), $B145 * H133, "")</f>
        <v>5993.5205183585476</v>
      </c>
      <c r="J133" s="15">
        <v>9.9600000000000009</v>
      </c>
      <c r="K133" s="32">
        <f t="shared" si="68"/>
        <v>7.5593952483801408E-2</v>
      </c>
      <c r="L133" s="18">
        <f>IF(ISNUMBER(J133), $B145 * K133, "")</f>
        <v>11339.092872570211</v>
      </c>
      <c r="M133" s="31">
        <v>9.81</v>
      </c>
      <c r="N133" s="32">
        <f t="shared" si="69"/>
        <v>5.9395248380129669E-2</v>
      </c>
      <c r="O133" s="18">
        <f>IF(ISNUMBER(M133), $B145 * N133, "")</f>
        <v>8909.2872570194504</v>
      </c>
      <c r="Q133" s="33"/>
      <c r="R133" s="33"/>
    </row>
    <row r="134" spans="1:19" ht="17.25" thickBot="1">
      <c r="A134" s="130" t="s">
        <v>211</v>
      </c>
      <c r="B134" s="131">
        <v>7.32</v>
      </c>
      <c r="C134" s="79">
        <v>-2.65957447E-2</v>
      </c>
      <c r="D134" s="24">
        <v>7.14</v>
      </c>
      <c r="E134" s="25">
        <f t="shared" si="66"/>
        <v>-2.4590163934426312E-2</v>
      </c>
      <c r="F134" s="104">
        <f>IF(ISNUMBER(D134), $B145 * E134, "")</f>
        <v>-3688.5245901639469</v>
      </c>
      <c r="G134" s="102">
        <v>7.17</v>
      </c>
      <c r="H134" s="25">
        <f t="shared" si="67"/>
        <v>-2.0491803278688572E-2</v>
      </c>
      <c r="I134" s="103">
        <f>IF(ISNUMBER(G134), $B145 * H134, "")</f>
        <v>-3073.7704918032859</v>
      </c>
      <c r="J134" s="24">
        <v>7.22</v>
      </c>
      <c r="K134" s="25">
        <f t="shared" si="68"/>
        <v>-1.3661202185792422E-2</v>
      </c>
      <c r="L134" s="104">
        <f>IF(ISNUMBER(J134), $B145 * K134, "")</f>
        <v>-2049.1803278688635</v>
      </c>
      <c r="M134" s="102">
        <v>7.19</v>
      </c>
      <c r="N134" s="25">
        <f t="shared" si="69"/>
        <v>-1.775956284153004E-2</v>
      </c>
      <c r="O134" s="104">
        <f>IF(ISNUMBER(M134), $B145 * N134, "")</f>
        <v>-2663.9344262295058</v>
      </c>
      <c r="Q134" s="205"/>
      <c r="R134" s="206"/>
      <c r="S134" s="207"/>
    </row>
    <row r="135" spans="1:19">
      <c r="A135" s="123" t="s">
        <v>203</v>
      </c>
      <c r="B135" s="124">
        <v>7.63</v>
      </c>
      <c r="C135" s="76">
        <v>-2.6785714299999999E-2</v>
      </c>
      <c r="D135" s="13">
        <v>7.41</v>
      </c>
      <c r="E135" s="14">
        <f>IF(ISNUMBER(D135), (D135 - $B135) / $B135, "")</f>
        <v>-2.8833551769331552E-2</v>
      </c>
      <c r="F135" s="16">
        <f>IF(ISNUMBER(D135), $B145 * E135, "")</f>
        <v>-4325.0327653997329</v>
      </c>
      <c r="G135" s="29">
        <v>7.54</v>
      </c>
      <c r="H135" s="14">
        <f>IF(ISNUMBER(G135), (G135 - $B135) / $B135, "")</f>
        <v>-1.1795543905635631E-2</v>
      </c>
      <c r="I135" s="100">
        <f>IF(ISNUMBER(G135), $B145 * H135, "")</f>
        <v>-1769.3315858453448</v>
      </c>
      <c r="J135" s="13">
        <v>7.61</v>
      </c>
      <c r="K135" s="14">
        <f>IF(ISNUMBER(J135), (J135 - $B135) / $B135, "")</f>
        <v>-2.6212319790300882E-3</v>
      </c>
      <c r="L135" s="16">
        <f>IF(ISNUMBER(J135), $B145 * K135, "")</f>
        <v>-393.18479685451325</v>
      </c>
      <c r="M135" s="29">
        <v>7.59</v>
      </c>
      <c r="N135" s="14">
        <f>IF(ISNUMBER(M135), (M135 - $B135) / $B135, "")</f>
        <v>-5.2424639580602927E-3</v>
      </c>
      <c r="O135" s="16">
        <f>IF(ISNUMBER(M135), $B145 * N135, "")</f>
        <v>-786.3695937090439</v>
      </c>
      <c r="Q135" s="208"/>
      <c r="R135" s="209"/>
      <c r="S135" s="210"/>
    </row>
    <row r="136" spans="1:19" ht="17.25" thickBot="1">
      <c r="A136" s="125" t="s">
        <v>126</v>
      </c>
      <c r="B136" s="126">
        <v>85.7</v>
      </c>
      <c r="C136" s="77">
        <v>-2.94450736E-2</v>
      </c>
      <c r="D136" s="15">
        <v>83.5</v>
      </c>
      <c r="E136" s="32">
        <f t="shared" ref="E136:E139" si="70">IF(ISNUMBER(D136), (D136 - $B136) / $B136, "")</f>
        <v>-2.5670945157526288E-2</v>
      </c>
      <c r="F136" s="18">
        <f>IF(ISNUMBER(D136), $B145 * E136, "")</f>
        <v>-3850.6417736289432</v>
      </c>
      <c r="G136" s="31">
        <v>82.8</v>
      </c>
      <c r="H136" s="32">
        <f t="shared" ref="H136:H139" si="71">IF(ISNUMBER(G136), (G136 - $B136) / $B136, "")</f>
        <v>-3.3838973162193767E-2</v>
      </c>
      <c r="I136" s="101">
        <f>IF(ISNUMBER(G136), $B145 * H136, "")</f>
        <v>-5075.845974329065</v>
      </c>
      <c r="J136" s="15">
        <v>83.6</v>
      </c>
      <c r="K136" s="32">
        <f t="shared" ref="K136:K139" si="72">IF(ISNUMBER(J136), (J136 - $B136) / $B136, "")</f>
        <v>-2.4504084014002434E-2</v>
      </c>
      <c r="L136" s="18">
        <f>IF(ISNUMBER(J136), $B145 * K136, "")</f>
        <v>-3675.6126021003652</v>
      </c>
      <c r="M136" s="31">
        <v>84</v>
      </c>
      <c r="N136" s="32">
        <f t="shared" ref="N136:N139" si="73">IF(ISNUMBER(M136), (M136 - $B136) / $B136, "")</f>
        <v>-1.9836639439906684E-2</v>
      </c>
      <c r="O136" s="18">
        <f>IF(ISNUMBER(M136), $B145 * N136, "")</f>
        <v>-2975.4959159860027</v>
      </c>
      <c r="Q136" s="211"/>
      <c r="R136" s="212"/>
      <c r="S136" s="213"/>
    </row>
    <row r="137" spans="1:19" ht="17.25" thickBot="1">
      <c r="A137" s="125" t="s">
        <v>189</v>
      </c>
      <c r="B137" s="126">
        <v>87.9</v>
      </c>
      <c r="C137" s="77">
        <v>-2.98013245E-2</v>
      </c>
      <c r="D137" s="15">
        <v>88.5</v>
      </c>
      <c r="E137" s="32">
        <f t="shared" si="70"/>
        <v>6.825938566552836E-3</v>
      </c>
      <c r="F137" s="18">
        <f>IF(ISNUMBER(D137), $B145 * E137, "")</f>
        <v>1023.8907849829254</v>
      </c>
      <c r="G137" s="31">
        <v>88.4</v>
      </c>
      <c r="H137" s="32">
        <f t="shared" si="71"/>
        <v>5.6882821387940841E-3</v>
      </c>
      <c r="I137" s="101">
        <f>IF(ISNUMBER(G137), $B145 * H137, "")</f>
        <v>853.24232081911259</v>
      </c>
      <c r="J137" s="15">
        <v>88.7</v>
      </c>
      <c r="K137" s="32">
        <f t="shared" si="72"/>
        <v>9.1012514220705013E-3</v>
      </c>
      <c r="L137" s="18">
        <f>IF(ISNUMBER(J137), $B145 * K137, "")</f>
        <v>1365.1877133105752</v>
      </c>
      <c r="M137" s="31">
        <v>88.1</v>
      </c>
      <c r="N137" s="32">
        <f t="shared" si="73"/>
        <v>2.2753128555175043E-3</v>
      </c>
      <c r="O137" s="18">
        <f>IF(ISNUMBER(M137), $B145 * N137, "")</f>
        <v>341.29692832762566</v>
      </c>
      <c r="Q137" s="196"/>
      <c r="R137" s="196"/>
      <c r="S137" s="196"/>
    </row>
    <row r="138" spans="1:19" ht="17.25" thickBot="1">
      <c r="A138" s="125" t="s">
        <v>229</v>
      </c>
      <c r="B138" s="126">
        <v>51.5</v>
      </c>
      <c r="C138" s="77">
        <v>-3.0131826699999999E-2</v>
      </c>
      <c r="D138" s="15">
        <v>50.6</v>
      </c>
      <c r="E138" s="32">
        <f t="shared" si="70"/>
        <v>-1.7475728155339779E-2</v>
      </c>
      <c r="F138" s="18">
        <f>IF(ISNUMBER(D138), $B145 * E138, "")</f>
        <v>-2621.3592233009667</v>
      </c>
      <c r="G138" s="31">
        <v>50.7</v>
      </c>
      <c r="H138" s="32">
        <f t="shared" si="71"/>
        <v>-1.5533980582524217E-2</v>
      </c>
      <c r="I138" s="101">
        <f>IF(ISNUMBER(G138), $B145 * H138, "")</f>
        <v>-2330.0970873786328</v>
      </c>
      <c r="J138" s="15">
        <v>51</v>
      </c>
      <c r="K138" s="32">
        <f t="shared" si="72"/>
        <v>-9.7087378640776691E-3</v>
      </c>
      <c r="L138" s="18">
        <f>IF(ISNUMBER(J138), $B145 * K138, "")</f>
        <v>-1456.3106796116504</v>
      </c>
      <c r="M138" s="31">
        <v>50.7</v>
      </c>
      <c r="N138" s="32">
        <f t="shared" si="73"/>
        <v>-1.5533980582524217E-2</v>
      </c>
      <c r="O138" s="18">
        <f>IF(ISNUMBER(M138), $B145 * N138, "")</f>
        <v>-2330.0970873786328</v>
      </c>
      <c r="Q138" s="191"/>
      <c r="R138" s="191"/>
      <c r="S138" s="191"/>
    </row>
    <row r="139" spans="1:19" ht="17.25" thickBot="1">
      <c r="A139" s="127" t="s">
        <v>118</v>
      </c>
      <c r="B139" s="128">
        <v>17.600000000000001</v>
      </c>
      <c r="C139" s="78">
        <v>-3.2967033E-2</v>
      </c>
      <c r="D139" s="20">
        <v>17</v>
      </c>
      <c r="E139" s="21">
        <f t="shared" si="70"/>
        <v>-3.4090909090909172E-2</v>
      </c>
      <c r="F139" s="22">
        <f>IF(ISNUMBER(D139), $B145 * E139, "")</f>
        <v>-5113.6363636363758</v>
      </c>
      <c r="G139" s="30">
        <v>17.3</v>
      </c>
      <c r="H139" s="21">
        <f t="shared" si="71"/>
        <v>-1.7045454545454586E-2</v>
      </c>
      <c r="I139" s="105">
        <f>IF(ISNUMBER(G139), $B145 * H139, "")</f>
        <v>-2556.8181818181879</v>
      </c>
      <c r="J139" s="20">
        <v>17.7</v>
      </c>
      <c r="K139" s="21">
        <f t="shared" si="72"/>
        <v>5.6818181818180605E-3</v>
      </c>
      <c r="L139" s="22">
        <f>IF(ISNUMBER(J139), $B145 * K139, "")</f>
        <v>852.27272727270906</v>
      </c>
      <c r="M139" s="30">
        <v>17.7</v>
      </c>
      <c r="N139" s="21">
        <f t="shared" si="73"/>
        <v>5.6818181818180605E-3</v>
      </c>
      <c r="O139" s="22">
        <f>IF(ISNUMBER(M139), $B145 * N139, "")</f>
        <v>852.27272727270906</v>
      </c>
      <c r="Q139" s="191"/>
      <c r="R139" s="191"/>
      <c r="S139" s="191"/>
    </row>
    <row r="140" spans="1:19" ht="17.25" thickBot="1">
      <c r="A140" s="125" t="s">
        <v>64</v>
      </c>
      <c r="B140" s="129">
        <v>29</v>
      </c>
      <c r="C140" s="80">
        <v>-3.3333333299999997E-2</v>
      </c>
      <c r="D140" s="106">
        <v>28</v>
      </c>
      <c r="E140" s="107">
        <f>IF(ISNUMBER(D140), (D140 - $B140) / $B140, "")</f>
        <v>-3.4482758620689655E-2</v>
      </c>
      <c r="F140" s="108">
        <f>IF(ISNUMBER(D140), $B145 * E140, "")</f>
        <v>-5172.4137931034484</v>
      </c>
      <c r="G140" s="109">
        <v>28.2</v>
      </c>
      <c r="H140" s="107">
        <f>IF(ISNUMBER(G140), (G140 - $B140) / $B140, "")</f>
        <v>-2.7586206896551748E-2</v>
      </c>
      <c r="I140" s="110">
        <f>IF(ISNUMBER(G140), $B145 * H140, "")</f>
        <v>-4137.9310344827618</v>
      </c>
      <c r="J140" s="106">
        <v>28.6</v>
      </c>
      <c r="K140" s="107">
        <f>IF(ISNUMBER(J140), (J140 - $B140) / $B140, "")</f>
        <v>-1.3793103448275813E-2</v>
      </c>
      <c r="L140" s="108">
        <f>IF(ISNUMBER(J140), $B145 * K140, "")</f>
        <v>-2068.9655172413718</v>
      </c>
      <c r="M140" s="109">
        <v>28.6</v>
      </c>
      <c r="N140" s="107">
        <f>IF(ISNUMBER(M140), (M140 - $B140) / $B140, "")</f>
        <v>-1.3793103448275813E-2</v>
      </c>
      <c r="O140" s="108">
        <f>IF(ISNUMBER(M140), $B145 * N140, "")</f>
        <v>-2068.9655172413718</v>
      </c>
      <c r="Q140" s="196"/>
      <c r="R140" s="196"/>
      <c r="S140" s="196"/>
    </row>
    <row r="141" spans="1:19" ht="17.25" thickBot="1">
      <c r="A141" s="125" t="s">
        <v>144</v>
      </c>
      <c r="B141" s="126">
        <v>10.7</v>
      </c>
      <c r="C141" s="77">
        <v>-3.6036036E-2</v>
      </c>
      <c r="D141" s="15">
        <v>10.4</v>
      </c>
      <c r="E141" s="32">
        <f t="shared" ref="E141:E144" si="74">IF(ISNUMBER(D141), (D141 - $B141) / $B141, "")</f>
        <v>-2.8037383177569996E-2</v>
      </c>
      <c r="F141" s="18">
        <f>IF(ISNUMBER(D141), $B145 * E141, "")</f>
        <v>-4205.6074766354996</v>
      </c>
      <c r="G141" s="31">
        <v>10.7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10.6</v>
      </c>
      <c r="K141" s="32">
        <f t="shared" ref="K141:K144" si="76">IF(ISNUMBER(J141), (J141 - $B141) / $B141, "")</f>
        <v>-9.3457943925233326E-3</v>
      </c>
      <c r="L141" s="18">
        <f>IF(ISNUMBER(J141), $B145 * K141, "")</f>
        <v>-1401.8691588784998</v>
      </c>
      <c r="M141" s="31">
        <v>10.6</v>
      </c>
      <c r="N141" s="32">
        <f t="shared" ref="N141:N144" si="77">IF(ISNUMBER(M141), (M141 - $B141) / $B141, "")</f>
        <v>-9.3457943925233326E-3</v>
      </c>
      <c r="O141" s="18">
        <f>IF(ISNUMBER(M141), $B145 * N141, "")</f>
        <v>-1401.8691588784998</v>
      </c>
      <c r="Q141" s="196"/>
      <c r="R141" s="196"/>
      <c r="S141" s="196"/>
    </row>
    <row r="142" spans="1:19" ht="17.25" thickBot="1">
      <c r="A142" s="125" t="s">
        <v>174</v>
      </c>
      <c r="B142" s="126">
        <v>10.4</v>
      </c>
      <c r="C142" s="77">
        <v>-3.7037037000000002E-2</v>
      </c>
      <c r="D142" s="15">
        <v>10.3</v>
      </c>
      <c r="E142" s="32">
        <f t="shared" si="74"/>
        <v>-9.6153846153845812E-3</v>
      </c>
      <c r="F142" s="18">
        <f>IF(ISNUMBER(D142), $B145 * E142, "")</f>
        <v>-1442.3076923076871</v>
      </c>
      <c r="G142" s="31">
        <v>10.4</v>
      </c>
      <c r="H142" s="32">
        <f t="shared" si="75"/>
        <v>0</v>
      </c>
      <c r="I142" s="101">
        <f>IF(ISNUMBER(G142), $B145 * H142, "")</f>
        <v>0</v>
      </c>
      <c r="J142" s="15">
        <v>10.5</v>
      </c>
      <c r="K142" s="32">
        <f t="shared" si="76"/>
        <v>9.6153846153845812E-3</v>
      </c>
      <c r="L142" s="18">
        <f>IF(ISNUMBER(J142), $B145 * K142, "")</f>
        <v>1442.3076923076871</v>
      </c>
      <c r="M142" s="31">
        <v>10.4</v>
      </c>
      <c r="N142" s="32">
        <f t="shared" si="77"/>
        <v>0</v>
      </c>
      <c r="O142" s="18">
        <f>IF(ISNUMBER(M142), $B145 * N142, "")</f>
        <v>0</v>
      </c>
      <c r="Q142" s="196"/>
      <c r="R142" s="196"/>
      <c r="S142" s="196"/>
    </row>
    <row r="143" spans="1:19">
      <c r="A143" s="125" t="s">
        <v>199</v>
      </c>
      <c r="B143" s="126">
        <v>11.2</v>
      </c>
      <c r="C143" s="77">
        <v>-4.2735042700000003E-2</v>
      </c>
      <c r="D143" s="15">
        <v>11.1</v>
      </c>
      <c r="E143" s="32">
        <f t="shared" si="74"/>
        <v>-8.9285714285713969E-3</v>
      </c>
      <c r="F143" s="18">
        <f>IF(ISNUMBER(D143), $B145 * E143, "")</f>
        <v>-1339.2857142857094</v>
      </c>
      <c r="G143" s="31">
        <v>11.1</v>
      </c>
      <c r="H143" s="32">
        <f t="shared" si="75"/>
        <v>-8.9285714285713969E-3</v>
      </c>
      <c r="I143" s="101">
        <f>IF(ISNUMBER(G143), $B145 * H143, "")</f>
        <v>-1339.2857142857094</v>
      </c>
      <c r="J143" s="15">
        <v>11.2</v>
      </c>
      <c r="K143" s="32">
        <f t="shared" si="76"/>
        <v>0</v>
      </c>
      <c r="L143" s="18">
        <f>IF(ISNUMBER(J143), $B145 * K143, "")</f>
        <v>0</v>
      </c>
      <c r="M143" s="31">
        <v>11</v>
      </c>
      <c r="N143" s="32">
        <f t="shared" si="77"/>
        <v>-1.7857142857142794E-2</v>
      </c>
      <c r="O143" s="18">
        <f>IF(ISNUMBER(M143), $B145 * N143, "")</f>
        <v>-2678.5714285714189</v>
      </c>
      <c r="Q143" s="218"/>
      <c r="R143" s="219"/>
      <c r="S143" s="220"/>
    </row>
    <row r="144" spans="1:19" ht="17.25" thickBot="1">
      <c r="A144" s="130" t="s">
        <v>124</v>
      </c>
      <c r="B144" s="131">
        <v>63.7</v>
      </c>
      <c r="C144" s="79">
        <v>-4.3543543499999997E-2</v>
      </c>
      <c r="D144" s="24">
        <v>60</v>
      </c>
      <c r="E144" s="25">
        <f t="shared" si="74"/>
        <v>-5.8084772370486697E-2</v>
      </c>
      <c r="F144" s="104">
        <f>IF(ISNUMBER(D144), $B145 * E144, "")</f>
        <v>-8712.7158555730039</v>
      </c>
      <c r="G144" s="102">
        <v>61.4</v>
      </c>
      <c r="H144" s="25">
        <f t="shared" si="75"/>
        <v>-3.6106750392464741E-2</v>
      </c>
      <c r="I144" s="103">
        <f>IF(ISNUMBER(G144), $B145 * H144, "")</f>
        <v>-5416.012558869711</v>
      </c>
      <c r="J144" s="24">
        <v>62.2</v>
      </c>
      <c r="K144" s="25">
        <f t="shared" si="76"/>
        <v>-2.3547880690737832E-2</v>
      </c>
      <c r="L144" s="104">
        <f>IF(ISNUMBER(J144), $B145 * K144, "")</f>
        <v>-3532.1821036106749</v>
      </c>
      <c r="M144" s="102">
        <v>61.5</v>
      </c>
      <c r="N144" s="25">
        <f t="shared" si="77"/>
        <v>-3.4536891679748868E-2</v>
      </c>
      <c r="O144" s="104">
        <f>IF(ISNUMBER(M144), $B145 * N144, "")</f>
        <v>-5180.5337519623299</v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-2.1699418319253854E-2</v>
      </c>
      <c r="F145" s="28">
        <f>SUM(F125:F144)</f>
        <v>-65098.254957761565</v>
      </c>
      <c r="G145" s="26" t="s">
        <v>266</v>
      </c>
      <c r="H145" s="27">
        <f>IF(COUNT(H125:H144), SUM(H125:H144) / COUNT(H125:H144), 0)</f>
        <v>-1.3159412005376936E-2</v>
      </c>
      <c r="I145" s="28">
        <f>SUM(I125:I144)</f>
        <v>-39478.236016130802</v>
      </c>
      <c r="J145" s="26" t="s">
        <v>266</v>
      </c>
      <c r="K145" s="27">
        <f>IF(COUNT(K125:K144), SUM(K125:K144) / COUNT(K125:K144), 0)</f>
        <v>-4.8170198397032172E-3</v>
      </c>
      <c r="L145" s="28">
        <f>SUM(L125:L144)</f>
        <v>-14451.059519109651</v>
      </c>
      <c r="M145" s="26" t="s">
        <v>266</v>
      </c>
      <c r="N145" s="27">
        <f>IF(COUNT(N125:N144), SUM(N125:N144) / COUNT(N125:N144), 0)</f>
        <v>-7.9748840174976472E-3</v>
      </c>
      <c r="O145" s="28">
        <f>SUM(O125:O144)</f>
        <v>-23924.652052492936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2022-03-05(토) 오전 00:00</v>
      </c>
      <c r="C150" s="234"/>
      <c r="D150" s="193" t="str">
        <f>TEXT($G$1, "[$-ko-KR]yyyy-mm-dd(ddd) ") &amp; "오후 14:00"</f>
        <v>2022-03-05(토) 오후 14:00</v>
      </c>
      <c r="E150" s="194"/>
      <c r="F150" s="195"/>
      <c r="G150" s="193" t="str">
        <f>TEXT($G$1, "[$-ko-KR]yyyy-mm-dd(ddd) ") &amp; "오후 19:00"</f>
        <v>2022-03-05(토) 오후 19:00</v>
      </c>
      <c r="H150" s="194"/>
      <c r="I150" s="195"/>
      <c r="J150" s="193" t="str">
        <f>TEXT($G$1, "[$-ko-KR]yyyy-mm-dd(ddd) ") &amp; "오후 21:00"</f>
        <v>2022-03-05(토) 오후 21:00</v>
      </c>
      <c r="K150" s="194"/>
      <c r="L150" s="195"/>
      <c r="M150" s="193" t="str">
        <f>TEXT($G$1+1, "[$-ko-KR]yyyy-mm-dd(ddd) ") &amp; "오전 00:00"</f>
        <v>2022-03-06(일)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170</v>
      </c>
      <c r="B152" s="124">
        <v>658</v>
      </c>
      <c r="C152" s="76">
        <v>-2.08333333E-2</v>
      </c>
      <c r="D152" s="13">
        <v>645</v>
      </c>
      <c r="E152" s="14">
        <f>IF(ISNUMBER(D152), (D152 - $B152) / $B152, "")</f>
        <v>-1.9756838905775075E-2</v>
      </c>
      <c r="F152" s="16">
        <f>IF(ISNUMBER(D152), $B172 * E152, "")</f>
        <v>-2963.5258358662613</v>
      </c>
      <c r="G152" s="29">
        <v>651</v>
      </c>
      <c r="H152" s="14">
        <f>IF(ISNUMBER(G152), (G152 - $B152) / $B152, "")</f>
        <v>-1.0638297872340425E-2</v>
      </c>
      <c r="I152" s="100">
        <f>IF(ISNUMBER(G152), $B172 * H152, "")</f>
        <v>-1595.7446808510638</v>
      </c>
      <c r="J152" s="13">
        <v>653</v>
      </c>
      <c r="K152" s="14">
        <f>IF(ISNUMBER(J152), (J152 - $B152) / $B152, "")</f>
        <v>-7.5987841945288756E-3</v>
      </c>
      <c r="L152" s="16">
        <f>IF(ISNUMBER(J152), $B172 * K152, "")</f>
        <v>-1139.8176291793313</v>
      </c>
      <c r="M152" s="29">
        <v>647</v>
      </c>
      <c r="N152" s="14">
        <f>IF(ISNUMBER(M152), (M152 - $B152) / $B152, "")</f>
        <v>-1.6717325227963525E-2</v>
      </c>
      <c r="O152" s="16">
        <f>IF(ISNUMBER(M152), $B172 * N152, "")</f>
        <v>-2507.5987841945289</v>
      </c>
      <c r="Q152" s="191"/>
      <c r="R152" s="191"/>
      <c r="S152" s="191"/>
    </row>
    <row r="153" spans="1:19" ht="17.25" thickBot="1">
      <c r="A153" s="125" t="s">
        <v>215</v>
      </c>
      <c r="B153" s="126">
        <v>137</v>
      </c>
      <c r="C153" s="77">
        <v>-2.1428571399999999E-2</v>
      </c>
      <c r="D153" s="15">
        <v>136</v>
      </c>
      <c r="E153" s="32">
        <f t="shared" ref="E153:E156" si="78">IF(ISNUMBER(D153), (D153 - $B153) / $B153, "")</f>
        <v>-7.2992700729927005E-3</v>
      </c>
      <c r="F153" s="18">
        <f>IF(ISNUMBER(D153), $B172 * E153, "")</f>
        <v>-1094.8905109489051</v>
      </c>
      <c r="G153" s="31">
        <v>136</v>
      </c>
      <c r="H153" s="32">
        <f t="shared" ref="H153:H156" si="79">IF(ISNUMBER(G153), (G153 - $B153) / $B153, "")</f>
        <v>-7.2992700729927005E-3</v>
      </c>
      <c r="I153" s="101">
        <f>IF(ISNUMBER(G153), $B172 * H153, "")</f>
        <v>-1094.8905109489051</v>
      </c>
      <c r="J153" s="15">
        <v>136</v>
      </c>
      <c r="K153" s="32">
        <f t="shared" ref="K153:K156" si="80">IF(ISNUMBER(J153), (J153 - $B153) / $B153, "")</f>
        <v>-7.2992700729927005E-3</v>
      </c>
      <c r="L153" s="18">
        <f>IF(ISNUMBER(J153), $B172 * K153, "")</f>
        <v>-1094.8905109489051</v>
      </c>
      <c r="M153" s="31">
        <v>135</v>
      </c>
      <c r="N153" s="32">
        <f t="shared" ref="N153:N156" si="81">IF(ISNUMBER(M153), (M153 - $B153) / $B153, "")</f>
        <v>-1.4598540145985401E-2</v>
      </c>
      <c r="O153" s="18">
        <f>IF(ISNUMBER(M153), $B172 * N153, "")</f>
        <v>-2189.7810218978102</v>
      </c>
      <c r="Q153" s="191"/>
      <c r="R153" s="191"/>
      <c r="S153" s="191"/>
    </row>
    <row r="154" spans="1:19" ht="17.25" thickBot="1">
      <c r="A154" s="125" t="s">
        <v>51</v>
      </c>
      <c r="B154" s="126">
        <v>224</v>
      </c>
      <c r="C154" s="77">
        <v>-2.6086956500000001E-2</v>
      </c>
      <c r="D154" s="15">
        <v>217</v>
      </c>
      <c r="E154" s="32">
        <f t="shared" si="78"/>
        <v>-3.125E-2</v>
      </c>
      <c r="F154" s="18">
        <f>IF(ISNUMBER(D154), $B172 * E154, "")</f>
        <v>-4687.5</v>
      </c>
      <c r="G154" s="31">
        <v>217</v>
      </c>
      <c r="H154" s="32">
        <f t="shared" si="79"/>
        <v>-3.125E-2</v>
      </c>
      <c r="I154" s="101">
        <f>IF(ISNUMBER(G154), $B172 * H154, "")</f>
        <v>-4687.5</v>
      </c>
      <c r="J154" s="15">
        <v>219</v>
      </c>
      <c r="K154" s="32">
        <f t="shared" si="80"/>
        <v>-2.2321428571428572E-2</v>
      </c>
      <c r="L154" s="18">
        <f>IF(ISNUMBER(J154), $B172 * K154, "")</f>
        <v>-3348.2142857142858</v>
      </c>
      <c r="M154" s="31">
        <v>220</v>
      </c>
      <c r="N154" s="32">
        <f t="shared" si="81"/>
        <v>-1.7857142857142856E-2</v>
      </c>
      <c r="O154" s="18">
        <f>IF(ISNUMBER(M154), $B172 * N154, "")</f>
        <v>-2678.5714285714284</v>
      </c>
      <c r="Q154" s="196"/>
      <c r="R154" s="196"/>
      <c r="S154" s="196"/>
    </row>
    <row r="155" spans="1:19" ht="17.25" thickBot="1">
      <c r="A155" s="125" t="s">
        <v>235</v>
      </c>
      <c r="B155" s="126">
        <v>111</v>
      </c>
      <c r="C155" s="77">
        <v>-2.6315789499999999E-2</v>
      </c>
      <c r="D155" s="15">
        <v>111</v>
      </c>
      <c r="E155" s="32">
        <f t="shared" si="78"/>
        <v>0</v>
      </c>
      <c r="F155" s="18">
        <f>IF(ISNUMBER(D155), $B172 * E155, "")</f>
        <v>0</v>
      </c>
      <c r="G155" s="31">
        <v>109</v>
      </c>
      <c r="H155" s="32">
        <f t="shared" si="79"/>
        <v>-1.8018018018018018E-2</v>
      </c>
      <c r="I155" s="101">
        <f>IF(ISNUMBER(G155), $B172 * H155, "")</f>
        <v>-2702.7027027027025</v>
      </c>
      <c r="J155" s="15">
        <v>110</v>
      </c>
      <c r="K155" s="32">
        <f t="shared" si="80"/>
        <v>-9.0090090090090089E-3</v>
      </c>
      <c r="L155" s="18">
        <f>IF(ISNUMBER(J155), $B172 * K155, "")</f>
        <v>-1351.3513513513512</v>
      </c>
      <c r="M155" s="31">
        <v>110</v>
      </c>
      <c r="N155" s="32">
        <f t="shared" si="81"/>
        <v>-9.0090090090090089E-3</v>
      </c>
      <c r="O155" s="18">
        <f>IF(ISNUMBER(M155), $B172 * N155, "")</f>
        <v>-1351.3513513513512</v>
      </c>
      <c r="Q155" s="196"/>
      <c r="R155" s="196"/>
      <c r="S155" s="196"/>
    </row>
    <row r="156" spans="1:19" ht="17.25" thickBot="1">
      <c r="A156" s="127" t="s">
        <v>225</v>
      </c>
      <c r="B156" s="128">
        <v>354</v>
      </c>
      <c r="C156" s="78">
        <v>-2.74725275E-2</v>
      </c>
      <c r="D156" s="20">
        <v>349</v>
      </c>
      <c r="E156" s="21">
        <f t="shared" si="78"/>
        <v>-1.4124293785310734E-2</v>
      </c>
      <c r="F156" s="22">
        <f>IF(ISNUMBER(D156), $B172 * E156, "")</f>
        <v>-2118.6440677966102</v>
      </c>
      <c r="G156" s="30">
        <v>354</v>
      </c>
      <c r="H156" s="21">
        <f t="shared" si="79"/>
        <v>0</v>
      </c>
      <c r="I156" s="105">
        <f>IF(ISNUMBER(G156), $B172 * H156, "")</f>
        <v>0</v>
      </c>
      <c r="J156" s="20">
        <v>354</v>
      </c>
      <c r="K156" s="21">
        <f t="shared" si="80"/>
        <v>0</v>
      </c>
      <c r="L156" s="22">
        <f>IF(ISNUMBER(J156), $B172 * K156, "")</f>
        <v>0</v>
      </c>
      <c r="M156" s="30">
        <v>353</v>
      </c>
      <c r="N156" s="21">
        <f t="shared" si="81"/>
        <v>-2.8248587570621469E-3</v>
      </c>
      <c r="O156" s="22">
        <f>IF(ISNUMBER(M156), $B172 * N156, "")</f>
        <v>-423.72881355932202</v>
      </c>
      <c r="Q156" s="196"/>
      <c r="R156" s="196"/>
      <c r="S156" s="196"/>
    </row>
    <row r="157" spans="1:19" ht="17.25" thickBot="1">
      <c r="A157" s="125" t="s">
        <v>180</v>
      </c>
      <c r="B157" s="129">
        <v>909</v>
      </c>
      <c r="C157" s="80">
        <v>-2.78074866E-2</v>
      </c>
      <c r="D157" s="106">
        <v>897</v>
      </c>
      <c r="E157" s="107">
        <f>IF(ISNUMBER(D157), (D157 - $B157) / $B157, "")</f>
        <v>-1.3201320132013201E-2</v>
      </c>
      <c r="F157" s="108">
        <f>IF(ISNUMBER(D157), $B172 * E157, "")</f>
        <v>-1980.1980198019803</v>
      </c>
      <c r="G157" s="109">
        <v>902</v>
      </c>
      <c r="H157" s="107">
        <f>IF(ISNUMBER(G157), (G157 - $B157) / $B157, "")</f>
        <v>-7.7007700770077006E-3</v>
      </c>
      <c r="I157" s="110">
        <f>IF(ISNUMBER(G157), $B172 * H157, "")</f>
        <v>-1155.1155115511551</v>
      </c>
      <c r="J157" s="106">
        <v>905</v>
      </c>
      <c r="K157" s="107">
        <f>IF(ISNUMBER(J157), (J157 - $B157) / $B157, "")</f>
        <v>-4.4004400440044002E-3</v>
      </c>
      <c r="L157" s="108">
        <f>IF(ISNUMBER(J157), $B172 * K157, "")</f>
        <v>-660.06600660065999</v>
      </c>
      <c r="M157" s="109">
        <v>902</v>
      </c>
      <c r="N157" s="107">
        <f>IF(ISNUMBER(M157), (M157 - $B157) / $B157, "")</f>
        <v>-7.7007700770077006E-3</v>
      </c>
      <c r="O157" s="108">
        <f>IF(ISNUMBER(M157), $B172 * N157, "")</f>
        <v>-1155.1155115511551</v>
      </c>
      <c r="Q157" s="196"/>
      <c r="R157" s="196"/>
      <c r="S157" s="196"/>
    </row>
    <row r="158" spans="1:19" ht="17.25" thickBot="1">
      <c r="A158" s="125" t="s">
        <v>339</v>
      </c>
      <c r="B158" s="126">
        <v>510</v>
      </c>
      <c r="C158" s="77">
        <v>-2.85714286E-2</v>
      </c>
      <c r="D158" s="15">
        <v>490</v>
      </c>
      <c r="E158" s="32">
        <f t="shared" ref="E158:E161" si="82">IF(ISNUMBER(D158), (D158 - $B158) / $B158, "")</f>
        <v>-3.9215686274509803E-2</v>
      </c>
      <c r="F158" s="18">
        <f>IF(ISNUMBER(D158), $B172 * E158, "")</f>
        <v>-5882.3529411764703</v>
      </c>
      <c r="G158" s="31">
        <v>498</v>
      </c>
      <c r="H158" s="32">
        <f t="shared" ref="H158:H161" si="83">IF(ISNUMBER(G158), (G158 - $B158) / $B158, "")</f>
        <v>-2.3529411764705882E-2</v>
      </c>
      <c r="I158" s="101">
        <f>IF(ISNUMBER(G158), $B172 * H158, "")</f>
        <v>-3529.4117647058824</v>
      </c>
      <c r="J158" s="15">
        <v>502</v>
      </c>
      <c r="K158" s="32">
        <f t="shared" ref="K158:K161" si="84">IF(ISNUMBER(J158), (J158 - $B158) / $B158, "")</f>
        <v>-1.5686274509803921E-2</v>
      </c>
      <c r="L158" s="18">
        <f>IF(ISNUMBER(J158), $B172 * K158, "")</f>
        <v>-2352.9411764705883</v>
      </c>
      <c r="M158" s="31">
        <v>497</v>
      </c>
      <c r="N158" s="32">
        <f t="shared" ref="N158:N161" si="85">IF(ISNUMBER(M158), (M158 - $B158) / $B158, "")</f>
        <v>-2.5490196078431372E-2</v>
      </c>
      <c r="O158" s="18">
        <f>IF(ISNUMBER(M158), $B172 * N158, "")</f>
        <v>-3823.5294117647059</v>
      </c>
      <c r="Q158" s="196"/>
      <c r="R158" s="196"/>
      <c r="S158" s="196"/>
    </row>
    <row r="159" spans="1:19" ht="17.25" thickBot="1">
      <c r="A159" s="125" t="s">
        <v>217</v>
      </c>
      <c r="B159" s="126">
        <v>202</v>
      </c>
      <c r="C159" s="77">
        <v>-2.88461538E-2</v>
      </c>
      <c r="D159" s="15">
        <v>204</v>
      </c>
      <c r="E159" s="32">
        <f t="shared" si="82"/>
        <v>9.9009900990099011E-3</v>
      </c>
      <c r="F159" s="18">
        <f>IF(ISNUMBER(D159), $B172 * E159, "")</f>
        <v>1485.1485148514851</v>
      </c>
      <c r="G159" s="31">
        <v>199</v>
      </c>
      <c r="H159" s="32">
        <f t="shared" si="83"/>
        <v>-1.4851485148514851E-2</v>
      </c>
      <c r="I159" s="101">
        <f>IF(ISNUMBER(G159), $B172 * H159, "")</f>
        <v>-2227.7227722772277</v>
      </c>
      <c r="J159" s="15">
        <v>199</v>
      </c>
      <c r="K159" s="32">
        <f t="shared" si="84"/>
        <v>-1.4851485148514851E-2</v>
      </c>
      <c r="L159" s="18">
        <f>IF(ISNUMBER(J159), $B172 * K159, "")</f>
        <v>-2227.7227722772277</v>
      </c>
      <c r="M159" s="31">
        <v>199</v>
      </c>
      <c r="N159" s="32">
        <f t="shared" si="85"/>
        <v>-1.4851485148514851E-2</v>
      </c>
      <c r="O159" s="18">
        <f>IF(ISNUMBER(M159), $B172 * N159, "")</f>
        <v>-2227.7227722772277</v>
      </c>
      <c r="Q159" s="196"/>
      <c r="R159" s="196"/>
      <c r="S159" s="196"/>
    </row>
    <row r="160" spans="1:19" ht="17.25" thickBot="1">
      <c r="A160" s="125" t="s">
        <v>134</v>
      </c>
      <c r="B160" s="126">
        <v>198</v>
      </c>
      <c r="C160" s="77">
        <v>-2.9411764699999999E-2</v>
      </c>
      <c r="D160" s="15">
        <v>191</v>
      </c>
      <c r="E160" s="32">
        <f t="shared" si="82"/>
        <v>-3.5353535353535352E-2</v>
      </c>
      <c r="F160" s="18">
        <f>IF(ISNUMBER(D160), $B172 * E160, "")</f>
        <v>-5303.030303030303</v>
      </c>
      <c r="G160" s="31">
        <v>192</v>
      </c>
      <c r="H160" s="32">
        <f t="shared" si="83"/>
        <v>-3.0303030303030304E-2</v>
      </c>
      <c r="I160" s="101">
        <f>IF(ISNUMBER(G160), $B172 * H160, "")</f>
        <v>-4545.454545454546</v>
      </c>
      <c r="J160" s="15">
        <v>193</v>
      </c>
      <c r="K160" s="32">
        <f t="shared" si="84"/>
        <v>-2.5252525252525252E-2</v>
      </c>
      <c r="L160" s="18">
        <f>IF(ISNUMBER(J160), $B172 * K160, "")</f>
        <v>-3787.878787878788</v>
      </c>
      <c r="M160" s="31">
        <v>193</v>
      </c>
      <c r="N160" s="32">
        <f t="shared" si="85"/>
        <v>-2.5252525252525252E-2</v>
      </c>
      <c r="O160" s="18">
        <f>IF(ISNUMBER(M160), $B172 * N160, "")</f>
        <v>-3787.878787878788</v>
      </c>
      <c r="Q160" s="33"/>
      <c r="R160" s="33"/>
    </row>
    <row r="161" spans="1:19" ht="17.25" thickBot="1">
      <c r="A161" s="130" t="s">
        <v>195</v>
      </c>
      <c r="B161" s="131">
        <v>126</v>
      </c>
      <c r="C161" s="79">
        <v>-3.0769230799999998E-2</v>
      </c>
      <c r="D161" s="24">
        <v>122</v>
      </c>
      <c r="E161" s="25">
        <f t="shared" si="82"/>
        <v>-3.1746031746031744E-2</v>
      </c>
      <c r="F161" s="104">
        <f>IF(ISNUMBER(D161), $B172 * E161, "")</f>
        <v>-4761.9047619047615</v>
      </c>
      <c r="G161" s="102">
        <v>123</v>
      </c>
      <c r="H161" s="25">
        <f t="shared" si="83"/>
        <v>-2.3809523809523808E-2</v>
      </c>
      <c r="I161" s="103">
        <f>IF(ISNUMBER(G161), $B172 * H161, "")</f>
        <v>-3571.4285714285711</v>
      </c>
      <c r="J161" s="24">
        <v>123</v>
      </c>
      <c r="K161" s="25">
        <f t="shared" si="84"/>
        <v>-2.3809523809523808E-2</v>
      </c>
      <c r="L161" s="104">
        <f>IF(ISNUMBER(J161), $B172 * K161, "")</f>
        <v>-3571.4285714285711</v>
      </c>
      <c r="M161" s="102">
        <v>123</v>
      </c>
      <c r="N161" s="25">
        <f t="shared" si="85"/>
        <v>-2.3809523809523808E-2</v>
      </c>
      <c r="O161" s="104">
        <f>IF(ISNUMBER(M161), $B172 * N161, "")</f>
        <v>-3571.4285714285711</v>
      </c>
      <c r="Q161" s="205"/>
      <c r="R161" s="206"/>
      <c r="S161" s="207"/>
    </row>
    <row r="162" spans="1:19">
      <c r="A162" s="123" t="s">
        <v>213</v>
      </c>
      <c r="B162" s="124">
        <v>280</v>
      </c>
      <c r="C162" s="76">
        <v>-3.1141868499999999E-2</v>
      </c>
      <c r="D162" s="13">
        <v>277</v>
      </c>
      <c r="E162" s="14">
        <f>IF(ISNUMBER(D162), (D162 - $B162) / $B162, "")</f>
        <v>-1.0714285714285714E-2</v>
      </c>
      <c r="F162" s="16">
        <f>IF(ISNUMBER(D162), $B172 * E162, "")</f>
        <v>-1607.1428571428571</v>
      </c>
      <c r="G162" s="29">
        <v>278</v>
      </c>
      <c r="H162" s="14">
        <f>IF(ISNUMBER(G162), (G162 - $B162) / $B162, "")</f>
        <v>-7.1428571428571426E-3</v>
      </c>
      <c r="I162" s="100">
        <f>IF(ISNUMBER(G162), $B172 * H162, "")</f>
        <v>-1071.4285714285713</v>
      </c>
      <c r="J162" s="13">
        <v>279</v>
      </c>
      <c r="K162" s="14">
        <f>IF(ISNUMBER(J162), (J162 - $B162) / $B162, "")</f>
        <v>-3.5714285714285713E-3</v>
      </c>
      <c r="L162" s="16">
        <f>IF(ISNUMBER(J162), $B172 * K162, "")</f>
        <v>-535.71428571428567</v>
      </c>
      <c r="M162" s="29">
        <v>279</v>
      </c>
      <c r="N162" s="14">
        <f>IF(ISNUMBER(M162), (M162 - $B162) / $B162, "")</f>
        <v>-3.5714285714285713E-3</v>
      </c>
      <c r="O162" s="16">
        <f>IF(ISNUMBER(M162), $B172 * N162, "")</f>
        <v>-535.71428571428567</v>
      </c>
      <c r="Q162" s="208"/>
      <c r="R162" s="209"/>
      <c r="S162" s="210"/>
    </row>
    <row r="163" spans="1:19" ht="17.25" thickBot="1">
      <c r="A163" s="125" t="s">
        <v>247</v>
      </c>
      <c r="B163" s="126">
        <v>720</v>
      </c>
      <c r="C163" s="77">
        <v>-3.3557047E-2</v>
      </c>
      <c r="D163" s="15">
        <v>722</v>
      </c>
      <c r="E163" s="32">
        <f t="shared" ref="E163:E166" si="86">IF(ISNUMBER(D163), (D163 - $B163) / $B163, "")</f>
        <v>2.7777777777777779E-3</v>
      </c>
      <c r="F163" s="18">
        <f>IF(ISNUMBER(D163), $B172 * E163, "")</f>
        <v>416.66666666666669</v>
      </c>
      <c r="G163" s="31">
        <v>723</v>
      </c>
      <c r="H163" s="32">
        <f t="shared" ref="H163:H166" si="87">IF(ISNUMBER(G163), (G163 - $B163) / $B163, "")</f>
        <v>4.1666666666666666E-3</v>
      </c>
      <c r="I163" s="101">
        <f>IF(ISNUMBER(G163), $B172 * H163, "")</f>
        <v>625</v>
      </c>
      <c r="J163" s="15">
        <v>726</v>
      </c>
      <c r="K163" s="32">
        <f t="shared" ref="K163:K166" si="88">IF(ISNUMBER(J163), (J163 - $B163) / $B163, "")</f>
        <v>8.3333333333333332E-3</v>
      </c>
      <c r="L163" s="18">
        <f>IF(ISNUMBER(J163), $B172 * K163, "")</f>
        <v>1250</v>
      </c>
      <c r="M163" s="31">
        <v>722</v>
      </c>
      <c r="N163" s="32">
        <f t="shared" ref="N163:N166" si="89">IF(ISNUMBER(M163), (M163 - $B163) / $B163, "")</f>
        <v>2.7777777777777779E-3</v>
      </c>
      <c r="O163" s="18">
        <f>IF(ISNUMBER(M163), $B172 * N163, "")</f>
        <v>416.66666666666669</v>
      </c>
      <c r="Q163" s="211"/>
      <c r="R163" s="212"/>
      <c r="S163" s="213"/>
    </row>
    <row r="164" spans="1:19" ht="17.25" thickBot="1">
      <c r="A164" s="125" t="s">
        <v>101</v>
      </c>
      <c r="B164" s="126">
        <v>678</v>
      </c>
      <c r="C164" s="77">
        <v>-3.5561877700000001E-2</v>
      </c>
      <c r="D164" s="15">
        <v>640</v>
      </c>
      <c r="E164" s="32">
        <f t="shared" si="86"/>
        <v>-5.6047197640117993E-2</v>
      </c>
      <c r="F164" s="18">
        <f>IF(ISNUMBER(D164), $B172 * E164, "")</f>
        <v>-8407.0796460176989</v>
      </c>
      <c r="G164" s="31">
        <v>643</v>
      </c>
      <c r="H164" s="32">
        <f t="shared" si="87"/>
        <v>-5.1622418879056046E-2</v>
      </c>
      <c r="I164" s="101">
        <f>IF(ISNUMBER(G164), $B172 * H164, "")</f>
        <v>-7743.3628318584069</v>
      </c>
      <c r="J164" s="15">
        <v>648</v>
      </c>
      <c r="K164" s="32">
        <f t="shared" si="88"/>
        <v>-4.4247787610619468E-2</v>
      </c>
      <c r="L164" s="18">
        <f>IF(ISNUMBER(J164), $B172 * K164, "")</f>
        <v>-6637.1681415929206</v>
      </c>
      <c r="M164" s="31">
        <v>649</v>
      </c>
      <c r="N164" s="32">
        <f t="shared" si="89"/>
        <v>-4.2772861356932153E-2</v>
      </c>
      <c r="O164" s="18">
        <f>IF(ISNUMBER(M164), $B172 * N164, "")</f>
        <v>-6415.929203539823</v>
      </c>
      <c r="Q164" s="196"/>
      <c r="R164" s="196"/>
      <c r="S164" s="196"/>
    </row>
    <row r="165" spans="1:19" ht="17.25" thickBot="1">
      <c r="A165" s="125" t="s">
        <v>327</v>
      </c>
      <c r="B165" s="126">
        <v>649</v>
      </c>
      <c r="C165" s="77">
        <v>-3.56612184E-2</v>
      </c>
      <c r="D165" s="15">
        <v>653</v>
      </c>
      <c r="E165" s="32">
        <f t="shared" si="86"/>
        <v>6.1633281972265025E-3</v>
      </c>
      <c r="F165" s="18">
        <f>IF(ISNUMBER(D165), $B172 * E165, "")</f>
        <v>924.49922958397542</v>
      </c>
      <c r="G165" s="31">
        <v>643</v>
      </c>
      <c r="H165" s="32">
        <f t="shared" si="87"/>
        <v>-9.2449922958397542E-3</v>
      </c>
      <c r="I165" s="101">
        <f>IF(ISNUMBER(G165), $B172 * H165, "")</f>
        <v>-1386.7488443759632</v>
      </c>
      <c r="J165" s="15">
        <v>644</v>
      </c>
      <c r="K165" s="32">
        <f t="shared" si="88"/>
        <v>-7.7041602465331279E-3</v>
      </c>
      <c r="L165" s="18">
        <f>IF(ISNUMBER(J165), $B172 * K165, "")</f>
        <v>-1155.6240369799691</v>
      </c>
      <c r="M165" s="31">
        <v>632</v>
      </c>
      <c r="N165" s="32">
        <f t="shared" si="89"/>
        <v>-2.6194144838212634E-2</v>
      </c>
      <c r="O165" s="18">
        <f>IF(ISNUMBER(M165), $B172 * N165, "")</f>
        <v>-3929.1217257318949</v>
      </c>
      <c r="Q165" s="191"/>
      <c r="R165" s="191"/>
      <c r="S165" s="191"/>
    </row>
    <row r="166" spans="1:19" ht="17.25" thickBot="1">
      <c r="A166" s="127" t="s">
        <v>79</v>
      </c>
      <c r="B166" s="128">
        <v>838</v>
      </c>
      <c r="C166" s="78">
        <v>-3.6781609200000003E-2</v>
      </c>
      <c r="D166" s="20">
        <v>807</v>
      </c>
      <c r="E166" s="21">
        <f t="shared" si="86"/>
        <v>-3.6992840095465392E-2</v>
      </c>
      <c r="F166" s="22">
        <f>IF(ISNUMBER(D166), $B172 * E166, "")</f>
        <v>-5548.9260143198089</v>
      </c>
      <c r="G166" s="30">
        <v>820</v>
      </c>
      <c r="H166" s="21">
        <f t="shared" si="87"/>
        <v>-2.1479713603818614E-2</v>
      </c>
      <c r="I166" s="105">
        <f>IF(ISNUMBER(G166), $B172 * H166, "")</f>
        <v>-3221.9570405727923</v>
      </c>
      <c r="J166" s="20">
        <v>826</v>
      </c>
      <c r="K166" s="21">
        <f t="shared" si="88"/>
        <v>-1.4319809069212411E-2</v>
      </c>
      <c r="L166" s="22">
        <f>IF(ISNUMBER(J166), $B172 * K166, "")</f>
        <v>-2147.9713603818618</v>
      </c>
      <c r="M166" s="30">
        <v>825</v>
      </c>
      <c r="N166" s="21">
        <f t="shared" si="89"/>
        <v>-1.5513126491646777E-2</v>
      </c>
      <c r="O166" s="22">
        <f>IF(ISNUMBER(M166), $B172 * N166, "")</f>
        <v>-2326.9689737470167</v>
      </c>
      <c r="Q166" s="191"/>
      <c r="R166" s="191"/>
      <c r="S166" s="191"/>
    </row>
    <row r="167" spans="1:19" ht="17.25" thickBot="1">
      <c r="A167" s="125" t="s">
        <v>103</v>
      </c>
      <c r="B167" s="129">
        <v>630</v>
      </c>
      <c r="C167" s="80">
        <v>-3.9634146299999999E-2</v>
      </c>
      <c r="D167" s="106">
        <v>609</v>
      </c>
      <c r="E167" s="107">
        <f>IF(ISNUMBER(D167), (D167 - $B167) / $B167, "")</f>
        <v>-3.3333333333333333E-2</v>
      </c>
      <c r="F167" s="108">
        <f>IF(ISNUMBER(D167), $B172 * E167, "")</f>
        <v>-5000</v>
      </c>
      <c r="G167" s="109">
        <v>612</v>
      </c>
      <c r="H167" s="107">
        <f>IF(ISNUMBER(G167), (G167 - $B167) / $B167, "")</f>
        <v>-2.8571428571428571E-2</v>
      </c>
      <c r="I167" s="110">
        <f>IF(ISNUMBER(G167), $B172 * H167, "")</f>
        <v>-4285.7142857142853</v>
      </c>
      <c r="J167" s="106">
        <v>617</v>
      </c>
      <c r="K167" s="107">
        <f>IF(ISNUMBER(J167), (J167 - $B167) / $B167, "")</f>
        <v>-2.0634920634920634E-2</v>
      </c>
      <c r="L167" s="108">
        <f>IF(ISNUMBER(J167), $B172 * K167, "")</f>
        <v>-3095.238095238095</v>
      </c>
      <c r="M167" s="109">
        <v>615</v>
      </c>
      <c r="N167" s="107">
        <f>IF(ISNUMBER(M167), (M167 - $B167) / $B167, "")</f>
        <v>-2.3809523809523808E-2</v>
      </c>
      <c r="O167" s="108">
        <f>IF(ISNUMBER(M167), $B172 * N167, "")</f>
        <v>-3571.4285714285711</v>
      </c>
      <c r="Q167" s="196"/>
      <c r="R167" s="196"/>
      <c r="S167" s="196"/>
    </row>
    <row r="168" spans="1:19" ht="17.25" thickBot="1">
      <c r="A168" s="125" t="s">
        <v>338</v>
      </c>
      <c r="B168" s="126">
        <v>260</v>
      </c>
      <c r="C168" s="77">
        <v>-4.0590405900000001E-2</v>
      </c>
      <c r="D168" s="15">
        <v>254</v>
      </c>
      <c r="E168" s="32">
        <f t="shared" ref="E168:E171" si="90">IF(ISNUMBER(D168), (D168 - $B168) / $B168, "")</f>
        <v>-2.3076923076923078E-2</v>
      </c>
      <c r="F168" s="18">
        <f>IF(ISNUMBER(D168), $B172 * E168, "")</f>
        <v>-3461.5384615384619</v>
      </c>
      <c r="G168" s="31">
        <v>255</v>
      </c>
      <c r="H168" s="32">
        <f t="shared" ref="H168:H171" si="91">IF(ISNUMBER(G168), (G168 - $B168) / $B168, "")</f>
        <v>-1.9230769230769232E-2</v>
      </c>
      <c r="I168" s="101">
        <f>IF(ISNUMBER(G168), $B172 * H168, "")</f>
        <v>-2884.6153846153848</v>
      </c>
      <c r="J168" s="15">
        <v>258</v>
      </c>
      <c r="K168" s="32">
        <f t="shared" ref="K168:K171" si="92">IF(ISNUMBER(J168), (J168 - $B168) / $B168, "")</f>
        <v>-7.6923076923076927E-3</v>
      </c>
      <c r="L168" s="18">
        <f>IF(ISNUMBER(J168), $B172 * K168, "")</f>
        <v>-1153.8461538461538</v>
      </c>
      <c r="M168" s="31">
        <v>256</v>
      </c>
      <c r="N168" s="32">
        <f t="shared" ref="N168:N171" si="93">IF(ISNUMBER(M168), (M168 - $B168) / $B168, "")</f>
        <v>-1.5384615384615385E-2</v>
      </c>
      <c r="O168" s="18">
        <f>IF(ISNUMBER(M168), $B172 * N168, "")</f>
        <v>-2307.6923076923076</v>
      </c>
      <c r="Q168" s="196"/>
      <c r="R168" s="196"/>
      <c r="S168" s="196"/>
    </row>
    <row r="169" spans="1:19" ht="17.25" thickBot="1">
      <c r="A169" s="125" t="s">
        <v>221</v>
      </c>
      <c r="B169" s="126">
        <v>905</v>
      </c>
      <c r="C169" s="77">
        <v>-4.3340380499999998E-2</v>
      </c>
      <c r="D169" s="15">
        <v>889</v>
      </c>
      <c r="E169" s="32">
        <f t="shared" si="90"/>
        <v>-1.7679558011049725E-2</v>
      </c>
      <c r="F169" s="18">
        <f>IF(ISNUMBER(D169), $B172 * E169, "")</f>
        <v>-2651.9337016574586</v>
      </c>
      <c r="G169" s="31">
        <v>897</v>
      </c>
      <c r="H169" s="32">
        <f t="shared" si="91"/>
        <v>-8.8397790055248626E-3</v>
      </c>
      <c r="I169" s="101">
        <f>IF(ISNUMBER(G169), $B172 * H169, "")</f>
        <v>-1325.9668508287293</v>
      </c>
      <c r="J169" s="15">
        <v>907</v>
      </c>
      <c r="K169" s="32">
        <f t="shared" si="92"/>
        <v>2.2099447513812156E-3</v>
      </c>
      <c r="L169" s="18">
        <f>IF(ISNUMBER(J169), $B172 * K169, "")</f>
        <v>331.49171270718233</v>
      </c>
      <c r="M169" s="31">
        <v>914</v>
      </c>
      <c r="N169" s="32">
        <f t="shared" si="93"/>
        <v>9.9447513812154689E-3</v>
      </c>
      <c r="O169" s="18">
        <f>IF(ISNUMBER(M169), $B172 * N169, "")</f>
        <v>1491.7127071823204</v>
      </c>
      <c r="Q169" s="196"/>
      <c r="R169" s="196"/>
      <c r="S169" s="196"/>
    </row>
    <row r="170" spans="1:19">
      <c r="A170" s="125" t="s">
        <v>223</v>
      </c>
      <c r="B170" s="126">
        <v>998</v>
      </c>
      <c r="C170" s="77">
        <v>-4.4976076599999998E-2</v>
      </c>
      <c r="D170" s="15">
        <v>966</v>
      </c>
      <c r="E170" s="32">
        <f t="shared" si="90"/>
        <v>-3.2064128256513023E-2</v>
      </c>
      <c r="F170" s="18">
        <f>IF(ISNUMBER(D170), $B172 * E170, "")</f>
        <v>-4809.6192384769538</v>
      </c>
      <c r="G170" s="31">
        <v>973</v>
      </c>
      <c r="H170" s="32">
        <f t="shared" si="91"/>
        <v>-2.5050100200400802E-2</v>
      </c>
      <c r="I170" s="101">
        <f>IF(ISNUMBER(G170), $B172 * H170, "")</f>
        <v>-3757.5150300601204</v>
      </c>
      <c r="J170" s="15">
        <v>975</v>
      </c>
      <c r="K170" s="32">
        <f t="shared" si="92"/>
        <v>-2.3046092184368736E-2</v>
      </c>
      <c r="L170" s="18">
        <f>IF(ISNUMBER(J170), $B172 * K170, "")</f>
        <v>-3456.9138276553103</v>
      </c>
      <c r="M170" s="31">
        <v>974</v>
      </c>
      <c r="N170" s="32">
        <f t="shared" si="93"/>
        <v>-2.4048096192384769E-2</v>
      </c>
      <c r="O170" s="18">
        <f>IF(ISNUMBER(M170), $B172 * N170, "")</f>
        <v>-3607.2144288577156</v>
      </c>
      <c r="Q170" s="218"/>
      <c r="R170" s="219"/>
      <c r="S170" s="220"/>
    </row>
    <row r="171" spans="1:19" ht="17.25" thickBot="1">
      <c r="A171" s="130" t="s">
        <v>348</v>
      </c>
      <c r="B171" s="131">
        <v>195</v>
      </c>
      <c r="C171" s="79">
        <v>-6.25E-2</v>
      </c>
      <c r="D171" s="24">
        <v>196</v>
      </c>
      <c r="E171" s="25">
        <f t="shared" si="90"/>
        <v>5.1282051282051282E-3</v>
      </c>
      <c r="F171" s="104">
        <f>IF(ISNUMBER(D171), $B172 * E171, "")</f>
        <v>769.23076923076928</v>
      </c>
      <c r="G171" s="102">
        <v>198</v>
      </c>
      <c r="H171" s="25">
        <f t="shared" si="91"/>
        <v>1.5384615384615385E-2</v>
      </c>
      <c r="I171" s="103">
        <f>IF(ISNUMBER(G171), $B172 * H171, "")</f>
        <v>2307.6923076923076</v>
      </c>
      <c r="J171" s="24">
        <v>194</v>
      </c>
      <c r="K171" s="25">
        <f t="shared" si="92"/>
        <v>-5.1282051282051282E-3</v>
      </c>
      <c r="L171" s="104">
        <f>IF(ISNUMBER(J171), $B172 * K171, "")</f>
        <v>-769.23076923076928</v>
      </c>
      <c r="M171" s="102">
        <v>193</v>
      </c>
      <c r="N171" s="25">
        <f t="shared" si="93"/>
        <v>-1.0256410256410256E-2</v>
      </c>
      <c r="O171" s="104">
        <f>IF(ISNUMBER(M171), $B172 * N171, "")</f>
        <v>-1538.4615384615386</v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-1.889424705978188E-2</v>
      </c>
      <c r="F172" s="28">
        <f>SUM(F152:F171)</f>
        <v>-56682.741179345641</v>
      </c>
      <c r="G172" s="26" t="s">
        <v>266</v>
      </c>
      <c r="H172" s="27">
        <f>IF(COUNT(H152:H171), SUM(H152:H171) / COUNT(H152:H171), 0)</f>
        <v>-1.5951529197227331E-2</v>
      </c>
      <c r="I172" s="28">
        <f>SUM(I152:I171)</f>
        <v>-47854.587591682008</v>
      </c>
      <c r="J172" s="26" t="s">
        <v>266</v>
      </c>
      <c r="K172" s="27">
        <f>IF(COUNT(K152:K171), SUM(K152:K171) / COUNT(K152:K171), 0)</f>
        <v>-1.2301508683260628E-2</v>
      </c>
      <c r="L172" s="28">
        <f>SUM(L152:L171)</f>
        <v>-36904.526049781889</v>
      </c>
      <c r="M172" s="26" t="s">
        <v>266</v>
      </c>
      <c r="N172" s="27">
        <f>IF(COUNT(N152:N171), SUM(N152:N171) / COUNT(N152:N171), 0)</f>
        <v>-1.5346952705266353E-2</v>
      </c>
      <c r="O172" s="28">
        <f>SUM(O152:O171)</f>
        <v>-46040.858115799063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2022-03-05(토) 오전 00:00</v>
      </c>
      <c r="C177" s="234"/>
      <c r="D177" s="193" t="str">
        <f>TEXT($G$1, "[$-ko-KR]yyyy-mm-dd(ddd) ") &amp; "오후 14:00"</f>
        <v>2022-03-05(토) 오후 14:00</v>
      </c>
      <c r="E177" s="194"/>
      <c r="F177" s="195"/>
      <c r="G177" s="193" t="str">
        <f>TEXT($G$1, "[$-ko-KR]yyyy-mm-dd(ddd) ") &amp; "오후 19:00"</f>
        <v>2022-03-05(토) 오후 19:00</v>
      </c>
      <c r="H177" s="194"/>
      <c r="I177" s="195"/>
      <c r="J177" s="193" t="str">
        <f>TEXT($G$1, "[$-ko-KR]yyyy-mm-dd(ddd) ") &amp; "오후 21:00"</f>
        <v>2022-03-05(토) 오후 21:00</v>
      </c>
      <c r="K177" s="194"/>
      <c r="L177" s="195"/>
      <c r="M177" s="193" t="str">
        <f>TEXT($G$1+1, "[$-ko-KR]yyyy-mm-dd(ddd) ") &amp; "오전 00:00"</f>
        <v>2022-03-06(일)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219</v>
      </c>
      <c r="B179" s="124">
        <v>2830</v>
      </c>
      <c r="C179" s="76">
        <v>-3.7414966000000001E-2</v>
      </c>
      <c r="D179" s="13">
        <v>2760</v>
      </c>
      <c r="E179" s="14">
        <f>IF(ISNUMBER(D179), (D179 - $B179) / $B179, "")</f>
        <v>-2.4734982332155476E-2</v>
      </c>
      <c r="F179" s="16">
        <f>IF(ISNUMBER(D179), $B199 * E179, "")</f>
        <v>-3710.2473498233212</v>
      </c>
      <c r="G179" s="29">
        <v>2780</v>
      </c>
      <c r="H179" s="14">
        <f>IF(ISNUMBER(G179), (G179 - $B179) / $B179, "")</f>
        <v>-1.7667844522968199E-2</v>
      </c>
      <c r="I179" s="100">
        <f>IF(ISNUMBER(G179), $B199 * H179, "")</f>
        <v>-2650.1766784452298</v>
      </c>
      <c r="J179" s="13">
        <v>2790</v>
      </c>
      <c r="K179" s="14">
        <f>IF(ISNUMBER(J179), (J179 - $B179) / $B179, "")</f>
        <v>-1.4134275618374558E-2</v>
      </c>
      <c r="L179" s="16">
        <f>IF(ISNUMBER(J179), $B199 * K179, "")</f>
        <v>-2120.1413427561838</v>
      </c>
      <c r="M179" s="29">
        <v>2800</v>
      </c>
      <c r="N179" s="14">
        <f>IF(ISNUMBER(M179), (M179 - $B179) / $B179, "")</f>
        <v>-1.0600706713780919E-2</v>
      </c>
      <c r="O179" s="16">
        <f>IF(ISNUMBER(M179), $B199 * N179, "")</f>
        <v>-1590.1060070671379</v>
      </c>
      <c r="Q179" s="191"/>
      <c r="R179" s="191"/>
      <c r="S179" s="191"/>
    </row>
    <row r="180" spans="1:19" ht="17.25" thickBot="1">
      <c r="A180" s="125" t="s">
        <v>99</v>
      </c>
      <c r="B180" s="126">
        <v>35540</v>
      </c>
      <c r="C180" s="77">
        <v>-3.81596752E-2</v>
      </c>
      <c r="D180" s="15">
        <v>33610</v>
      </c>
      <c r="E180" s="32">
        <f t="shared" ref="E180:E183" si="94">IF(ISNUMBER(D180), (D180 - $B180) / $B180, "")</f>
        <v>-5.4305008441193021E-2</v>
      </c>
      <c r="F180" s="18">
        <f>IF(ISNUMBER(D180), $B199 * E180, "")</f>
        <v>-8145.7512661789533</v>
      </c>
      <c r="G180" s="31">
        <v>33930</v>
      </c>
      <c r="H180" s="32">
        <f t="shared" ref="H180:H183" si="95">IF(ISNUMBER(G180), (G180 - $B180) / $B180, "")</f>
        <v>-4.5301069217782777E-2</v>
      </c>
      <c r="I180" s="101">
        <f>IF(ISNUMBER(G180), $B199 * H180, "")</f>
        <v>-6795.1603826674163</v>
      </c>
      <c r="J180" s="15">
        <v>34200</v>
      </c>
      <c r="K180" s="32">
        <f t="shared" ref="K180:K183" si="96">IF(ISNUMBER(J180), (J180 - $B180) / $B180, "")</f>
        <v>-3.7703995498030385E-2</v>
      </c>
      <c r="L180" s="18">
        <f>IF(ISNUMBER(J180), $B199 * K180, "")</f>
        <v>-5655.5993247045581</v>
      </c>
      <c r="M180" s="31">
        <v>34100</v>
      </c>
      <c r="N180" s="32">
        <f t="shared" ref="N180:N183" si="97">IF(ISNUMBER(M180), (M180 - $B180) / $B180, "")</f>
        <v>-4.0517726505346088E-2</v>
      </c>
      <c r="O180" s="18">
        <f>IF(ISNUMBER(M180), $B199 * N180, "")</f>
        <v>-6077.6589758019136</v>
      </c>
      <c r="Q180" s="191"/>
      <c r="R180" s="191"/>
      <c r="S180" s="191"/>
    </row>
    <row r="181" spans="1:19" ht="17.25" thickBot="1">
      <c r="A181" s="125" t="s">
        <v>156</v>
      </c>
      <c r="B181" s="126">
        <v>1220</v>
      </c>
      <c r="C181" s="77">
        <v>-3.9370078699999998E-2</v>
      </c>
      <c r="D181" s="15">
        <v>1160</v>
      </c>
      <c r="E181" s="32">
        <f t="shared" si="94"/>
        <v>-4.9180327868852458E-2</v>
      </c>
      <c r="F181" s="18">
        <f>IF(ISNUMBER(D181), $B199 * E181, "")</f>
        <v>-7377.0491803278683</v>
      </c>
      <c r="G181" s="31">
        <v>1175</v>
      </c>
      <c r="H181" s="32">
        <f t="shared" si="95"/>
        <v>-3.6885245901639344E-2</v>
      </c>
      <c r="I181" s="101">
        <f>IF(ISNUMBER(G181), $B199 * H181, "")</f>
        <v>-5532.7868852459014</v>
      </c>
      <c r="J181" s="15">
        <v>1185</v>
      </c>
      <c r="K181" s="32">
        <f t="shared" si="96"/>
        <v>-2.8688524590163935E-2</v>
      </c>
      <c r="L181" s="18">
        <f>IF(ISNUMBER(J181), $B199 * K181, "")</f>
        <v>-4303.2786885245905</v>
      </c>
      <c r="M181" s="31">
        <v>1175</v>
      </c>
      <c r="N181" s="32">
        <f t="shared" si="97"/>
        <v>-3.6885245901639344E-2</v>
      </c>
      <c r="O181" s="18">
        <f>IF(ISNUMBER(M181), $B199 * N181, "")</f>
        <v>-5532.7868852459014</v>
      </c>
      <c r="Q181" s="196"/>
      <c r="R181" s="196"/>
      <c r="S181" s="196"/>
    </row>
    <row r="182" spans="1:19" ht="17.25" thickBot="1">
      <c r="A182" s="125" t="s">
        <v>103</v>
      </c>
      <c r="B182" s="126">
        <v>630</v>
      </c>
      <c r="C182" s="77">
        <v>-3.9634146299999999E-2</v>
      </c>
      <c r="D182" s="15">
        <v>609</v>
      </c>
      <c r="E182" s="32">
        <f t="shared" si="94"/>
        <v>-3.3333333333333333E-2</v>
      </c>
      <c r="F182" s="18">
        <f>IF(ISNUMBER(D182), $B199 * E182, "")</f>
        <v>-5000</v>
      </c>
      <c r="G182" s="31">
        <v>612</v>
      </c>
      <c r="H182" s="32">
        <f t="shared" si="95"/>
        <v>-2.8571428571428571E-2</v>
      </c>
      <c r="I182" s="101">
        <f>IF(ISNUMBER(G182), $B199 * H182, "")</f>
        <v>-4285.7142857142853</v>
      </c>
      <c r="J182" s="15">
        <v>617</v>
      </c>
      <c r="K182" s="32">
        <f t="shared" si="96"/>
        <v>-2.0634920634920634E-2</v>
      </c>
      <c r="L182" s="18">
        <f>IF(ISNUMBER(J182), $B199 * K182, "")</f>
        <v>-3095.238095238095</v>
      </c>
      <c r="M182" s="31">
        <v>615</v>
      </c>
      <c r="N182" s="32">
        <f t="shared" si="97"/>
        <v>-2.3809523809523808E-2</v>
      </c>
      <c r="O182" s="18">
        <f>IF(ISNUMBER(M182), $B199 * N182, "")</f>
        <v>-3571.4285714285711</v>
      </c>
      <c r="Q182" s="196"/>
      <c r="R182" s="196"/>
      <c r="S182" s="196"/>
    </row>
    <row r="183" spans="1:19" ht="17.25" thickBot="1">
      <c r="A183" s="127" t="s">
        <v>93</v>
      </c>
      <c r="B183" s="128">
        <v>3320000</v>
      </c>
      <c r="C183" s="78">
        <v>-4.0462427699999998E-2</v>
      </c>
      <c r="D183" s="20">
        <v>3244000</v>
      </c>
      <c r="E183" s="21">
        <f t="shared" si="94"/>
        <v>-2.289156626506024E-2</v>
      </c>
      <c r="F183" s="22">
        <f>IF(ISNUMBER(D183), $B199 * E183, "")</f>
        <v>-3433.734939759036</v>
      </c>
      <c r="G183" s="30">
        <v>3267000</v>
      </c>
      <c r="H183" s="21">
        <f t="shared" si="95"/>
        <v>-1.5963855421686747E-2</v>
      </c>
      <c r="I183" s="105">
        <f>IF(ISNUMBER(G183), $B199 * H183, "")</f>
        <v>-2394.5783132530119</v>
      </c>
      <c r="J183" s="20">
        <v>3290000</v>
      </c>
      <c r="K183" s="21">
        <f t="shared" si="96"/>
        <v>-9.0361445783132526E-3</v>
      </c>
      <c r="L183" s="22">
        <f>IF(ISNUMBER(J183), $B199 * K183, "")</f>
        <v>-1355.4216867469879</v>
      </c>
      <c r="M183" s="30">
        <v>3264000</v>
      </c>
      <c r="N183" s="21">
        <f t="shared" si="97"/>
        <v>-1.6867469879518072E-2</v>
      </c>
      <c r="O183" s="22">
        <f>IF(ISNUMBER(M183), $B199 * N183, "")</f>
        <v>-2530.1204819277109</v>
      </c>
      <c r="Q183" s="196"/>
      <c r="R183" s="196"/>
      <c r="S183" s="196"/>
    </row>
    <row r="184" spans="1:19" ht="17.25" thickBot="1">
      <c r="A184" s="125" t="s">
        <v>338</v>
      </c>
      <c r="B184" s="129">
        <v>260</v>
      </c>
      <c r="C184" s="80">
        <v>-4.0590405900000001E-2</v>
      </c>
      <c r="D184" s="106">
        <v>254</v>
      </c>
      <c r="E184" s="107">
        <f>IF(ISNUMBER(D184), (D184 - $B184) / $B184, "")</f>
        <v>-2.3076923076923078E-2</v>
      </c>
      <c r="F184" s="108">
        <f>IF(ISNUMBER(D184), $B199 * E184, "")</f>
        <v>-3461.5384615384619</v>
      </c>
      <c r="G184" s="109">
        <v>255</v>
      </c>
      <c r="H184" s="107">
        <f>IF(ISNUMBER(G184), (G184 - $B184) / $B184, "")</f>
        <v>-1.9230769230769232E-2</v>
      </c>
      <c r="I184" s="110">
        <f>IF(ISNUMBER(G184), $B199 * H184, "")</f>
        <v>-2884.6153846153848</v>
      </c>
      <c r="J184" s="106">
        <v>258</v>
      </c>
      <c r="K184" s="107">
        <f>IF(ISNUMBER(J184), (J184 - $B184) / $B184, "")</f>
        <v>-7.6923076923076927E-3</v>
      </c>
      <c r="L184" s="108">
        <f>IF(ISNUMBER(J184), $B199 * K184, "")</f>
        <v>-1153.8461538461538</v>
      </c>
      <c r="M184" s="109">
        <v>256</v>
      </c>
      <c r="N184" s="107">
        <f>IF(ISNUMBER(M184), (M184 - $B184) / $B184, "")</f>
        <v>-1.5384615384615385E-2</v>
      </c>
      <c r="O184" s="108">
        <f>IF(ISNUMBER(M184), $B199 * N184, "")</f>
        <v>-2307.6923076923076</v>
      </c>
      <c r="Q184" s="196"/>
      <c r="R184" s="196"/>
      <c r="S184" s="196"/>
    </row>
    <row r="185" spans="1:19" ht="17.25" thickBot="1">
      <c r="A185" s="125" t="s">
        <v>164</v>
      </c>
      <c r="B185" s="126">
        <v>1410</v>
      </c>
      <c r="C185" s="77">
        <v>-4.08163265E-2</v>
      </c>
      <c r="D185" s="15">
        <v>1375</v>
      </c>
      <c r="E185" s="32">
        <f t="shared" ref="E185:E188" si="98">IF(ISNUMBER(D185), (D185 - $B185) / $B185, "")</f>
        <v>-2.4822695035460994E-2</v>
      </c>
      <c r="F185" s="18">
        <f>IF(ISNUMBER(D185), $B199 * E185, "")</f>
        <v>-3723.4042553191489</v>
      </c>
      <c r="G185" s="31">
        <v>1380</v>
      </c>
      <c r="H185" s="32">
        <f t="shared" ref="H185:H188" si="99">IF(ISNUMBER(G185), (G185 - $B185) / $B185, "")</f>
        <v>-2.1276595744680851E-2</v>
      </c>
      <c r="I185" s="101">
        <f>IF(ISNUMBER(G185), $B199 * H185, "")</f>
        <v>-3191.4893617021276</v>
      </c>
      <c r="J185" s="15">
        <v>1385</v>
      </c>
      <c r="K185" s="32">
        <f t="shared" ref="K185:K188" si="100">IF(ISNUMBER(J185), (J185 - $B185) / $B185, "")</f>
        <v>-1.7730496453900711E-2</v>
      </c>
      <c r="L185" s="18">
        <f>IF(ISNUMBER(J185), $B199 * K185, "")</f>
        <v>-2659.5744680851067</v>
      </c>
      <c r="M185" s="31">
        <v>1385</v>
      </c>
      <c r="N185" s="32">
        <f t="shared" ref="N185:N188" si="101">IF(ISNUMBER(M185), (M185 - $B185) / $B185, "")</f>
        <v>-1.7730496453900711E-2</v>
      </c>
      <c r="O185" s="18">
        <f>IF(ISNUMBER(M185), $B199 * N185, "")</f>
        <v>-2659.5744680851067</v>
      </c>
      <c r="Q185" s="196"/>
      <c r="R185" s="196"/>
      <c r="S185" s="196"/>
    </row>
    <row r="186" spans="1:19" ht="17.25" thickBot="1">
      <c r="A186" s="125" t="s">
        <v>130</v>
      </c>
      <c r="B186" s="126">
        <v>21090</v>
      </c>
      <c r="C186" s="77">
        <v>-4.1363636400000001E-2</v>
      </c>
      <c r="D186" s="15">
        <v>20540</v>
      </c>
      <c r="E186" s="32">
        <f t="shared" si="98"/>
        <v>-2.6078710289236605E-2</v>
      </c>
      <c r="F186" s="18">
        <f>IF(ISNUMBER(D186), $B199 * E186, "")</f>
        <v>-3911.8065433854908</v>
      </c>
      <c r="G186" s="31">
        <v>20860</v>
      </c>
      <c r="H186" s="32">
        <f t="shared" si="99"/>
        <v>-1.0905642484589853E-2</v>
      </c>
      <c r="I186" s="101">
        <f>IF(ISNUMBER(G186), $B199 * H186, "")</f>
        <v>-1635.8463726884779</v>
      </c>
      <c r="J186" s="15">
        <v>21070</v>
      </c>
      <c r="K186" s="32">
        <f t="shared" si="100"/>
        <v>-9.4831673779042201E-4</v>
      </c>
      <c r="L186" s="18">
        <f>IF(ISNUMBER(J186), $B199 * K186, "")</f>
        <v>-142.24751066856331</v>
      </c>
      <c r="M186" s="31">
        <v>21290</v>
      </c>
      <c r="N186" s="32">
        <f t="shared" si="101"/>
        <v>9.4831673779042207E-3</v>
      </c>
      <c r="O186" s="18">
        <f>IF(ISNUMBER(M186), $B199 * N186, "")</f>
        <v>1422.4751066856331</v>
      </c>
      <c r="Q186" s="196"/>
      <c r="R186" s="196"/>
      <c r="S186" s="196"/>
    </row>
    <row r="187" spans="1:19" ht="17.25" thickBot="1">
      <c r="A187" s="125" t="s">
        <v>227</v>
      </c>
      <c r="B187" s="126">
        <v>1150</v>
      </c>
      <c r="C187" s="77">
        <v>-4.16666667E-2</v>
      </c>
      <c r="D187" s="15">
        <v>1115</v>
      </c>
      <c r="E187" s="32">
        <f t="shared" si="98"/>
        <v>-3.0434782608695653E-2</v>
      </c>
      <c r="F187" s="18">
        <f>IF(ISNUMBER(D187), $B199 * E187, "")</f>
        <v>-4565.217391304348</v>
      </c>
      <c r="G187" s="31">
        <v>1115</v>
      </c>
      <c r="H187" s="32">
        <f t="shared" si="99"/>
        <v>-3.0434782608695653E-2</v>
      </c>
      <c r="I187" s="101">
        <f>IF(ISNUMBER(G187), $B199 * H187, "")</f>
        <v>-4565.217391304348</v>
      </c>
      <c r="J187" s="15">
        <v>1125</v>
      </c>
      <c r="K187" s="32">
        <f t="shared" si="100"/>
        <v>-2.1739130434782608E-2</v>
      </c>
      <c r="L187" s="18">
        <f>IF(ISNUMBER(J187), $B199 * K187, "")</f>
        <v>-3260.869565217391</v>
      </c>
      <c r="M187" s="31">
        <v>1125</v>
      </c>
      <c r="N187" s="32">
        <f t="shared" si="101"/>
        <v>-2.1739130434782608E-2</v>
      </c>
      <c r="O187" s="18">
        <f>IF(ISNUMBER(M187), $B199 * N187, "")</f>
        <v>-3260.869565217391</v>
      </c>
      <c r="Q187" s="33"/>
      <c r="R187" s="33"/>
    </row>
    <row r="188" spans="1:19" ht="17.25" thickBot="1">
      <c r="A188" s="130" t="s">
        <v>132</v>
      </c>
      <c r="B188" s="131">
        <v>3250</v>
      </c>
      <c r="C188" s="79">
        <v>-4.2709867499999998E-2</v>
      </c>
      <c r="D188" s="24">
        <v>2960</v>
      </c>
      <c r="E188" s="25">
        <f t="shared" si="98"/>
        <v>-8.9230769230769225E-2</v>
      </c>
      <c r="F188" s="104">
        <f>IF(ISNUMBER(D188), $B199 * E188, "")</f>
        <v>-13384.615384615383</v>
      </c>
      <c r="G188" s="102">
        <v>2950</v>
      </c>
      <c r="H188" s="25">
        <f t="shared" si="99"/>
        <v>-9.2307692307692313E-2</v>
      </c>
      <c r="I188" s="103">
        <f>IF(ISNUMBER(G188), $B199 * H188, "")</f>
        <v>-13846.153846153848</v>
      </c>
      <c r="J188" s="24">
        <v>2980</v>
      </c>
      <c r="K188" s="25">
        <f t="shared" si="100"/>
        <v>-8.3076923076923076E-2</v>
      </c>
      <c r="L188" s="104">
        <f>IF(ISNUMBER(J188), $B199 * K188, "")</f>
        <v>-12461.538461538461</v>
      </c>
      <c r="M188" s="102">
        <v>2935</v>
      </c>
      <c r="N188" s="25">
        <f t="shared" si="101"/>
        <v>-9.6923076923076917E-2</v>
      </c>
      <c r="O188" s="104">
        <f>IF(ISNUMBER(M188), $B199 * N188, "")</f>
        <v>-14538.461538461537</v>
      </c>
      <c r="Q188" s="205"/>
      <c r="R188" s="206"/>
      <c r="S188" s="207"/>
    </row>
    <row r="189" spans="1:19">
      <c r="A189" s="123" t="s">
        <v>199</v>
      </c>
      <c r="B189" s="124">
        <v>11.2</v>
      </c>
      <c r="C189" s="76">
        <v>-4.2735042700000003E-2</v>
      </c>
      <c r="D189" s="13">
        <v>11.1</v>
      </c>
      <c r="E189" s="14">
        <f>IF(ISNUMBER(D189), (D189 - $B189) / $B189, "")</f>
        <v>-8.9285714285713969E-3</v>
      </c>
      <c r="F189" s="16">
        <f>IF(ISNUMBER(D189), $B199 * E189, "")</f>
        <v>-1339.2857142857094</v>
      </c>
      <c r="G189" s="29">
        <v>11.1</v>
      </c>
      <c r="H189" s="14">
        <f>IF(ISNUMBER(G189), (G189 - $B189) / $B189, "")</f>
        <v>-8.9285714285713969E-3</v>
      </c>
      <c r="I189" s="100">
        <f>IF(ISNUMBER(G189), $B199 * H189, "")</f>
        <v>-1339.2857142857094</v>
      </c>
      <c r="J189" s="13">
        <v>11.2</v>
      </c>
      <c r="K189" s="14">
        <f>IF(ISNUMBER(J189), (J189 - $B189) / $B189, "")</f>
        <v>0</v>
      </c>
      <c r="L189" s="16">
        <f>IF(ISNUMBER(J189), $B199 * K189, "")</f>
        <v>0</v>
      </c>
      <c r="M189" s="29">
        <v>11</v>
      </c>
      <c r="N189" s="14">
        <f>IF(ISNUMBER(M189), (M189 - $B189) / $B189, "")</f>
        <v>-1.7857142857142794E-2</v>
      </c>
      <c r="O189" s="16">
        <f>IF(ISNUMBER(M189), $B199 * N189, "")</f>
        <v>-2678.5714285714189</v>
      </c>
      <c r="Q189" s="208"/>
      <c r="R189" s="209"/>
      <c r="S189" s="210"/>
    </row>
    <row r="190" spans="1:19" ht="17.25" thickBot="1">
      <c r="A190" s="125" t="s">
        <v>221</v>
      </c>
      <c r="B190" s="126">
        <v>905</v>
      </c>
      <c r="C190" s="77">
        <v>-4.3340380499999998E-2</v>
      </c>
      <c r="D190" s="15">
        <v>889</v>
      </c>
      <c r="E190" s="32">
        <f t="shared" ref="E190:E193" si="102">IF(ISNUMBER(D190), (D190 - $B190) / $B190, "")</f>
        <v>-1.7679558011049725E-2</v>
      </c>
      <c r="F190" s="18">
        <f>IF(ISNUMBER(D190), $B199 * E190, "")</f>
        <v>-2651.9337016574586</v>
      </c>
      <c r="G190" s="31">
        <v>897</v>
      </c>
      <c r="H190" s="32">
        <f t="shared" ref="H190:H193" si="103">IF(ISNUMBER(G190), (G190 - $B190) / $B190, "")</f>
        <v>-8.8397790055248626E-3</v>
      </c>
      <c r="I190" s="101">
        <f>IF(ISNUMBER(G190), $B199 * H190, "")</f>
        <v>-1325.9668508287293</v>
      </c>
      <c r="J190" s="15">
        <v>907</v>
      </c>
      <c r="K190" s="32">
        <f t="shared" ref="K190:K193" si="104">IF(ISNUMBER(J190), (J190 - $B190) / $B190, "")</f>
        <v>2.2099447513812156E-3</v>
      </c>
      <c r="L190" s="18">
        <f>IF(ISNUMBER(J190), $B199 * K190, "")</f>
        <v>331.49171270718233</v>
      </c>
      <c r="M190" s="31">
        <v>914</v>
      </c>
      <c r="N190" s="32">
        <f t="shared" ref="N190:N193" si="105">IF(ISNUMBER(M190), (M190 - $B190) / $B190, "")</f>
        <v>9.9447513812154689E-3</v>
      </c>
      <c r="O190" s="18">
        <f>IF(ISNUMBER(M190), $B199 * N190, "")</f>
        <v>1491.7127071823204</v>
      </c>
      <c r="Q190" s="211"/>
      <c r="R190" s="212"/>
      <c r="S190" s="213"/>
    </row>
    <row r="191" spans="1:19" ht="17.25" thickBot="1">
      <c r="A191" s="125" t="s">
        <v>124</v>
      </c>
      <c r="B191" s="126">
        <v>63.7</v>
      </c>
      <c r="C191" s="77">
        <v>-4.3543543499999997E-2</v>
      </c>
      <c r="D191" s="15">
        <v>60</v>
      </c>
      <c r="E191" s="32">
        <f t="shared" si="102"/>
        <v>-5.8084772370486697E-2</v>
      </c>
      <c r="F191" s="18">
        <f>IF(ISNUMBER(D191), $B199 * E191, "")</f>
        <v>-8712.7158555730039</v>
      </c>
      <c r="G191" s="31">
        <v>61.4</v>
      </c>
      <c r="H191" s="32">
        <f t="shared" si="103"/>
        <v>-3.6106750392464741E-2</v>
      </c>
      <c r="I191" s="101">
        <f>IF(ISNUMBER(G191), $B199 * H191, "")</f>
        <v>-5416.012558869711</v>
      </c>
      <c r="J191" s="15">
        <v>62.2</v>
      </c>
      <c r="K191" s="32">
        <f t="shared" si="104"/>
        <v>-2.3547880690737832E-2</v>
      </c>
      <c r="L191" s="18">
        <f>IF(ISNUMBER(J191), $B199 * K191, "")</f>
        <v>-3532.1821036106749</v>
      </c>
      <c r="M191" s="31">
        <v>61.5</v>
      </c>
      <c r="N191" s="32">
        <f t="shared" si="105"/>
        <v>-3.4536891679748868E-2</v>
      </c>
      <c r="O191" s="18">
        <f>IF(ISNUMBER(M191), $B199 * N191, "")</f>
        <v>-5180.5337519623299</v>
      </c>
      <c r="Q191" s="196"/>
      <c r="R191" s="196"/>
      <c r="S191" s="196"/>
    </row>
    <row r="192" spans="1:19" ht="17.25" thickBot="1">
      <c r="A192" s="125" t="s">
        <v>62</v>
      </c>
      <c r="B192" s="126">
        <v>27640</v>
      </c>
      <c r="C192" s="77">
        <v>-4.3598615899999998E-2</v>
      </c>
      <c r="D192" s="15">
        <v>26110</v>
      </c>
      <c r="E192" s="32">
        <f t="shared" si="102"/>
        <v>-5.535455861070912E-2</v>
      </c>
      <c r="F192" s="18">
        <f>IF(ISNUMBER(D192), $B199 * E192, "")</f>
        <v>-8303.1837916063687</v>
      </c>
      <c r="G192" s="31">
        <v>26680</v>
      </c>
      <c r="H192" s="32">
        <f t="shared" si="103"/>
        <v>-3.4732272069464547E-2</v>
      </c>
      <c r="I192" s="101">
        <f>IF(ISNUMBER(G192), $B199 * H192, "")</f>
        <v>-5209.8408104196824</v>
      </c>
      <c r="J192" s="15">
        <v>26910</v>
      </c>
      <c r="K192" s="32">
        <f t="shared" si="104"/>
        <v>-2.6410998552821998E-2</v>
      </c>
      <c r="L192" s="18">
        <f>IF(ISNUMBER(J192), $B199 * K192, "")</f>
        <v>-3961.6497829232999</v>
      </c>
      <c r="M192" s="31">
        <v>26550</v>
      </c>
      <c r="N192" s="32">
        <f t="shared" si="105"/>
        <v>-3.9435600578871202E-2</v>
      </c>
      <c r="O192" s="18">
        <f>IF(ISNUMBER(M192), $B199 * N192, "")</f>
        <v>-5915.3400868306808</v>
      </c>
      <c r="Q192" s="191"/>
      <c r="R192" s="191"/>
      <c r="S192" s="191"/>
    </row>
    <row r="193" spans="1:19" ht="17.25" thickBot="1">
      <c r="A193" s="127" t="s">
        <v>223</v>
      </c>
      <c r="B193" s="128">
        <v>998</v>
      </c>
      <c r="C193" s="78">
        <v>-4.4976076599999998E-2</v>
      </c>
      <c r="D193" s="20">
        <v>966</v>
      </c>
      <c r="E193" s="21">
        <f t="shared" si="102"/>
        <v>-3.2064128256513023E-2</v>
      </c>
      <c r="F193" s="22">
        <f>IF(ISNUMBER(D193), $B199 * E193, "")</f>
        <v>-4809.6192384769538</v>
      </c>
      <c r="G193" s="30">
        <v>973</v>
      </c>
      <c r="H193" s="21">
        <f t="shared" si="103"/>
        <v>-2.5050100200400802E-2</v>
      </c>
      <c r="I193" s="105">
        <f>IF(ISNUMBER(G193), $B199 * H193, "")</f>
        <v>-3757.5150300601204</v>
      </c>
      <c r="J193" s="20">
        <v>975</v>
      </c>
      <c r="K193" s="21">
        <f t="shared" si="104"/>
        <v>-2.3046092184368736E-2</v>
      </c>
      <c r="L193" s="22">
        <f>IF(ISNUMBER(J193), $B199 * K193, "")</f>
        <v>-3456.9138276553103</v>
      </c>
      <c r="M193" s="30">
        <v>974</v>
      </c>
      <c r="N193" s="21">
        <f t="shared" si="105"/>
        <v>-2.4048096192384769E-2</v>
      </c>
      <c r="O193" s="22">
        <f>IF(ISNUMBER(M193), $B199 * N193, "")</f>
        <v>-3607.2144288577156</v>
      </c>
      <c r="Q193" s="191"/>
      <c r="R193" s="191"/>
      <c r="S193" s="191"/>
    </row>
    <row r="194" spans="1:19" ht="17.25" thickBot="1">
      <c r="A194" s="125" t="s">
        <v>122</v>
      </c>
      <c r="B194" s="129">
        <v>129950</v>
      </c>
      <c r="C194" s="80">
        <v>-4.7985347999999997E-2</v>
      </c>
      <c r="D194" s="106">
        <v>125300</v>
      </c>
      <c r="E194" s="107">
        <f>IF(ISNUMBER(D194), (D194 - $B194) / $B194, "")</f>
        <v>-3.5782993459022701E-2</v>
      </c>
      <c r="F194" s="108">
        <f>IF(ISNUMBER(D194), $B199 * E194, "")</f>
        <v>-5367.4490188534055</v>
      </c>
      <c r="G194" s="109">
        <v>127050</v>
      </c>
      <c r="H194" s="107">
        <f>IF(ISNUMBER(G194), (G194 - $B194) / $B194, "")</f>
        <v>-2.2316275490573297E-2</v>
      </c>
      <c r="I194" s="110">
        <f>IF(ISNUMBER(G194), $B199 * H194, "")</f>
        <v>-3347.4413235859947</v>
      </c>
      <c r="J194" s="106">
        <v>127850</v>
      </c>
      <c r="K194" s="107">
        <f>IF(ISNUMBER(J194), (J194 - $B194) / $B194, "")</f>
        <v>-1.6160061562139283E-2</v>
      </c>
      <c r="L194" s="108">
        <f>IF(ISNUMBER(J194), $B199 * K194, "")</f>
        <v>-2424.0092343208926</v>
      </c>
      <c r="M194" s="109">
        <v>127900</v>
      </c>
      <c r="N194" s="107">
        <f>IF(ISNUMBER(M194), (M194 - $B194) / $B194, "")</f>
        <v>-1.5775298191612157E-2</v>
      </c>
      <c r="O194" s="108">
        <f>IF(ISNUMBER(M194), $B199 * N194, "")</f>
        <v>-2366.2947287418237</v>
      </c>
      <c r="Q194" s="196"/>
      <c r="R194" s="196"/>
      <c r="S194" s="196"/>
    </row>
    <row r="195" spans="1:19" ht="17.25" thickBot="1">
      <c r="A195" s="125" t="s">
        <v>166</v>
      </c>
      <c r="B195" s="126">
        <v>17390</v>
      </c>
      <c r="C195" s="77">
        <v>-4.8166393000000002E-2</v>
      </c>
      <c r="D195" s="15">
        <v>17000</v>
      </c>
      <c r="E195" s="32">
        <f t="shared" ref="E195:E198" si="106">IF(ISNUMBER(D195), (D195 - $B195) / $B195, "")</f>
        <v>-2.2426682001150087E-2</v>
      </c>
      <c r="F195" s="18">
        <f>IF(ISNUMBER(D195), $B199 * E195, "")</f>
        <v>-3364.0023001725131</v>
      </c>
      <c r="G195" s="31">
        <v>17120</v>
      </c>
      <c r="H195" s="32">
        <f t="shared" ref="H195:H198" si="107">IF(ISNUMBER(G195), (G195 - $B195) / $B195, "")</f>
        <v>-1.5526164462334674E-2</v>
      </c>
      <c r="I195" s="101">
        <f>IF(ISNUMBER(G195), $B199 * H195, "")</f>
        <v>-2328.9246693502009</v>
      </c>
      <c r="J195" s="15">
        <v>17180</v>
      </c>
      <c r="K195" s="32">
        <f t="shared" ref="K195:K198" si="108">IF(ISNUMBER(J195), (J195 - $B195) / $B195, "")</f>
        <v>-1.2075905692926969E-2</v>
      </c>
      <c r="L195" s="18">
        <f>IF(ISNUMBER(J195), $B199 * K195, "")</f>
        <v>-1811.3858539390453</v>
      </c>
      <c r="M195" s="31">
        <v>17110</v>
      </c>
      <c r="N195" s="32">
        <f t="shared" ref="N195:N198" si="109">IF(ISNUMBER(M195), (M195 - $B195) / $B195, "")</f>
        <v>-1.6101207590569294E-2</v>
      </c>
      <c r="O195" s="18">
        <f>IF(ISNUMBER(M195), $B199 * N195, "")</f>
        <v>-2415.1811385853939</v>
      </c>
      <c r="Q195" s="196"/>
      <c r="R195" s="196"/>
      <c r="S195" s="196"/>
    </row>
    <row r="196" spans="1:19" ht="17.25" thickBot="1">
      <c r="A196" s="125" t="s">
        <v>209</v>
      </c>
      <c r="B196" s="126">
        <v>1040</v>
      </c>
      <c r="C196" s="77">
        <v>-5.8823529399999998E-2</v>
      </c>
      <c r="D196" s="15">
        <v>1025</v>
      </c>
      <c r="E196" s="32">
        <f t="shared" si="106"/>
        <v>-1.4423076923076924E-2</v>
      </c>
      <c r="F196" s="18">
        <f>IF(ISNUMBER(D196), $B199 * E196, "")</f>
        <v>-2163.4615384615386</v>
      </c>
      <c r="G196" s="31">
        <v>1030</v>
      </c>
      <c r="H196" s="32">
        <f t="shared" si="107"/>
        <v>-9.6153846153846159E-3</v>
      </c>
      <c r="I196" s="101">
        <f>IF(ISNUMBER(G196), $B199 * H196, "")</f>
        <v>-1442.3076923076924</v>
      </c>
      <c r="J196" s="15">
        <v>1040</v>
      </c>
      <c r="K196" s="32">
        <f t="shared" si="108"/>
        <v>0</v>
      </c>
      <c r="L196" s="18">
        <f>IF(ISNUMBER(J196), $B199 * K196, "")</f>
        <v>0</v>
      </c>
      <c r="M196" s="31">
        <v>1035</v>
      </c>
      <c r="N196" s="32">
        <f t="shared" si="109"/>
        <v>-4.807692307692308E-3</v>
      </c>
      <c r="O196" s="18">
        <f>IF(ISNUMBER(M196), $B199 * N196, "")</f>
        <v>-721.15384615384619</v>
      </c>
      <c r="Q196" s="196"/>
      <c r="R196" s="196"/>
      <c r="S196" s="196"/>
    </row>
    <row r="197" spans="1:19">
      <c r="A197" s="125" t="s">
        <v>348</v>
      </c>
      <c r="B197" s="126">
        <v>195</v>
      </c>
      <c r="C197" s="77">
        <v>-6.25E-2</v>
      </c>
      <c r="D197" s="15">
        <v>196</v>
      </c>
      <c r="E197" s="32">
        <f t="shared" si="106"/>
        <v>5.1282051282051282E-3</v>
      </c>
      <c r="F197" s="18">
        <f>IF(ISNUMBER(D197), $B199 * E197, "")</f>
        <v>769.23076923076928</v>
      </c>
      <c r="G197" s="31">
        <v>198</v>
      </c>
      <c r="H197" s="32">
        <f t="shared" si="107"/>
        <v>1.5384615384615385E-2</v>
      </c>
      <c r="I197" s="101">
        <f>IF(ISNUMBER(G197), $B199 * H197, "")</f>
        <v>2307.6923076923076</v>
      </c>
      <c r="J197" s="15">
        <v>194</v>
      </c>
      <c r="K197" s="32">
        <f t="shared" si="108"/>
        <v>-5.1282051282051282E-3</v>
      </c>
      <c r="L197" s="18">
        <f>IF(ISNUMBER(J197), $B199 * K197, "")</f>
        <v>-769.23076923076928</v>
      </c>
      <c r="M197" s="31">
        <v>193</v>
      </c>
      <c r="N197" s="32">
        <f t="shared" si="109"/>
        <v>-1.0256410256410256E-2</v>
      </c>
      <c r="O197" s="18">
        <f>IF(ISNUMBER(M197), $B199 * N197, "")</f>
        <v>-1538.4615384615386</v>
      </c>
      <c r="Q197" s="218"/>
      <c r="R197" s="219"/>
      <c r="S197" s="220"/>
    </row>
    <row r="198" spans="1:19" ht="17.25" thickBot="1">
      <c r="A198" s="130" t="s">
        <v>178</v>
      </c>
      <c r="B198" s="131">
        <v>49030</v>
      </c>
      <c r="C198" s="79">
        <v>-6.6095238099999995E-2</v>
      </c>
      <c r="D198" s="24">
        <v>46860</v>
      </c>
      <c r="E198" s="25">
        <f t="shared" si="106"/>
        <v>-4.4258617173159293E-2</v>
      </c>
      <c r="F198" s="104">
        <f>IF(ISNUMBER(D198), $B199 * E198, "")</f>
        <v>-6638.7925759738937</v>
      </c>
      <c r="G198" s="102">
        <v>47530</v>
      </c>
      <c r="H198" s="25">
        <f t="shared" si="107"/>
        <v>-3.0593514174994903E-2</v>
      </c>
      <c r="I198" s="103">
        <f>IF(ISNUMBER(G198), $B199 * H198, "")</f>
        <v>-4589.0271262492352</v>
      </c>
      <c r="J198" s="24">
        <v>47880</v>
      </c>
      <c r="K198" s="25">
        <f t="shared" si="108"/>
        <v>-2.3455027534162759E-2</v>
      </c>
      <c r="L198" s="104">
        <f>IF(ISNUMBER(J198), $B199 * K198, "")</f>
        <v>-3518.2541301244137</v>
      </c>
      <c r="M198" s="102">
        <v>47340</v>
      </c>
      <c r="N198" s="25">
        <f t="shared" si="109"/>
        <v>-3.4468692637160923E-2</v>
      </c>
      <c r="O198" s="104">
        <f>IF(ISNUMBER(M198), $B199 * N198, "")</f>
        <v>-5170.3038955741386</v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-3.309819257936069E-2</v>
      </c>
      <c r="F199" s="28">
        <f>SUM(F179:F198)</f>
        <v>-99294.577738082095</v>
      </c>
      <c r="G199" s="26" t="s">
        <v>266</v>
      </c>
      <c r="H199" s="27">
        <f>IF(COUNT(H179:H198), SUM(H179:H198) / COUNT(H179:H198), 0)</f>
        <v>-2.47434561233516E-2</v>
      </c>
      <c r="I199" s="28">
        <f>SUM(I179:I198)</f>
        <v>-74230.368370054799</v>
      </c>
      <c r="J199" s="26" t="s">
        <v>266</v>
      </c>
      <c r="K199" s="27">
        <f>IF(COUNT(K179:K198), SUM(K179:K198) / COUNT(K179:K198), 0)</f>
        <v>-1.8449963095474437E-2</v>
      </c>
      <c r="L199" s="28">
        <f>SUM(L179:L198)</f>
        <v>-55349.889286423306</v>
      </c>
      <c r="M199" s="26" t="s">
        <v>266</v>
      </c>
      <c r="N199" s="27">
        <f>IF(COUNT(N179:N198), SUM(N179:N198) / COUNT(N179:N198), 0)</f>
        <v>-2.2915855276932837E-2</v>
      </c>
      <c r="O199" s="28">
        <f>SUM(O179:O198)</f>
        <v>-68747.565830798514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A5D2E-9FAD-433B-B9B8-C729D908E6CC}">
  <sheetPr codeName="Sheet12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70" t="s">
        <v>0</v>
      </c>
      <c r="B1" s="171"/>
      <c r="C1" s="171"/>
      <c r="D1" s="171"/>
      <c r="E1" s="171"/>
      <c r="F1" s="172"/>
      <c r="G1" s="173">
        <v>44626</v>
      </c>
      <c r="H1" s="174"/>
      <c r="I1" s="175"/>
      <c r="J1" s="170" t="s">
        <v>1</v>
      </c>
      <c r="K1" s="171"/>
      <c r="L1" s="171"/>
      <c r="M1" s="171"/>
      <c r="N1" s="171"/>
      <c r="O1" s="172"/>
      <c r="Q1" s="170" t="s">
        <v>2</v>
      </c>
      <c r="R1" s="172"/>
    </row>
    <row r="2" spans="1:19" ht="17.25" customHeight="1">
      <c r="A2" s="117" t="s">
        <v>3</v>
      </c>
      <c r="B2" s="176" t="s">
        <v>8</v>
      </c>
      <c r="C2" s="177"/>
      <c r="D2" s="177"/>
      <c r="E2" s="177"/>
      <c r="F2" s="178"/>
      <c r="G2" s="179" t="s">
        <v>46</v>
      </c>
      <c r="H2" s="180"/>
      <c r="I2" s="181"/>
      <c r="J2" s="1" t="s">
        <v>3</v>
      </c>
      <c r="K2" s="176" t="s">
        <v>315</v>
      </c>
      <c r="L2" s="177"/>
      <c r="M2" s="177"/>
      <c r="N2" s="177"/>
      <c r="O2" s="178"/>
      <c r="Q2" s="2" t="s">
        <v>6</v>
      </c>
      <c r="R2" s="3">
        <v>0.375</v>
      </c>
    </row>
    <row r="3" spans="1:19" ht="17.25" customHeight="1" thickBot="1">
      <c r="A3" s="118" t="s">
        <v>7</v>
      </c>
      <c r="B3" s="182" t="s">
        <v>323</v>
      </c>
      <c r="C3" s="183"/>
      <c r="D3" s="183"/>
      <c r="E3" s="183"/>
      <c r="F3" s="184"/>
      <c r="G3" s="185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3,193 KRW (0.11%)</v>
      </c>
      <c r="H3" s="186"/>
      <c r="I3" s="187"/>
      <c r="J3" s="4" t="s">
        <v>7</v>
      </c>
      <c r="K3" s="182" t="s">
        <v>316</v>
      </c>
      <c r="L3" s="183"/>
      <c r="M3" s="183"/>
      <c r="N3" s="183"/>
      <c r="O3" s="18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182" t="s">
        <v>16</v>
      </c>
      <c r="C4" s="183"/>
      <c r="D4" s="183"/>
      <c r="E4" s="183"/>
      <c r="F4" s="184"/>
      <c r="G4" s="179" t="s">
        <v>44</v>
      </c>
      <c r="H4" s="180"/>
      <c r="I4" s="181"/>
      <c r="J4" s="4" t="s">
        <v>11</v>
      </c>
      <c r="K4" s="182" t="s">
        <v>317</v>
      </c>
      <c r="L4" s="183"/>
      <c r="M4" s="183"/>
      <c r="N4" s="183"/>
      <c r="O4" s="18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182" t="s">
        <v>314</v>
      </c>
      <c r="C5" s="183"/>
      <c r="D5" s="183"/>
      <c r="E5" s="183"/>
      <c r="F5" s="184"/>
      <c r="G5" s="185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6,839 KRW (0.23%)</v>
      </c>
      <c r="H5" s="186"/>
      <c r="I5" s="187"/>
      <c r="J5" s="4" t="s">
        <v>15</v>
      </c>
      <c r="K5" s="182" t="s">
        <v>318</v>
      </c>
      <c r="L5" s="183"/>
      <c r="M5" s="183"/>
      <c r="N5" s="183"/>
      <c r="O5" s="184"/>
    </row>
    <row r="6" spans="1:19">
      <c r="A6" s="118" t="s">
        <v>18</v>
      </c>
      <c r="B6" s="182"/>
      <c r="C6" s="183"/>
      <c r="D6" s="183"/>
      <c r="E6" s="183"/>
      <c r="F6" s="184"/>
      <c r="G6" s="179" t="s">
        <v>45</v>
      </c>
      <c r="H6" s="180"/>
      <c r="I6" s="181"/>
      <c r="J6" s="4" t="s">
        <v>18</v>
      </c>
      <c r="K6" s="182" t="s">
        <v>319</v>
      </c>
      <c r="L6" s="183"/>
      <c r="M6" s="183"/>
      <c r="N6" s="183"/>
      <c r="O6" s="184"/>
    </row>
    <row r="7" spans="1:19" ht="17.25" thickBot="1">
      <c r="A7" s="118" t="s">
        <v>21</v>
      </c>
      <c r="B7" s="182"/>
      <c r="C7" s="183"/>
      <c r="D7" s="183"/>
      <c r="E7" s="183"/>
      <c r="F7" s="184"/>
      <c r="G7" s="185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184 KRW (0.01%)</v>
      </c>
      <c r="H7" s="186"/>
      <c r="I7" s="187"/>
      <c r="J7" s="4" t="s">
        <v>21</v>
      </c>
      <c r="K7" s="182" t="s">
        <v>320</v>
      </c>
      <c r="L7" s="183"/>
      <c r="M7" s="183"/>
      <c r="N7" s="183"/>
      <c r="O7" s="184"/>
    </row>
    <row r="8" spans="1:19" ht="17.25" thickBot="1">
      <c r="A8" s="118" t="s">
        <v>24</v>
      </c>
      <c r="B8" s="182"/>
      <c r="C8" s="183"/>
      <c r="D8" s="183"/>
      <c r="E8" s="183"/>
      <c r="F8" s="184"/>
      <c r="G8" s="179" t="s">
        <v>250</v>
      </c>
      <c r="H8" s="180"/>
      <c r="I8" s="181"/>
      <c r="J8" s="4" t="s">
        <v>24</v>
      </c>
      <c r="K8" s="182"/>
      <c r="L8" s="183"/>
      <c r="M8" s="183"/>
      <c r="N8" s="183"/>
      <c r="O8" s="184"/>
      <c r="Q8" s="170" t="s">
        <v>27</v>
      </c>
      <c r="R8" s="172"/>
    </row>
    <row r="9" spans="1:19" ht="17.25" thickBot="1">
      <c r="A9" s="118" t="s">
        <v>28</v>
      </c>
      <c r="B9" s="182"/>
      <c r="C9" s="183"/>
      <c r="D9" s="183"/>
      <c r="E9" s="183"/>
      <c r="F9" s="184"/>
      <c r="G9" s="185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8,729 KRW (0.29%)</v>
      </c>
      <c r="H9" s="186"/>
      <c r="I9" s="187"/>
      <c r="J9" s="4" t="s">
        <v>28</v>
      </c>
      <c r="K9" s="182"/>
      <c r="L9" s="183"/>
      <c r="M9" s="183"/>
      <c r="N9" s="183"/>
      <c r="O9" s="184"/>
      <c r="Q9" s="2" t="s">
        <v>29</v>
      </c>
      <c r="R9" s="6">
        <v>10</v>
      </c>
    </row>
    <row r="10" spans="1:19">
      <c r="A10" s="118" t="s">
        <v>30</v>
      </c>
      <c r="B10" s="182"/>
      <c r="C10" s="183"/>
      <c r="D10" s="183"/>
      <c r="E10" s="183"/>
      <c r="F10" s="184"/>
      <c r="G10" s="179" t="s">
        <v>47</v>
      </c>
      <c r="H10" s="180"/>
      <c r="I10" s="181"/>
      <c r="J10" s="4" t="s">
        <v>30</v>
      </c>
      <c r="K10" s="182" t="s">
        <v>321</v>
      </c>
      <c r="L10" s="183"/>
      <c r="M10" s="183"/>
      <c r="N10" s="183"/>
      <c r="O10" s="184"/>
      <c r="Q10" s="2" t="s">
        <v>31</v>
      </c>
      <c r="R10" s="6">
        <v>100</v>
      </c>
    </row>
    <row r="11" spans="1:19" ht="17.25" thickBot="1">
      <c r="A11" s="119" t="s">
        <v>32</v>
      </c>
      <c r="B11" s="188" t="s">
        <v>322</v>
      </c>
      <c r="C11" s="189"/>
      <c r="D11" s="189"/>
      <c r="E11" s="189"/>
      <c r="F11" s="190"/>
      <c r="G11" s="185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86"/>
      <c r="I11" s="187"/>
      <c r="J11" s="7" t="s">
        <v>32</v>
      </c>
      <c r="K11" s="188" t="s">
        <v>313</v>
      </c>
      <c r="L11" s="189"/>
      <c r="M11" s="189"/>
      <c r="N11" s="189"/>
      <c r="O11" s="190"/>
      <c r="Q11" s="65" t="s">
        <v>33</v>
      </c>
      <c r="R11" s="8">
        <v>1000</v>
      </c>
    </row>
    <row r="12" spans="1:19" ht="17.25" thickBot="1"/>
    <row r="13" spans="1:19" ht="17.25" customHeight="1" thickBot="1">
      <c r="A13" s="170" t="s">
        <v>34</v>
      </c>
      <c r="B13" s="171"/>
      <c r="C13" s="171"/>
      <c r="D13" s="171"/>
      <c r="E13" s="171"/>
      <c r="F13" s="171"/>
      <c r="G13" s="171"/>
      <c r="H13" s="171"/>
      <c r="I13" s="171"/>
      <c r="J13" s="171"/>
      <c r="K13" s="171"/>
      <c r="L13" s="171"/>
      <c r="M13" s="171"/>
      <c r="N13" s="171"/>
      <c r="O13" s="172"/>
      <c r="Q13" s="191"/>
      <c r="R13" s="191"/>
      <c r="S13" s="191"/>
    </row>
    <row r="14" spans="1:19" ht="17.25" customHeight="1" thickBot="1">
      <c r="A14" s="157" t="s">
        <v>35</v>
      </c>
      <c r="B14" s="170" t="s">
        <v>36</v>
      </c>
      <c r="C14" s="172"/>
      <c r="D14" s="170" t="s">
        <v>37</v>
      </c>
      <c r="E14" s="171"/>
      <c r="F14" s="172"/>
      <c r="G14" s="197">
        <f>_xlfn.IFNA(VLOOKUP(B14, 현재가테이블!$B$2:$D$200, 2, FALSE), "-")</f>
        <v>48774000</v>
      </c>
      <c r="H14" s="198"/>
      <c r="I14" s="199"/>
      <c r="J14" s="170" t="s">
        <v>38</v>
      </c>
      <c r="K14" s="171"/>
      <c r="L14" s="172"/>
      <c r="M14" s="200">
        <f>_xlfn.IFNA(VLOOKUP(B14, 현재가테이블!$B$2:$D$200, 3, FALSE), "-")</f>
        <v>3.4770084999999999E-3</v>
      </c>
      <c r="N14" s="201"/>
      <c r="O14" s="202"/>
      <c r="Q14" s="191"/>
      <c r="R14" s="191"/>
      <c r="S14" s="191"/>
    </row>
    <row r="15" spans="1:19" ht="17.25" customHeight="1" thickBot="1">
      <c r="A15" s="235" t="s">
        <v>39</v>
      </c>
      <c r="B15" s="236" t="str">
        <f>TEXT($G$1, "[$-ko-KR]yyyy-mm-dd(ddd) ") &amp; "오전 00:00"</f>
        <v>2022-03-06(일) 오전 00:00</v>
      </c>
      <c r="C15" s="237"/>
      <c r="D15" s="193" t="str">
        <f>TEXT($G$1, "[$-ko-KR]yyyy-mm-dd(ddd) ") &amp; "오후 14:00"</f>
        <v>2022-03-06(일) 오후 14:00</v>
      </c>
      <c r="E15" s="194"/>
      <c r="F15" s="195"/>
      <c r="G15" s="193" t="str">
        <f>TEXT($G$1, "[$-ko-KR]yyyy-mm-dd(ddd) ") &amp; "오후 19:00"</f>
        <v>2022-03-06(일) 오후 19:00</v>
      </c>
      <c r="H15" s="194"/>
      <c r="I15" s="195"/>
      <c r="J15" s="193" t="str">
        <f>TEXT($G$1, "[$-ko-KR]yyyy-mm-dd(ddd) ") &amp; "오후 21:00"</f>
        <v>2022-03-06(일) 오후 21:00</v>
      </c>
      <c r="K15" s="194"/>
      <c r="L15" s="195"/>
      <c r="M15" s="193" t="str">
        <f>TEXT($G$1+1, "[$-ko-KR]yyyy-mm-dd(ddd) ") &amp; "오전 00:00"</f>
        <v>2022-03-07(월) 오전 00:00</v>
      </c>
      <c r="N15" s="194"/>
      <c r="O15" s="195"/>
      <c r="Q15" s="191"/>
      <c r="R15" s="191"/>
      <c r="S15" s="191"/>
    </row>
    <row r="16" spans="1:19" ht="17.25" customHeight="1" thickBot="1">
      <c r="A16" s="235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91"/>
      <c r="R17" s="191"/>
      <c r="S17" s="191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91"/>
      <c r="R18" s="191"/>
      <c r="S18" s="191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05"/>
      <c r="R26" s="206"/>
      <c r="S26" s="207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8"/>
      <c r="R27" s="209"/>
      <c r="S27" s="210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11"/>
      <c r="R28" s="212"/>
      <c r="S28" s="213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91"/>
      <c r="R30" s="191"/>
      <c r="S30" s="191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91"/>
      <c r="R31" s="191"/>
      <c r="S31" s="191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18"/>
      <c r="R35" s="219"/>
      <c r="S35" s="220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21"/>
      <c r="R36" s="222"/>
      <c r="S36" s="223"/>
    </row>
    <row r="37" spans="1:19" ht="17.25" customHeight="1" thickBot="1">
      <c r="A37" s="132" t="s">
        <v>42</v>
      </c>
      <c r="B37" s="229">
        <v>150000</v>
      </c>
      <c r="C37" s="23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24"/>
      <c r="R37" s="225"/>
      <c r="S37" s="226"/>
    </row>
    <row r="38" spans="1:19" ht="17.25" customHeight="1"/>
    <row r="39" spans="1:19" ht="17.25" customHeight="1" thickBot="1"/>
    <row r="40" spans="1:19" ht="17.25" customHeight="1" thickBot="1">
      <c r="A40" s="170" t="s">
        <v>44</v>
      </c>
      <c r="B40" s="171"/>
      <c r="C40" s="171"/>
      <c r="D40" s="171"/>
      <c r="E40" s="171"/>
      <c r="F40" s="171"/>
      <c r="G40" s="171"/>
      <c r="H40" s="171"/>
      <c r="I40" s="171"/>
      <c r="J40" s="171"/>
      <c r="K40" s="171"/>
      <c r="L40" s="171"/>
      <c r="M40" s="171"/>
      <c r="N40" s="171"/>
      <c r="O40" s="172"/>
      <c r="Q40" s="191"/>
      <c r="R40" s="191"/>
      <c r="S40" s="191"/>
    </row>
    <row r="41" spans="1:19" ht="17.25" customHeight="1" thickBot="1">
      <c r="A41" s="157" t="s">
        <v>262</v>
      </c>
      <c r="B41" s="170" t="s">
        <v>49</v>
      </c>
      <c r="C41" s="172"/>
      <c r="D41" s="170" t="s">
        <v>57</v>
      </c>
      <c r="E41" s="171"/>
      <c r="F41" s="172"/>
      <c r="G41" s="197">
        <f>_xlfn.IFNA(VLOOKUP(B41, 현재가테이블!$B$2:$D$200, 2, FALSE), "-")</f>
        <v>48774000</v>
      </c>
      <c r="H41" s="198"/>
      <c r="I41" s="199"/>
      <c r="J41" s="170" t="s">
        <v>58</v>
      </c>
      <c r="K41" s="171"/>
      <c r="L41" s="172"/>
      <c r="M41" s="200">
        <f>_xlfn.IFNA(VLOOKUP(B41, 현재가테이블!$B$2:$D$200, 3, FALSE), "-")</f>
        <v>3.4770084999999999E-3</v>
      </c>
      <c r="N41" s="201"/>
      <c r="O41" s="202"/>
      <c r="Q41" s="191"/>
      <c r="R41" s="191"/>
      <c r="S41" s="191"/>
    </row>
    <row r="42" spans="1:19" ht="17.25" customHeight="1" thickBot="1">
      <c r="A42" s="231" t="s">
        <v>54</v>
      </c>
      <c r="B42" s="233" t="str">
        <f>TEXT($G$1, "[$-ko-KR]yyyy-mm-dd(ddd) ") &amp; "오전 00:00"</f>
        <v>2022-03-06(일) 오전 00:00</v>
      </c>
      <c r="C42" s="234"/>
      <c r="D42" s="193" t="str">
        <f>TEXT($G$1, "[$-ko-KR]yyyy-mm-dd(ddd) ") &amp; "오후 14:00"</f>
        <v>2022-03-06(일) 오후 14:00</v>
      </c>
      <c r="E42" s="194"/>
      <c r="F42" s="195"/>
      <c r="G42" s="193" t="str">
        <f>TEXT($G$1, "[$-ko-KR]yyyy-mm-dd(ddd) ") &amp; "오후 19:00"</f>
        <v>2022-03-06(일) 오후 19:00</v>
      </c>
      <c r="H42" s="194"/>
      <c r="I42" s="195"/>
      <c r="J42" s="193" t="str">
        <f>TEXT($G$1, "[$-ko-KR]yyyy-mm-dd(ddd) ") &amp; "오후 21:00"</f>
        <v>2022-03-06(일) 오후 21:00</v>
      </c>
      <c r="K42" s="194"/>
      <c r="L42" s="195"/>
      <c r="M42" s="193" t="str">
        <f>TEXT($G$1+1, "[$-ko-KR]yyyy-mm-dd(ddd) ") &amp; "오전 00:00"</f>
        <v>2022-03-07(월) 오전 00:00</v>
      </c>
      <c r="N42" s="194"/>
      <c r="O42" s="195"/>
      <c r="Q42" s="191"/>
      <c r="R42" s="191"/>
      <c r="S42" s="191"/>
    </row>
    <row r="43" spans="1:19" ht="17.25" customHeight="1" thickBot="1">
      <c r="A43" s="232"/>
      <c r="B43" s="121" t="s">
        <v>57</v>
      </c>
      <c r="C43" s="122" t="s">
        <v>58</v>
      </c>
      <c r="D43" s="2" t="s">
        <v>57</v>
      </c>
      <c r="E43" s="10" t="s">
        <v>263</v>
      </c>
      <c r="F43" s="11" t="s">
        <v>264</v>
      </c>
      <c r="G43" s="158" t="s">
        <v>57</v>
      </c>
      <c r="H43" s="159" t="s">
        <v>263</v>
      </c>
      <c r="I43" s="160" t="s">
        <v>264</v>
      </c>
      <c r="J43" s="10" t="s">
        <v>57</v>
      </c>
      <c r="K43" s="10" t="s">
        <v>263</v>
      </c>
      <c r="L43" s="115" t="s">
        <v>264</v>
      </c>
      <c r="M43" s="2" t="s">
        <v>57</v>
      </c>
      <c r="N43" s="10" t="s">
        <v>263</v>
      </c>
      <c r="O43" s="66" t="s">
        <v>264</v>
      </c>
      <c r="Q43" s="196"/>
      <c r="R43" s="196"/>
      <c r="S43" s="196"/>
    </row>
    <row r="44" spans="1:19" ht="17.25" customHeight="1" thickBot="1">
      <c r="A44" s="123" t="s">
        <v>346</v>
      </c>
      <c r="B44" s="124">
        <v>9.81</v>
      </c>
      <c r="C44" s="76">
        <v>8.1587651600000005E-2</v>
      </c>
      <c r="D44" s="13">
        <v>9.49</v>
      </c>
      <c r="E44" s="14">
        <f>IF(ISNUMBER(D44), (D44 - $B44) / $B44, "")</f>
        <v>-3.2619775739041824E-2</v>
      </c>
      <c r="F44" s="16">
        <f>IF(ISNUMBER(D44), $B64 * E44, "")</f>
        <v>-4892.9663608562732</v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91"/>
      <c r="R44" s="191"/>
      <c r="S44" s="191"/>
    </row>
    <row r="45" spans="1:19" ht="17.25" customHeight="1" thickBot="1">
      <c r="A45" s="125" t="s">
        <v>118</v>
      </c>
      <c r="B45" s="126">
        <v>17.7</v>
      </c>
      <c r="C45" s="77">
        <v>4.1176470600000001E-2</v>
      </c>
      <c r="D45" s="15">
        <v>17.3</v>
      </c>
      <c r="E45" s="32">
        <f t="shared" ref="E45:E48" si="14">IF(ISNUMBER(D45), (D45 - $B45) / $B45, "")</f>
        <v>-2.2598870056497095E-2</v>
      </c>
      <c r="F45" s="18">
        <f>IF(ISNUMBER(D45), $B64 * E45, "")</f>
        <v>-3389.8305084745643</v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91"/>
      <c r="R45" s="191"/>
      <c r="S45" s="191"/>
    </row>
    <row r="46" spans="1:19" ht="17.25" customHeight="1" thickBot="1">
      <c r="A46" s="125" t="s">
        <v>148</v>
      </c>
      <c r="B46" s="126">
        <v>74.5</v>
      </c>
      <c r="C46" s="77">
        <v>3.3287101200000002E-2</v>
      </c>
      <c r="D46" s="15">
        <v>74.7</v>
      </c>
      <c r="E46" s="32">
        <f t="shared" si="14"/>
        <v>2.6845637583892998E-3</v>
      </c>
      <c r="F46" s="18">
        <f>IF(ISNUMBER(D46), $B64 * E46, "")</f>
        <v>402.68456375839497</v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 t="s">
        <v>205</v>
      </c>
      <c r="B47" s="126">
        <v>11.6</v>
      </c>
      <c r="C47" s="77">
        <v>2.65486726E-2</v>
      </c>
      <c r="D47" s="15">
        <v>11.3</v>
      </c>
      <c r="E47" s="32">
        <f t="shared" si="14"/>
        <v>-2.5862068965517151E-2</v>
      </c>
      <c r="F47" s="18">
        <f>IF(ISNUMBER(D47), $B64 * E47, "")</f>
        <v>-3879.3103448275724</v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 t="s">
        <v>140</v>
      </c>
      <c r="B48" s="128">
        <v>81.8</v>
      </c>
      <c r="C48" s="78">
        <v>2.3779724700000001E-2</v>
      </c>
      <c r="D48" s="20">
        <v>87.1</v>
      </c>
      <c r="E48" s="21">
        <f t="shared" si="14"/>
        <v>6.479217603911977E-2</v>
      </c>
      <c r="F48" s="22">
        <f>IF(ISNUMBER(D48), $B64 * E48, "")</f>
        <v>9718.8264058679651</v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 t="s">
        <v>128</v>
      </c>
      <c r="B49" s="129">
        <v>48.9</v>
      </c>
      <c r="C49" s="80">
        <v>2.08768267E-2</v>
      </c>
      <c r="D49" s="106">
        <v>48.7</v>
      </c>
      <c r="E49" s="107">
        <f>IF(ISNUMBER(D49), (D49 - $B49) / $B49, "")</f>
        <v>-4.0899795501021623E-3</v>
      </c>
      <c r="F49" s="108">
        <f>IF(ISNUMBER(D49), $B64 * E49, "")</f>
        <v>-613.49693251532437</v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 t="s">
        <v>189</v>
      </c>
      <c r="B50" s="126">
        <v>88.1</v>
      </c>
      <c r="C50" s="77">
        <v>1.61476355E-2</v>
      </c>
      <c r="D50" s="15">
        <v>88.1</v>
      </c>
      <c r="E50" s="32">
        <f t="shared" ref="E50:E53" si="18">IF(ISNUMBER(D50), (D50 - $B50) / $B50, "")</f>
        <v>0</v>
      </c>
      <c r="F50" s="18">
        <f>IF(ISNUMBER(D50), $B64 * E50, "")</f>
        <v>0</v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 t="s">
        <v>124</v>
      </c>
      <c r="B51" s="126">
        <v>61.5</v>
      </c>
      <c r="C51" s="77">
        <v>1.31795717E-2</v>
      </c>
      <c r="D51" s="15">
        <v>62</v>
      </c>
      <c r="E51" s="32">
        <f t="shared" si="18"/>
        <v>8.130081300813009E-3</v>
      </c>
      <c r="F51" s="18">
        <f>IF(ISNUMBER(D51), $B64 * E51, "")</f>
        <v>1219.5121951219514</v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 t="s">
        <v>341</v>
      </c>
      <c r="B52" s="126">
        <v>8.9200000000000002E-2</v>
      </c>
      <c r="C52" s="77">
        <v>1.2485811600000001E-2</v>
      </c>
      <c r="D52" s="15">
        <v>8.7999999999999995E-2</v>
      </c>
      <c r="E52" s="32">
        <f t="shared" si="18"/>
        <v>-1.3452914798206352E-2</v>
      </c>
      <c r="F52" s="18">
        <f>IF(ISNUMBER(D52), $B64 * E52, "")</f>
        <v>-2017.9372197309526</v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211</v>
      </c>
      <c r="B53" s="131">
        <v>7.19</v>
      </c>
      <c r="C53" s="79">
        <v>1.12517581E-2</v>
      </c>
      <c r="D53" s="24">
        <v>7.47</v>
      </c>
      <c r="E53" s="25">
        <f t="shared" si="18"/>
        <v>3.8942976356049978E-2</v>
      </c>
      <c r="F53" s="104">
        <f>IF(ISNUMBER(D53), $B64 * E53, "")</f>
        <v>5841.4464534074968</v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05"/>
      <c r="R53" s="206"/>
      <c r="S53" s="207"/>
    </row>
    <row r="54" spans="1:19" ht="17.25" customHeight="1">
      <c r="A54" s="123" t="s">
        <v>203</v>
      </c>
      <c r="B54" s="124">
        <v>7.59</v>
      </c>
      <c r="C54" s="76">
        <v>1.0652463399999999E-2</v>
      </c>
      <c r="D54" s="13">
        <v>7.62</v>
      </c>
      <c r="E54" s="14">
        <f>IF(ISNUMBER(D54), (D54 - $B54) / $B54, "")</f>
        <v>3.952569169960507E-3</v>
      </c>
      <c r="F54" s="16">
        <f>IF(ISNUMBER(D54), $B64 * E54, "")</f>
        <v>592.88537549407602</v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8"/>
      <c r="R54" s="209"/>
      <c r="S54" s="210"/>
    </row>
    <row r="55" spans="1:19" ht="17.25" customHeight="1" thickBot="1">
      <c r="A55" s="125" t="s">
        <v>245</v>
      </c>
      <c r="B55" s="126">
        <v>58.1</v>
      </c>
      <c r="C55" s="77">
        <v>1.0434782599999999E-2</v>
      </c>
      <c r="D55" s="15">
        <v>57.8</v>
      </c>
      <c r="E55" s="32">
        <f t="shared" ref="E55:E58" si="22">IF(ISNUMBER(D55), (D55 - $B55) / $B55, "")</f>
        <v>-5.1635111876076464E-3</v>
      </c>
      <c r="F55" s="18">
        <f>IF(ISNUMBER(D55), $B64 * E55, "")</f>
        <v>-774.52667814114693</v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11"/>
      <c r="R55" s="212"/>
      <c r="S55" s="213"/>
    </row>
    <row r="56" spans="1:19" ht="17.25" customHeight="1" thickBot="1">
      <c r="A56" s="125" t="s">
        <v>174</v>
      </c>
      <c r="B56" s="126">
        <v>10.4</v>
      </c>
      <c r="C56" s="77">
        <v>9.7087379000000001E-3</v>
      </c>
      <c r="D56" s="15">
        <v>10.4</v>
      </c>
      <c r="E56" s="32">
        <f t="shared" si="22"/>
        <v>0</v>
      </c>
      <c r="F56" s="18">
        <f>IF(ISNUMBER(D56), $B64 * E56, "")</f>
        <v>0</v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 t="s">
        <v>146</v>
      </c>
      <c r="B57" s="126">
        <v>8.34</v>
      </c>
      <c r="C57" s="77">
        <v>9.6852299999999995E-3</v>
      </c>
      <c r="D57" s="15">
        <v>8.3800000000000008</v>
      </c>
      <c r="E57" s="32">
        <f t="shared" si="22"/>
        <v>4.7961630695444752E-3</v>
      </c>
      <c r="F57" s="18">
        <f>IF(ISNUMBER(D57), $B64 * E57, "")</f>
        <v>719.42446043167126</v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91"/>
      <c r="R57" s="191"/>
      <c r="S57" s="191"/>
    </row>
    <row r="58" spans="1:19" ht="17.25" customHeight="1" thickBot="1">
      <c r="A58" s="127" t="s">
        <v>144</v>
      </c>
      <c r="B58" s="128">
        <v>10.6</v>
      </c>
      <c r="C58" s="78">
        <v>9.5238094999999991E-3</v>
      </c>
      <c r="D58" s="20">
        <v>10.8</v>
      </c>
      <c r="E58" s="21">
        <f t="shared" si="22"/>
        <v>1.8867924528301987E-2</v>
      </c>
      <c r="F58" s="22">
        <f>IF(ISNUMBER(D58), $B64 * E58, "")</f>
        <v>2830.1886792452979</v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91"/>
      <c r="R58" s="191"/>
      <c r="S58" s="191"/>
    </row>
    <row r="59" spans="1:19" ht="17.25" customHeight="1" thickBot="1">
      <c r="A59" s="125" t="s">
        <v>64</v>
      </c>
      <c r="B59" s="129">
        <v>28.6</v>
      </c>
      <c r="C59" s="80">
        <v>7.0422534999999998E-3</v>
      </c>
      <c r="D59" s="106">
        <v>28.5</v>
      </c>
      <c r="E59" s="107">
        <f>IF(ISNUMBER(D59), (D59 - $B59) / $B59, "")</f>
        <v>-3.4965034965035459E-3</v>
      </c>
      <c r="F59" s="108">
        <f>IF(ISNUMBER(D59), $B64 * E59, "")</f>
        <v>-524.47552447553187</v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 t="s">
        <v>126</v>
      </c>
      <c r="B60" s="126">
        <v>84</v>
      </c>
      <c r="C60" s="77">
        <v>5.9880239999999998E-3</v>
      </c>
      <c r="D60" s="15">
        <v>83.7</v>
      </c>
      <c r="E60" s="32">
        <f t="shared" ref="E60:E63" si="26">IF(ISNUMBER(D60), (D60 - $B60) / $B60, "")</f>
        <v>-3.5714285714285375E-3</v>
      </c>
      <c r="F60" s="18">
        <f>IF(ISNUMBER(D60), $B64 * E60, "")</f>
        <v>-535.71428571428066</v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 t="s">
        <v>71</v>
      </c>
      <c r="B61" s="126">
        <v>19</v>
      </c>
      <c r="C61" s="77">
        <v>5.2910053000000002E-3</v>
      </c>
      <c r="D61" s="15">
        <v>19</v>
      </c>
      <c r="E61" s="32">
        <f t="shared" si="26"/>
        <v>0</v>
      </c>
      <c r="F61" s="18">
        <f>IF(ISNUMBER(D61), $B64 * E61, "")</f>
        <v>0</v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 t="s">
        <v>197</v>
      </c>
      <c r="B62" s="126">
        <v>46.7</v>
      </c>
      <c r="C62" s="77">
        <v>2.1459227E-3</v>
      </c>
      <c r="D62" s="15">
        <v>46.9</v>
      </c>
      <c r="E62" s="32">
        <f t="shared" si="26"/>
        <v>4.282655246252585E-3</v>
      </c>
      <c r="F62" s="18">
        <f>IF(ISNUMBER(D62), $B64 * E62, "")</f>
        <v>642.39828693788775</v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18"/>
      <c r="R62" s="219"/>
      <c r="S62" s="220"/>
    </row>
    <row r="63" spans="1:19" ht="17.25" customHeight="1" thickBot="1">
      <c r="A63" s="130" t="s">
        <v>185</v>
      </c>
      <c r="B63" s="131">
        <v>10</v>
      </c>
      <c r="C63" s="79">
        <v>1.0010010000000001E-3</v>
      </c>
      <c r="D63" s="24">
        <v>10.1</v>
      </c>
      <c r="E63" s="25">
        <f t="shared" si="26"/>
        <v>9.9999999999999638E-3</v>
      </c>
      <c r="F63" s="104">
        <f>IF(ISNUMBER(D63), $B64 * E63, "")</f>
        <v>1499.9999999999945</v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21"/>
      <c r="R63" s="222"/>
      <c r="S63" s="223"/>
    </row>
    <row r="64" spans="1:19" ht="17.25" customHeight="1" thickBot="1">
      <c r="A64" s="132" t="s">
        <v>265</v>
      </c>
      <c r="B64" s="229">
        <f>$B$37</f>
        <v>150000</v>
      </c>
      <c r="C64" s="230"/>
      <c r="D64" s="26" t="s">
        <v>266</v>
      </c>
      <c r="E64" s="27">
        <f>IF(COUNT(E44:E63), SUM(E44:E63) / COUNT(E44:E63), 0)</f>
        <v>2.2797028551763627E-3</v>
      </c>
      <c r="F64" s="28">
        <f>SUM(F44:F63)</f>
        <v>6839.1085655290899</v>
      </c>
      <c r="G64" s="26" t="s">
        <v>266</v>
      </c>
      <c r="H64" s="27">
        <f>IF(COUNT(H44:H63), SUM(H44:H63) / COUNT(H44:H63), 0)</f>
        <v>0</v>
      </c>
      <c r="I64" s="28">
        <f>SUM(I44:I63)</f>
        <v>0</v>
      </c>
      <c r="J64" s="26" t="s">
        <v>266</v>
      </c>
      <c r="K64" s="27">
        <f>IF(COUNT(K44:K63), SUM(K44:K63) / COUNT(K44:K63), 0)</f>
        <v>0</v>
      </c>
      <c r="L64" s="28">
        <f>SUM(L44:L63)</f>
        <v>0</v>
      </c>
      <c r="M64" s="26" t="s">
        <v>266</v>
      </c>
      <c r="N64" s="27">
        <f>IF(COUNT(N44:N63), SUM(N44:N63) / COUNT(N44:N63), 0)</f>
        <v>0</v>
      </c>
      <c r="O64" s="28">
        <f>SUM(O44:O63)</f>
        <v>0</v>
      </c>
      <c r="Q64" s="224"/>
      <c r="R64" s="225"/>
      <c r="S64" s="226"/>
    </row>
    <row r="65" spans="1:19" ht="17.25" customHeight="1"/>
    <row r="66" spans="1:19" ht="17.25" customHeight="1" thickBot="1"/>
    <row r="67" spans="1:19" ht="17.25" thickBot="1">
      <c r="A67" s="170" t="s">
        <v>45</v>
      </c>
      <c r="B67" s="171"/>
      <c r="C67" s="171"/>
      <c r="D67" s="171"/>
      <c r="E67" s="171"/>
      <c r="F67" s="171"/>
      <c r="G67" s="171"/>
      <c r="H67" s="171"/>
      <c r="I67" s="171"/>
      <c r="J67" s="171"/>
      <c r="K67" s="171"/>
      <c r="L67" s="171"/>
      <c r="M67" s="171"/>
      <c r="N67" s="171"/>
      <c r="O67" s="172"/>
      <c r="Q67" s="191"/>
      <c r="R67" s="191"/>
      <c r="S67" s="191"/>
    </row>
    <row r="68" spans="1:19" ht="17.25" thickBot="1">
      <c r="A68" s="157" t="s">
        <v>262</v>
      </c>
      <c r="B68" s="170" t="s">
        <v>49</v>
      </c>
      <c r="C68" s="172"/>
      <c r="D68" s="170" t="s">
        <v>57</v>
      </c>
      <c r="E68" s="171"/>
      <c r="F68" s="172"/>
      <c r="G68" s="197">
        <f>_xlfn.IFNA(VLOOKUP(B68, 현재가테이블!$B$2:$D$200, 2, FALSE), "-")</f>
        <v>48774000</v>
      </c>
      <c r="H68" s="198"/>
      <c r="I68" s="199"/>
      <c r="J68" s="170" t="s">
        <v>58</v>
      </c>
      <c r="K68" s="171"/>
      <c r="L68" s="172"/>
      <c r="M68" s="200">
        <f>_xlfn.IFNA(VLOOKUP(B68, 현재가테이블!$B$2:$D$200, 3, FALSE), "-")</f>
        <v>3.4770084999999999E-3</v>
      </c>
      <c r="N68" s="201"/>
      <c r="O68" s="202"/>
      <c r="Q68" s="191"/>
      <c r="R68" s="191"/>
      <c r="S68" s="191"/>
    </row>
    <row r="69" spans="1:19" ht="17.25" thickBot="1">
      <c r="A69" s="231" t="s">
        <v>54</v>
      </c>
      <c r="B69" s="233" t="str">
        <f>TEXT($G$1, "[$-ko-KR]yyyy-mm-dd(ddd) ") &amp; "오전 00:00"</f>
        <v>2022-03-06(일) 오전 00:00</v>
      </c>
      <c r="C69" s="234"/>
      <c r="D69" s="193" t="str">
        <f>TEXT($G$1, "[$-ko-KR]yyyy-mm-dd(ddd) ") &amp; "오후 14:00"</f>
        <v>2022-03-06(일) 오후 14:00</v>
      </c>
      <c r="E69" s="194"/>
      <c r="F69" s="195"/>
      <c r="G69" s="193" t="str">
        <f>TEXT($G$1, "[$-ko-KR]yyyy-mm-dd(ddd) ") &amp; "오후 19:00"</f>
        <v>2022-03-06(일) 오후 19:00</v>
      </c>
      <c r="H69" s="194"/>
      <c r="I69" s="195"/>
      <c r="J69" s="193" t="str">
        <f>TEXT($G$1, "[$-ko-KR]yyyy-mm-dd(ddd) ") &amp; "오후 21:00"</f>
        <v>2022-03-06(일) 오후 21:00</v>
      </c>
      <c r="K69" s="194"/>
      <c r="L69" s="195"/>
      <c r="M69" s="193" t="str">
        <f>TEXT($G$1+1, "[$-ko-KR]yyyy-mm-dd(ddd) ") &amp; "오전 00:00"</f>
        <v>2022-03-07(월) 오전 00:00</v>
      </c>
      <c r="N69" s="194"/>
      <c r="O69" s="195"/>
      <c r="Q69" s="191"/>
      <c r="R69" s="191"/>
      <c r="S69" s="191"/>
    </row>
    <row r="70" spans="1:19" ht="17.25" thickBot="1">
      <c r="A70" s="232"/>
      <c r="B70" s="121" t="s">
        <v>57</v>
      </c>
      <c r="C70" s="122" t="s">
        <v>58</v>
      </c>
      <c r="D70" s="2" t="s">
        <v>57</v>
      </c>
      <c r="E70" s="10" t="s">
        <v>263</v>
      </c>
      <c r="F70" s="11" t="s">
        <v>264</v>
      </c>
      <c r="G70" s="158" t="s">
        <v>57</v>
      </c>
      <c r="H70" s="159" t="s">
        <v>263</v>
      </c>
      <c r="I70" s="160" t="s">
        <v>264</v>
      </c>
      <c r="J70" s="10" t="s">
        <v>57</v>
      </c>
      <c r="K70" s="10" t="s">
        <v>263</v>
      </c>
      <c r="L70" s="115" t="s">
        <v>264</v>
      </c>
      <c r="M70" s="2" t="s">
        <v>57</v>
      </c>
      <c r="N70" s="10" t="s">
        <v>263</v>
      </c>
      <c r="O70" s="66" t="s">
        <v>264</v>
      </c>
      <c r="Q70" s="196"/>
      <c r="R70" s="196"/>
      <c r="S70" s="196"/>
    </row>
    <row r="71" spans="1:19" ht="17.25" thickBot="1">
      <c r="A71" s="123" t="s">
        <v>85</v>
      </c>
      <c r="B71" s="124">
        <v>258</v>
      </c>
      <c r="C71" s="76">
        <v>6.6115702499999998E-2</v>
      </c>
      <c r="D71" s="13">
        <v>275</v>
      </c>
      <c r="E71" s="14">
        <f>IF(ISNUMBER(D71), (D71 - $B71) / $B71, "")</f>
        <v>6.589147286821706E-2</v>
      </c>
      <c r="F71" s="16">
        <f>IF(ISNUMBER(D71), $B91 * E71, "")</f>
        <v>9883.7209302325591</v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91"/>
      <c r="R71" s="191"/>
      <c r="S71" s="191"/>
    </row>
    <row r="72" spans="1:19" ht="17.25" thickBot="1">
      <c r="A72" s="125" t="s">
        <v>89</v>
      </c>
      <c r="B72" s="126">
        <v>936</v>
      </c>
      <c r="C72" s="77">
        <v>6.0022650099999998E-2</v>
      </c>
      <c r="D72" s="15">
        <v>921</v>
      </c>
      <c r="E72" s="32">
        <f t="shared" ref="E72:E75" si="30">IF(ISNUMBER(D72), (D72 - $B72) / $B72, "")</f>
        <v>-1.6025641025641024E-2</v>
      </c>
      <c r="F72" s="18">
        <f>IF(ISNUMBER(D72), $B91 * E72, "")</f>
        <v>-2403.8461538461538</v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91"/>
      <c r="R72" s="191"/>
      <c r="S72" s="191"/>
    </row>
    <row r="73" spans="1:19" ht="17.25" thickBot="1">
      <c r="A73" s="125" t="s">
        <v>172</v>
      </c>
      <c r="B73" s="126">
        <v>903</v>
      </c>
      <c r="C73" s="77">
        <v>2.73037543E-2</v>
      </c>
      <c r="D73" s="15">
        <v>905</v>
      </c>
      <c r="E73" s="32">
        <f t="shared" si="30"/>
        <v>2.2148394241417496E-3</v>
      </c>
      <c r="F73" s="18">
        <f>IF(ISNUMBER(D73), $B91 * E73, "")</f>
        <v>332.22591362126246</v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 t="s">
        <v>217</v>
      </c>
      <c r="B74" s="126">
        <v>199</v>
      </c>
      <c r="C74" s="77">
        <v>2.0512820500000001E-2</v>
      </c>
      <c r="D74" s="15">
        <v>198</v>
      </c>
      <c r="E74" s="32">
        <f t="shared" si="30"/>
        <v>-5.0251256281407036E-3</v>
      </c>
      <c r="F74" s="18">
        <f>IF(ISNUMBER(D74), $B91 * E74, "")</f>
        <v>-753.7688442211055</v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 t="s">
        <v>235</v>
      </c>
      <c r="B75" s="128">
        <v>110</v>
      </c>
      <c r="C75" s="78">
        <v>1.8518518500000001E-2</v>
      </c>
      <c r="D75" s="20">
        <v>110</v>
      </c>
      <c r="E75" s="21">
        <f t="shared" si="30"/>
        <v>0</v>
      </c>
      <c r="F75" s="22">
        <f>IF(ISNUMBER(D75), $B91 * E75, "")</f>
        <v>0</v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 t="s">
        <v>207</v>
      </c>
      <c r="B76" s="129">
        <v>979</v>
      </c>
      <c r="C76" s="80">
        <v>1.76715177E-2</v>
      </c>
      <c r="D76" s="106">
        <v>976</v>
      </c>
      <c r="E76" s="107">
        <f>IF(ISNUMBER(D76), (D76 - $B76) / $B76, "")</f>
        <v>-3.0643513789581204E-3</v>
      </c>
      <c r="F76" s="108">
        <f>IF(ISNUMBER(D76), $B91 * E76, "")</f>
        <v>-459.65270684371808</v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 t="s">
        <v>105</v>
      </c>
      <c r="B77" s="126">
        <v>785</v>
      </c>
      <c r="C77" s="77">
        <v>1.55239327E-2</v>
      </c>
      <c r="D77" s="15">
        <v>781</v>
      </c>
      <c r="E77" s="32">
        <f t="shared" ref="E77:E80" si="34">IF(ISNUMBER(D77), (D77 - $B77) / $B77, "")</f>
        <v>-5.0955414012738851E-3</v>
      </c>
      <c r="F77" s="18">
        <f>IF(ISNUMBER(D77), $B91 * E77, "")</f>
        <v>-764.33121019108273</v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 t="s">
        <v>213</v>
      </c>
      <c r="B78" s="126">
        <v>279</v>
      </c>
      <c r="C78" s="77">
        <v>1.4545454500000001E-2</v>
      </c>
      <c r="D78" s="15">
        <v>279</v>
      </c>
      <c r="E78" s="32">
        <f t="shared" si="34"/>
        <v>0</v>
      </c>
      <c r="F78" s="18">
        <f>IF(ISNUMBER(D78), $B91 * E78, "")</f>
        <v>0</v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 t="s">
        <v>225</v>
      </c>
      <c r="B79" s="126">
        <v>353</v>
      </c>
      <c r="C79" s="77">
        <v>1.43678161E-2</v>
      </c>
      <c r="D79" s="15">
        <v>354</v>
      </c>
      <c r="E79" s="32">
        <f t="shared" si="34"/>
        <v>2.8328611898016999E-3</v>
      </c>
      <c r="F79" s="18">
        <f>IF(ISNUMBER(D79), $B91 * E79, "")</f>
        <v>424.92917847025495</v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339</v>
      </c>
      <c r="B80" s="131">
        <v>497</v>
      </c>
      <c r="C80" s="79">
        <v>1.42857143E-2</v>
      </c>
      <c r="D80" s="24">
        <v>504</v>
      </c>
      <c r="E80" s="25">
        <f t="shared" si="34"/>
        <v>1.4084507042253521E-2</v>
      </c>
      <c r="F80" s="104">
        <f>IF(ISNUMBER(D80), $B91 * E80, "")</f>
        <v>2112.676056338028</v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05"/>
      <c r="R80" s="206"/>
      <c r="S80" s="207"/>
    </row>
    <row r="81" spans="1:19">
      <c r="A81" s="123" t="s">
        <v>79</v>
      </c>
      <c r="B81" s="124">
        <v>825</v>
      </c>
      <c r="C81" s="76">
        <v>1.22699387E-2</v>
      </c>
      <c r="D81" s="13">
        <v>822</v>
      </c>
      <c r="E81" s="14">
        <f>IF(ISNUMBER(D81), (D81 - $B81) / $B81, "")</f>
        <v>-3.6363636363636364E-3</v>
      </c>
      <c r="F81" s="16">
        <f>IF(ISNUMBER(D81), $B91 * E81, "")</f>
        <v>-545.4545454545455</v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8"/>
      <c r="R81" s="209"/>
      <c r="S81" s="210"/>
    </row>
    <row r="82" spans="1:19" ht="17.25" thickBot="1">
      <c r="A82" s="125" t="s">
        <v>221</v>
      </c>
      <c r="B82" s="126">
        <v>914</v>
      </c>
      <c r="C82" s="77">
        <v>1.1061946899999999E-2</v>
      </c>
      <c r="D82" s="15">
        <v>906</v>
      </c>
      <c r="E82" s="32">
        <f t="shared" ref="E82:E85" si="38">IF(ISNUMBER(D82), (D82 - $B82) / $B82, "")</f>
        <v>-8.7527352297592995E-3</v>
      </c>
      <c r="F82" s="18">
        <f>IF(ISNUMBER(D82), $B91 * E82, "")</f>
        <v>-1312.9102844638949</v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11"/>
      <c r="R82" s="212"/>
      <c r="S82" s="213"/>
    </row>
    <row r="83" spans="1:19" ht="17.25" thickBot="1">
      <c r="A83" s="125" t="s">
        <v>327</v>
      </c>
      <c r="B83" s="126">
        <v>632</v>
      </c>
      <c r="C83" s="77">
        <v>9.5846644999999994E-3</v>
      </c>
      <c r="D83" s="15">
        <v>622</v>
      </c>
      <c r="E83" s="32">
        <f t="shared" si="38"/>
        <v>-1.5822784810126583E-2</v>
      </c>
      <c r="F83" s="18">
        <f>IF(ISNUMBER(D83), $B91 * E83, "")</f>
        <v>-2373.4177215189875</v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 t="s">
        <v>51</v>
      </c>
      <c r="B84" s="126">
        <v>220</v>
      </c>
      <c r="C84" s="77">
        <v>9.1743119000000008E-3</v>
      </c>
      <c r="D84" s="15">
        <v>219</v>
      </c>
      <c r="E84" s="32">
        <f t="shared" si="38"/>
        <v>-4.5454545454545452E-3</v>
      </c>
      <c r="F84" s="18">
        <f>IF(ISNUMBER(D84), $B91 * E84, "")</f>
        <v>-681.81818181818176</v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91"/>
      <c r="R84" s="191"/>
      <c r="S84" s="191"/>
    </row>
    <row r="85" spans="1:19" ht="17.25" thickBot="1">
      <c r="A85" s="127" t="s">
        <v>56</v>
      </c>
      <c r="B85" s="128">
        <v>120</v>
      </c>
      <c r="C85" s="78">
        <v>8.4033613000000004E-3</v>
      </c>
      <c r="D85" s="20">
        <v>120</v>
      </c>
      <c r="E85" s="21">
        <f t="shared" si="38"/>
        <v>0</v>
      </c>
      <c r="F85" s="22">
        <f>IF(ISNUMBER(D85), $B91 * E85, "")</f>
        <v>0</v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91"/>
      <c r="R85" s="191"/>
      <c r="S85" s="191"/>
    </row>
    <row r="86" spans="1:19" ht="17.25" thickBot="1">
      <c r="A86" s="125" t="s">
        <v>247</v>
      </c>
      <c r="B86" s="129">
        <v>722</v>
      </c>
      <c r="C86" s="80">
        <v>8.3798883000000008E-3</v>
      </c>
      <c r="D86" s="106">
        <v>709</v>
      </c>
      <c r="E86" s="107">
        <f>IF(ISNUMBER(D86), (D86 - $B86) / $B86, "")</f>
        <v>-1.8005540166204988E-2</v>
      </c>
      <c r="F86" s="108">
        <f>IF(ISNUMBER(D86), $B91 * E86, "")</f>
        <v>-2700.8310249307483</v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 t="s">
        <v>261</v>
      </c>
      <c r="B87" s="126">
        <v>153</v>
      </c>
      <c r="C87" s="77">
        <v>6.5789474000000001E-3</v>
      </c>
      <c r="D87" s="15">
        <v>153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 t="s">
        <v>134</v>
      </c>
      <c r="B88" s="126">
        <v>193</v>
      </c>
      <c r="C88" s="77">
        <v>5.2083333000000004E-3</v>
      </c>
      <c r="D88" s="15">
        <v>193</v>
      </c>
      <c r="E88" s="32">
        <f t="shared" si="42"/>
        <v>0</v>
      </c>
      <c r="F88" s="18">
        <f>IF(ISNUMBER(D88), $B91 * E88, "")</f>
        <v>0</v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 t="s">
        <v>348</v>
      </c>
      <c r="B89" s="126">
        <v>193</v>
      </c>
      <c r="C89" s="77">
        <v>5.2083333000000004E-3</v>
      </c>
      <c r="D89" s="15">
        <v>190</v>
      </c>
      <c r="E89" s="32">
        <f t="shared" si="42"/>
        <v>-1.5544041450777202E-2</v>
      </c>
      <c r="F89" s="18">
        <f>IF(ISNUMBER(D89), $B91 * E89, "")</f>
        <v>-2331.6062176165801</v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18"/>
      <c r="R89" s="219"/>
      <c r="S89" s="220"/>
    </row>
    <row r="90" spans="1:19" ht="17.25" thickBot="1">
      <c r="A90" s="130" t="s">
        <v>338</v>
      </c>
      <c r="B90" s="131">
        <v>256</v>
      </c>
      <c r="C90" s="79">
        <v>3.9215685999999996E-3</v>
      </c>
      <c r="D90" s="24">
        <v>259</v>
      </c>
      <c r="E90" s="25">
        <f t="shared" si="42"/>
        <v>1.171875E-2</v>
      </c>
      <c r="F90" s="104">
        <f>IF(ISNUMBER(D90), $B91 * E90, "")</f>
        <v>1757.8125</v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21"/>
      <c r="R90" s="222"/>
      <c r="S90" s="223"/>
    </row>
    <row r="91" spans="1:19" ht="17.25" thickBot="1">
      <c r="A91" s="132" t="s">
        <v>265</v>
      </c>
      <c r="B91" s="229">
        <f>$B$37</f>
        <v>150000</v>
      </c>
      <c r="C91" s="230"/>
      <c r="D91" s="26" t="s">
        <v>266</v>
      </c>
      <c r="E91" s="27">
        <f>IF(COUNT(E71:E90), SUM(E71:E90) / COUNT(E71:E90), 0)</f>
        <v>6.1242562585702221E-5</v>
      </c>
      <c r="F91" s="28">
        <f>SUM(F71:F90)</f>
        <v>183.72768775710483</v>
      </c>
      <c r="G91" s="26" t="s">
        <v>266</v>
      </c>
      <c r="H91" s="27">
        <f>IF(COUNT(H71:H90), SUM(H71:H90) / COUNT(H71:H90), 0)</f>
        <v>0</v>
      </c>
      <c r="I91" s="28">
        <f>SUM(I71:I90)</f>
        <v>0</v>
      </c>
      <c r="J91" s="26" t="s">
        <v>266</v>
      </c>
      <c r="K91" s="27">
        <f>IF(COUNT(K71:K90), SUM(K71:K90) / COUNT(K71:K90), 0)</f>
        <v>0</v>
      </c>
      <c r="L91" s="28">
        <f>SUM(L71:L90)</f>
        <v>0</v>
      </c>
      <c r="M91" s="26" t="s">
        <v>266</v>
      </c>
      <c r="N91" s="27">
        <f>IF(COUNT(N71:N90), SUM(N71:N90) / COUNT(N71:N90), 0)</f>
        <v>0</v>
      </c>
      <c r="O91" s="28">
        <f>SUM(O71:O90)</f>
        <v>0</v>
      </c>
      <c r="Q91" s="224"/>
      <c r="R91" s="225"/>
      <c r="S91" s="226"/>
    </row>
    <row r="93" spans="1:19" ht="17.25" thickBot="1"/>
    <row r="94" spans="1:19" ht="17.25" thickBot="1">
      <c r="A94" s="170" t="s">
        <v>46</v>
      </c>
      <c r="B94" s="171"/>
      <c r="C94" s="171"/>
      <c r="D94" s="171"/>
      <c r="E94" s="171"/>
      <c r="F94" s="171"/>
      <c r="G94" s="171"/>
      <c r="H94" s="171"/>
      <c r="I94" s="171"/>
      <c r="J94" s="171"/>
      <c r="K94" s="171"/>
      <c r="L94" s="171"/>
      <c r="M94" s="171"/>
      <c r="N94" s="171"/>
      <c r="O94" s="172"/>
      <c r="Q94" s="191"/>
      <c r="R94" s="191"/>
      <c r="S94" s="191"/>
    </row>
    <row r="95" spans="1:19" ht="17.25" thickBot="1">
      <c r="A95" s="157" t="s">
        <v>262</v>
      </c>
      <c r="B95" s="170" t="s">
        <v>49</v>
      </c>
      <c r="C95" s="172"/>
      <c r="D95" s="170" t="s">
        <v>57</v>
      </c>
      <c r="E95" s="171"/>
      <c r="F95" s="172"/>
      <c r="G95" s="197">
        <f>_xlfn.IFNA(VLOOKUP(B95, 현재가테이블!$B$2:$D$200, 2, FALSE), "-")</f>
        <v>48774000</v>
      </c>
      <c r="H95" s="198"/>
      <c r="I95" s="199"/>
      <c r="J95" s="170" t="s">
        <v>58</v>
      </c>
      <c r="K95" s="171"/>
      <c r="L95" s="172"/>
      <c r="M95" s="200">
        <f>_xlfn.IFNA(VLOOKUP(B95, 현재가테이블!$B$2:$D$200, 3, FALSE), "-")</f>
        <v>3.4770084999999999E-3</v>
      </c>
      <c r="N95" s="201"/>
      <c r="O95" s="202"/>
      <c r="Q95" s="191"/>
      <c r="R95" s="191"/>
      <c r="S95" s="191"/>
    </row>
    <row r="96" spans="1:19" ht="17.25" thickBot="1">
      <c r="A96" s="231" t="s">
        <v>54</v>
      </c>
      <c r="B96" s="233" t="str">
        <f>TEXT($G$1, "[$-ko-KR]yyyy-mm-dd(ddd) ") &amp; "오전 00:00"</f>
        <v>2022-03-06(일) 오전 00:00</v>
      </c>
      <c r="C96" s="234"/>
      <c r="D96" s="193" t="str">
        <f>TEXT($G$1, "[$-ko-KR]yyyy-mm-dd(ddd) ") &amp; "오후 14:00"</f>
        <v>2022-03-06(일) 오후 14:00</v>
      </c>
      <c r="E96" s="194"/>
      <c r="F96" s="195"/>
      <c r="G96" s="193" t="str">
        <f>TEXT($G$1, "[$-ko-KR]yyyy-mm-dd(ddd) ") &amp; "오후 19:00"</f>
        <v>2022-03-06(일) 오후 19:00</v>
      </c>
      <c r="H96" s="194"/>
      <c r="I96" s="195"/>
      <c r="J96" s="193" t="str">
        <f>TEXT($G$1, "[$-ko-KR]yyyy-mm-dd(ddd) ") &amp; "오후 21:00"</f>
        <v>2022-03-06(일) 오후 21:00</v>
      </c>
      <c r="K96" s="194"/>
      <c r="L96" s="195"/>
      <c r="M96" s="193" t="str">
        <f>TEXT($G$1+1, "[$-ko-KR]yyyy-mm-dd(ddd) ") &amp; "오전 00:00"</f>
        <v>2022-03-07(월) 오전 00:00</v>
      </c>
      <c r="N96" s="194"/>
      <c r="O96" s="195"/>
      <c r="Q96" s="191"/>
      <c r="R96" s="191"/>
      <c r="S96" s="191"/>
    </row>
    <row r="97" spans="1:19" ht="17.25" thickBot="1">
      <c r="A97" s="232"/>
      <c r="B97" s="121" t="s">
        <v>57</v>
      </c>
      <c r="C97" s="122" t="s">
        <v>58</v>
      </c>
      <c r="D97" s="2" t="s">
        <v>57</v>
      </c>
      <c r="E97" s="10" t="s">
        <v>263</v>
      </c>
      <c r="F97" s="11" t="s">
        <v>264</v>
      </c>
      <c r="G97" s="158" t="s">
        <v>57</v>
      </c>
      <c r="H97" s="159" t="s">
        <v>263</v>
      </c>
      <c r="I97" s="160" t="s">
        <v>264</v>
      </c>
      <c r="J97" s="10" t="s">
        <v>57</v>
      </c>
      <c r="K97" s="10" t="s">
        <v>263</v>
      </c>
      <c r="L97" s="115" t="s">
        <v>264</v>
      </c>
      <c r="M97" s="2" t="s">
        <v>57</v>
      </c>
      <c r="N97" s="10" t="s">
        <v>263</v>
      </c>
      <c r="O97" s="66" t="s">
        <v>264</v>
      </c>
      <c r="Q97" s="196"/>
      <c r="R97" s="196"/>
      <c r="S97" s="196"/>
    </row>
    <row r="98" spans="1:19" ht="17.25" thickBot="1">
      <c r="A98" s="123" t="s">
        <v>346</v>
      </c>
      <c r="B98" s="124">
        <v>9.81</v>
      </c>
      <c r="C98" s="76">
        <v>8.1587651600000005E-2</v>
      </c>
      <c r="D98" s="13">
        <v>9.49</v>
      </c>
      <c r="E98" s="14">
        <f>IF(ISNUMBER(D98), (D98 - $B98) / $B98, "")</f>
        <v>-3.2619775739041824E-2</v>
      </c>
      <c r="F98" s="16">
        <f>IF(ISNUMBER(D98), $B118 * E98, "")</f>
        <v>-4892.9663608562732</v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91"/>
      <c r="R98" s="191"/>
      <c r="S98" s="191"/>
    </row>
    <row r="99" spans="1:19" ht="17.25" thickBot="1">
      <c r="A99" s="125" t="s">
        <v>85</v>
      </c>
      <c r="B99" s="126">
        <v>258</v>
      </c>
      <c r="C99" s="77">
        <v>6.6115702499999998E-2</v>
      </c>
      <c r="D99" s="15">
        <v>275</v>
      </c>
      <c r="E99" s="32">
        <f t="shared" ref="E99:E102" si="46">IF(ISNUMBER(D99), (D99 - $B99) / $B99, "")</f>
        <v>6.589147286821706E-2</v>
      </c>
      <c r="F99" s="18">
        <f>IF(ISNUMBER(D99), $B118 * E99, "")</f>
        <v>9883.7209302325591</v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91"/>
      <c r="R99" s="191"/>
      <c r="S99" s="191"/>
    </row>
    <row r="100" spans="1:19" ht="17.25" thickBot="1">
      <c r="A100" s="125" t="s">
        <v>89</v>
      </c>
      <c r="B100" s="126">
        <v>936</v>
      </c>
      <c r="C100" s="77">
        <v>6.0022650099999998E-2</v>
      </c>
      <c r="D100" s="15">
        <v>921</v>
      </c>
      <c r="E100" s="32">
        <f t="shared" si="46"/>
        <v>-1.6025641025641024E-2</v>
      </c>
      <c r="F100" s="18">
        <f>IF(ISNUMBER(D100), $B118 * E100, "")</f>
        <v>-2403.8461538461538</v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 t="s">
        <v>118</v>
      </c>
      <c r="B101" s="126">
        <v>17.7</v>
      </c>
      <c r="C101" s="77">
        <v>4.1176470600000001E-2</v>
      </c>
      <c r="D101" s="15">
        <v>17.3</v>
      </c>
      <c r="E101" s="32">
        <f t="shared" si="46"/>
        <v>-2.2598870056497095E-2</v>
      </c>
      <c r="F101" s="18">
        <f>IF(ISNUMBER(D101), $B118 * E101, "")</f>
        <v>-3389.8305084745643</v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 t="s">
        <v>148</v>
      </c>
      <c r="B102" s="128">
        <v>74.5</v>
      </c>
      <c r="C102" s="78">
        <v>3.3287101200000002E-2</v>
      </c>
      <c r="D102" s="20">
        <v>74.7</v>
      </c>
      <c r="E102" s="21">
        <f t="shared" si="46"/>
        <v>2.6845637583892998E-3</v>
      </c>
      <c r="F102" s="22">
        <f>IF(ISNUMBER(D102), $B118 * E102, "")</f>
        <v>402.68456375839497</v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 t="s">
        <v>193</v>
      </c>
      <c r="B103" s="129">
        <v>7200</v>
      </c>
      <c r="C103" s="80">
        <v>2.85714286E-2</v>
      </c>
      <c r="D103" s="106">
        <v>7125</v>
      </c>
      <c r="E103" s="107">
        <f>IF(ISNUMBER(D103), (D103 - $B103) / $B103, "")</f>
        <v>-1.0416666666666666E-2</v>
      </c>
      <c r="F103" s="108">
        <f>IF(ISNUMBER(D103), $B118 * E103, "")</f>
        <v>-1562.5</v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 t="s">
        <v>172</v>
      </c>
      <c r="B104" s="126">
        <v>903</v>
      </c>
      <c r="C104" s="77">
        <v>2.73037543E-2</v>
      </c>
      <c r="D104" s="15">
        <v>905</v>
      </c>
      <c r="E104" s="32">
        <f t="shared" ref="E104:E107" si="50">IF(ISNUMBER(D104), (D104 - $B104) / $B104, "")</f>
        <v>2.2148394241417496E-3</v>
      </c>
      <c r="F104" s="18">
        <f>IF(ISNUMBER(D104), $B118 * E104, "")</f>
        <v>332.22591362126246</v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 t="s">
        <v>205</v>
      </c>
      <c r="B105" s="126">
        <v>11.6</v>
      </c>
      <c r="C105" s="77">
        <v>2.65486726E-2</v>
      </c>
      <c r="D105" s="15">
        <v>11.3</v>
      </c>
      <c r="E105" s="32">
        <f t="shared" si="50"/>
        <v>-2.5862068965517151E-2</v>
      </c>
      <c r="F105" s="18">
        <f>IF(ISNUMBER(D105), $B118 * E105, "")</f>
        <v>-3879.3103448275724</v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 t="s">
        <v>130</v>
      </c>
      <c r="B106" s="126">
        <v>21290</v>
      </c>
      <c r="C106" s="77">
        <v>2.5036109800000001E-2</v>
      </c>
      <c r="D106" s="15">
        <v>21040</v>
      </c>
      <c r="E106" s="32">
        <f t="shared" si="50"/>
        <v>-1.1742602160638797E-2</v>
      </c>
      <c r="F106" s="18">
        <f>IF(ISNUMBER(D106), $B118 * E106, "")</f>
        <v>-1761.3903240958196</v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150</v>
      </c>
      <c r="B107" s="131">
        <v>63270</v>
      </c>
      <c r="C107" s="79">
        <v>2.47813411E-2</v>
      </c>
      <c r="D107" s="24">
        <v>63110</v>
      </c>
      <c r="E107" s="25">
        <f t="shared" si="50"/>
        <v>-2.528844634107792E-3</v>
      </c>
      <c r="F107" s="104">
        <f>IF(ISNUMBER(D107), $B118 * E107, "")</f>
        <v>-379.32669511616882</v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05"/>
      <c r="R107" s="206"/>
      <c r="S107" s="207"/>
    </row>
    <row r="108" spans="1:19">
      <c r="A108" s="123" t="s">
        <v>140</v>
      </c>
      <c r="B108" s="124">
        <v>81.8</v>
      </c>
      <c r="C108" s="76">
        <v>2.3779724700000001E-2</v>
      </c>
      <c r="D108" s="13">
        <v>87.1</v>
      </c>
      <c r="E108" s="14">
        <f>IF(ISNUMBER(D108), (D108 - $B108) / $B108, "")</f>
        <v>6.479217603911977E-2</v>
      </c>
      <c r="F108" s="16">
        <f>IF(ISNUMBER(D108), $B118 * E108, "")</f>
        <v>9718.8264058679651</v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8"/>
      <c r="R108" s="209"/>
      <c r="S108" s="210"/>
    </row>
    <row r="109" spans="1:19" ht="17.25" thickBot="1">
      <c r="A109" s="125" t="s">
        <v>152</v>
      </c>
      <c r="B109" s="126">
        <v>1730</v>
      </c>
      <c r="C109" s="77">
        <v>2.36686391E-2</v>
      </c>
      <c r="D109" s="15">
        <v>1770</v>
      </c>
      <c r="E109" s="32">
        <f t="shared" ref="E109:E112" si="54">IF(ISNUMBER(D109), (D109 - $B109) / $B109, "")</f>
        <v>2.3121387283236993E-2</v>
      </c>
      <c r="F109" s="18">
        <f>IF(ISNUMBER(D109), $B118 * E109, "")</f>
        <v>3468.2080924855491</v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11"/>
      <c r="R109" s="212"/>
      <c r="S109" s="213"/>
    </row>
    <row r="110" spans="1:19" ht="17.25" thickBot="1">
      <c r="A110" s="125" t="s">
        <v>343</v>
      </c>
      <c r="B110" s="126">
        <v>6065</v>
      </c>
      <c r="C110" s="77">
        <v>2.3628692E-2</v>
      </c>
      <c r="D110" s="15">
        <v>6085</v>
      </c>
      <c r="E110" s="32">
        <f t="shared" si="54"/>
        <v>3.2976092333058533E-3</v>
      </c>
      <c r="F110" s="18">
        <f>IF(ISNUMBER(D110), $B118 * E110, "")</f>
        <v>494.64138499587801</v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 t="s">
        <v>122</v>
      </c>
      <c r="B111" s="126">
        <v>127900</v>
      </c>
      <c r="C111" s="77">
        <v>2.15654952E-2</v>
      </c>
      <c r="D111" s="15">
        <v>128100</v>
      </c>
      <c r="E111" s="32">
        <f t="shared" si="54"/>
        <v>1.563721657544957E-3</v>
      </c>
      <c r="F111" s="18">
        <f>IF(ISNUMBER(D111), $B118 * E111, "")</f>
        <v>234.55824863174354</v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91"/>
      <c r="R111" s="191"/>
      <c r="S111" s="191"/>
    </row>
    <row r="112" spans="1:19" ht="17.25" thickBot="1">
      <c r="A112" s="127" t="s">
        <v>128</v>
      </c>
      <c r="B112" s="128">
        <v>48.9</v>
      </c>
      <c r="C112" s="78">
        <v>2.08768267E-2</v>
      </c>
      <c r="D112" s="20">
        <v>48.7</v>
      </c>
      <c r="E112" s="21">
        <f t="shared" si="54"/>
        <v>-4.0899795501021623E-3</v>
      </c>
      <c r="F112" s="22">
        <f>IF(ISNUMBER(D112), $B118 * E112, "")</f>
        <v>-613.49693251532437</v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91"/>
      <c r="R112" s="191"/>
      <c r="S112" s="191"/>
    </row>
    <row r="113" spans="1:19" ht="17.25" thickBot="1">
      <c r="A113" s="125" t="s">
        <v>217</v>
      </c>
      <c r="B113" s="129">
        <v>199</v>
      </c>
      <c r="C113" s="80">
        <v>2.0512820500000001E-2</v>
      </c>
      <c r="D113" s="106">
        <v>198</v>
      </c>
      <c r="E113" s="107">
        <f>IF(ISNUMBER(D113), (D113 - $B113) / $B113, "")</f>
        <v>-5.0251256281407036E-3</v>
      </c>
      <c r="F113" s="108">
        <f>IF(ISNUMBER(D113), $B118 * E113, "")</f>
        <v>-753.7688442211055</v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 t="s">
        <v>209</v>
      </c>
      <c r="B114" s="126">
        <v>1035</v>
      </c>
      <c r="C114" s="77">
        <v>1.97044335E-2</v>
      </c>
      <c r="D114" s="15">
        <v>1025</v>
      </c>
      <c r="E114" s="32">
        <f t="shared" ref="E114:E117" si="58">IF(ISNUMBER(D114), (D114 - $B114) / $B114, "")</f>
        <v>-9.6618357487922701E-3</v>
      </c>
      <c r="F114" s="18">
        <f>IF(ISNUMBER(D114), $B118 * E114, "")</f>
        <v>-1449.2753623188405</v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 t="s">
        <v>235</v>
      </c>
      <c r="B115" s="126">
        <v>110</v>
      </c>
      <c r="C115" s="77">
        <v>1.8518518500000001E-2</v>
      </c>
      <c r="D115" s="15">
        <v>110</v>
      </c>
      <c r="E115" s="32">
        <f t="shared" si="58"/>
        <v>0</v>
      </c>
      <c r="F115" s="18">
        <f>IF(ISNUMBER(D115), $B118 * E115, "")</f>
        <v>0</v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 t="s">
        <v>111</v>
      </c>
      <c r="B116" s="126">
        <v>3680</v>
      </c>
      <c r="C116" s="77">
        <v>1.79806362E-2</v>
      </c>
      <c r="D116" s="15">
        <v>3685</v>
      </c>
      <c r="E116" s="32">
        <f t="shared" si="58"/>
        <v>1.358695652173913E-3</v>
      </c>
      <c r="F116" s="18">
        <f>IF(ISNUMBER(D116), $B118 * E116, "")</f>
        <v>203.80434782608694</v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18"/>
      <c r="R116" s="219"/>
      <c r="S116" s="220"/>
    </row>
    <row r="117" spans="1:19" ht="17.25" thickBot="1">
      <c r="A117" s="130" t="s">
        <v>207</v>
      </c>
      <c r="B117" s="131">
        <v>979</v>
      </c>
      <c r="C117" s="79">
        <v>1.76715177E-2</v>
      </c>
      <c r="D117" s="24">
        <v>976</v>
      </c>
      <c r="E117" s="25">
        <f t="shared" si="58"/>
        <v>-3.0643513789581204E-3</v>
      </c>
      <c r="F117" s="104">
        <f>IF(ISNUMBER(D117), $B118 * E117, "")</f>
        <v>-459.65270684371808</v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21"/>
      <c r="R117" s="222"/>
      <c r="S117" s="223"/>
    </row>
    <row r="118" spans="1:19" ht="17.25" thickBot="1">
      <c r="A118" s="132" t="s">
        <v>265</v>
      </c>
      <c r="B118" s="229">
        <f>$B$37</f>
        <v>150000</v>
      </c>
      <c r="C118" s="230"/>
      <c r="D118" s="26" t="s">
        <v>266</v>
      </c>
      <c r="E118" s="27">
        <f>IF(COUNT(E98:E117), SUM(E98:E117) / COUNT(E98:E117), 0)</f>
        <v>1.0644352181012999E-3</v>
      </c>
      <c r="F118" s="28">
        <f>SUM(F98:F117)</f>
        <v>3193.3056543038988</v>
      </c>
      <c r="G118" s="26" t="s">
        <v>266</v>
      </c>
      <c r="H118" s="27">
        <f>IF(COUNT(H98:H117), SUM(H98:H117) / COUNT(H98:H117), 0)</f>
        <v>0</v>
      </c>
      <c r="I118" s="28">
        <f>SUM(I98:I117)</f>
        <v>0</v>
      </c>
      <c r="J118" s="26" t="s">
        <v>266</v>
      </c>
      <c r="K118" s="27">
        <f>IF(COUNT(K98:K117), SUM(K98:K117) / COUNT(K98:K117), 0)</f>
        <v>0</v>
      </c>
      <c r="L118" s="28">
        <f>SUM(L98:L117)</f>
        <v>0</v>
      </c>
      <c r="M118" s="26" t="s">
        <v>266</v>
      </c>
      <c r="N118" s="27">
        <f>IF(COUNT(N98:N117), SUM(N98:N117) / COUNT(N98:N117), 0)</f>
        <v>0</v>
      </c>
      <c r="O118" s="28">
        <f>SUM(O98:O117)</f>
        <v>0</v>
      </c>
      <c r="Q118" s="224"/>
      <c r="R118" s="225"/>
      <c r="S118" s="226"/>
    </row>
    <row r="120" spans="1:19" ht="17.25" thickBot="1"/>
    <row r="121" spans="1:19" ht="17.25" thickBot="1">
      <c r="A121" s="170" t="s">
        <v>253</v>
      </c>
      <c r="B121" s="171"/>
      <c r="C121" s="171"/>
      <c r="D121" s="171"/>
      <c r="E121" s="171"/>
      <c r="F121" s="171"/>
      <c r="G121" s="171"/>
      <c r="H121" s="171"/>
      <c r="I121" s="171"/>
      <c r="J121" s="171"/>
      <c r="K121" s="171"/>
      <c r="L121" s="171"/>
      <c r="M121" s="171"/>
      <c r="N121" s="171"/>
      <c r="O121" s="172"/>
      <c r="Q121" s="191"/>
      <c r="R121" s="191"/>
      <c r="S121" s="191"/>
    </row>
    <row r="122" spans="1:19" ht="17.25" thickBot="1">
      <c r="A122" s="157" t="s">
        <v>262</v>
      </c>
      <c r="B122" s="170" t="s">
        <v>49</v>
      </c>
      <c r="C122" s="172"/>
      <c r="D122" s="170" t="s">
        <v>57</v>
      </c>
      <c r="E122" s="171"/>
      <c r="F122" s="172"/>
      <c r="G122" s="197">
        <f>_xlfn.IFNA(VLOOKUP(B122, 현재가테이블!$B$2:$D$200, 2, FALSE), "-")</f>
        <v>48774000</v>
      </c>
      <c r="H122" s="198"/>
      <c r="I122" s="199"/>
      <c r="J122" s="170" t="s">
        <v>58</v>
      </c>
      <c r="K122" s="171"/>
      <c r="L122" s="172"/>
      <c r="M122" s="200">
        <f>_xlfn.IFNA(VLOOKUP(B122, 현재가테이블!$B$2:$D$200, 3, FALSE), "-")</f>
        <v>3.4770084999999999E-3</v>
      </c>
      <c r="N122" s="201"/>
      <c r="O122" s="202"/>
      <c r="Q122" s="191"/>
      <c r="R122" s="191"/>
      <c r="S122" s="191"/>
    </row>
    <row r="123" spans="1:19" ht="17.25" thickBot="1">
      <c r="A123" s="231" t="s">
        <v>54</v>
      </c>
      <c r="B123" s="233" t="str">
        <f>TEXT($G$1, "[$-ko-KR]yyyy-mm-dd(ddd) ") &amp; "오전 00:00"</f>
        <v>2022-03-06(일) 오전 00:00</v>
      </c>
      <c r="C123" s="234"/>
      <c r="D123" s="193" t="str">
        <f>TEXT($G$1, "[$-ko-KR]yyyy-mm-dd(ddd) ") &amp; "오후 14:00"</f>
        <v>2022-03-06(일) 오후 14:00</v>
      </c>
      <c r="E123" s="194"/>
      <c r="F123" s="195"/>
      <c r="G123" s="193" t="str">
        <f>TEXT($G$1, "[$-ko-KR]yyyy-mm-dd(ddd) ") &amp; "오후 19:00"</f>
        <v>2022-03-06(일) 오후 19:00</v>
      </c>
      <c r="H123" s="194"/>
      <c r="I123" s="195"/>
      <c r="J123" s="193" t="str">
        <f>TEXT($G$1, "[$-ko-KR]yyyy-mm-dd(ddd) ") &amp; "오후 21:00"</f>
        <v>2022-03-06(일) 오후 21:00</v>
      </c>
      <c r="K123" s="194"/>
      <c r="L123" s="195"/>
      <c r="M123" s="193" t="str">
        <f>TEXT($G$1+1, "[$-ko-KR]yyyy-mm-dd(ddd) ") &amp; "오전 00:00"</f>
        <v>2022-03-07(월) 오전 00:00</v>
      </c>
      <c r="N123" s="194"/>
      <c r="O123" s="195"/>
      <c r="Q123" s="191"/>
      <c r="R123" s="191"/>
      <c r="S123" s="191"/>
    </row>
    <row r="124" spans="1:19" ht="17.25" thickBot="1">
      <c r="A124" s="232"/>
      <c r="B124" s="121" t="s">
        <v>57</v>
      </c>
      <c r="C124" s="122" t="s">
        <v>58</v>
      </c>
      <c r="D124" s="2" t="s">
        <v>57</v>
      </c>
      <c r="E124" s="10" t="s">
        <v>263</v>
      </c>
      <c r="F124" s="11" t="s">
        <v>264</v>
      </c>
      <c r="G124" s="158" t="s">
        <v>57</v>
      </c>
      <c r="H124" s="159" t="s">
        <v>263</v>
      </c>
      <c r="I124" s="160" t="s">
        <v>264</v>
      </c>
      <c r="J124" s="10" t="s">
        <v>57</v>
      </c>
      <c r="K124" s="10" t="s">
        <v>263</v>
      </c>
      <c r="L124" s="115" t="s">
        <v>264</v>
      </c>
      <c r="M124" s="2" t="s">
        <v>57</v>
      </c>
      <c r="N124" s="10" t="s">
        <v>263</v>
      </c>
      <c r="O124" s="66" t="s">
        <v>264</v>
      </c>
      <c r="Q124" s="196"/>
      <c r="R124" s="196"/>
      <c r="S124" s="196"/>
    </row>
    <row r="125" spans="1:19" ht="17.25" thickBot="1">
      <c r="A125" s="123" t="s">
        <v>128</v>
      </c>
      <c r="B125" s="124">
        <v>48.9</v>
      </c>
      <c r="C125" s="76">
        <v>2.08768267E-2</v>
      </c>
      <c r="D125" s="13">
        <v>48.7</v>
      </c>
      <c r="E125" s="14">
        <f>IF(ISNUMBER(D125), (D125 - $B125) / $B125, "")</f>
        <v>-4.0899795501021623E-3</v>
      </c>
      <c r="F125" s="16">
        <f>IF(ISNUMBER(D125), $B145 * E125, "")</f>
        <v>-613.49693251532437</v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91"/>
      <c r="R125" s="191"/>
      <c r="S125" s="191"/>
    </row>
    <row r="126" spans="1:19" ht="17.25" thickBot="1">
      <c r="A126" s="125" t="s">
        <v>189</v>
      </c>
      <c r="B126" s="126">
        <v>88.1</v>
      </c>
      <c r="C126" s="77">
        <v>1.61476355E-2</v>
      </c>
      <c r="D126" s="15">
        <v>88.1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91"/>
      <c r="R126" s="191"/>
      <c r="S126" s="191"/>
    </row>
    <row r="127" spans="1:19" ht="17.25" thickBot="1">
      <c r="A127" s="125" t="s">
        <v>124</v>
      </c>
      <c r="B127" s="126">
        <v>61.5</v>
      </c>
      <c r="C127" s="77">
        <v>1.31795717E-2</v>
      </c>
      <c r="D127" s="15">
        <v>62</v>
      </c>
      <c r="E127" s="32">
        <f t="shared" si="62"/>
        <v>8.130081300813009E-3</v>
      </c>
      <c r="F127" s="18">
        <f>IF(ISNUMBER(D127), $B145 * E127, "")</f>
        <v>1219.5121951219514</v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 t="s">
        <v>341</v>
      </c>
      <c r="B128" s="126">
        <v>8.9200000000000002E-2</v>
      </c>
      <c r="C128" s="77">
        <v>1.2485811600000001E-2</v>
      </c>
      <c r="D128" s="15">
        <v>8.7999999999999995E-2</v>
      </c>
      <c r="E128" s="32">
        <f t="shared" si="62"/>
        <v>-1.3452914798206352E-2</v>
      </c>
      <c r="F128" s="18">
        <f>IF(ISNUMBER(D128), $B145 * E128, "")</f>
        <v>-2017.9372197309526</v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 t="s">
        <v>211</v>
      </c>
      <c r="B129" s="128">
        <v>7.19</v>
      </c>
      <c r="C129" s="78">
        <v>1.12517581E-2</v>
      </c>
      <c r="D129" s="20">
        <v>7.47</v>
      </c>
      <c r="E129" s="21">
        <f t="shared" si="62"/>
        <v>3.8942976356049978E-2</v>
      </c>
      <c r="F129" s="22">
        <f>IF(ISNUMBER(D129), $B145 * E129, "")</f>
        <v>5841.4464534074968</v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 t="s">
        <v>203</v>
      </c>
      <c r="B130" s="129">
        <v>7.59</v>
      </c>
      <c r="C130" s="80">
        <v>1.0652463399999999E-2</v>
      </c>
      <c r="D130" s="106">
        <v>7.62</v>
      </c>
      <c r="E130" s="107">
        <f>IF(ISNUMBER(D130), (D130 - $B130) / $B130, "")</f>
        <v>3.952569169960507E-3</v>
      </c>
      <c r="F130" s="108">
        <f>IF(ISNUMBER(D130), $B145 * E130, "")</f>
        <v>592.88537549407602</v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 t="s">
        <v>245</v>
      </c>
      <c r="B131" s="126">
        <v>58.1</v>
      </c>
      <c r="C131" s="77">
        <v>1.0434782599999999E-2</v>
      </c>
      <c r="D131" s="15">
        <v>57.8</v>
      </c>
      <c r="E131" s="32">
        <f t="shared" ref="E131:E134" si="66">IF(ISNUMBER(D131), (D131 - $B131) / $B131, "")</f>
        <v>-5.1635111876076464E-3</v>
      </c>
      <c r="F131" s="18">
        <f>IF(ISNUMBER(D131), $B145 * E131, "")</f>
        <v>-774.52667814114693</v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 t="s">
        <v>174</v>
      </c>
      <c r="B132" s="126">
        <v>10.4</v>
      </c>
      <c r="C132" s="77">
        <v>9.7087379000000001E-3</v>
      </c>
      <c r="D132" s="15">
        <v>10.4</v>
      </c>
      <c r="E132" s="32">
        <f t="shared" si="66"/>
        <v>0</v>
      </c>
      <c r="F132" s="18">
        <f>IF(ISNUMBER(D132), $B145 * E132, "")</f>
        <v>0</v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 t="s">
        <v>146</v>
      </c>
      <c r="B133" s="126">
        <v>8.34</v>
      </c>
      <c r="C133" s="77">
        <v>9.6852299999999995E-3</v>
      </c>
      <c r="D133" s="15">
        <v>8.3800000000000008</v>
      </c>
      <c r="E133" s="32">
        <f t="shared" si="66"/>
        <v>4.7961630695444752E-3</v>
      </c>
      <c r="F133" s="18">
        <f>IF(ISNUMBER(D133), $B145 * E133, "")</f>
        <v>719.42446043167126</v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144</v>
      </c>
      <c r="B134" s="131">
        <v>10.6</v>
      </c>
      <c r="C134" s="79">
        <v>9.5238094999999991E-3</v>
      </c>
      <c r="D134" s="24">
        <v>10.8</v>
      </c>
      <c r="E134" s="25">
        <f t="shared" si="66"/>
        <v>1.8867924528301987E-2</v>
      </c>
      <c r="F134" s="104">
        <f>IF(ISNUMBER(D134), $B145 * E134, "")</f>
        <v>2830.1886792452979</v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05"/>
      <c r="R134" s="206"/>
      <c r="S134" s="207"/>
    </row>
    <row r="135" spans="1:19">
      <c r="A135" s="123" t="s">
        <v>64</v>
      </c>
      <c r="B135" s="124">
        <v>28.6</v>
      </c>
      <c r="C135" s="76">
        <v>7.0422534999999998E-3</v>
      </c>
      <c r="D135" s="13">
        <v>28.5</v>
      </c>
      <c r="E135" s="14">
        <f>IF(ISNUMBER(D135), (D135 - $B135) / $B135, "")</f>
        <v>-3.4965034965035459E-3</v>
      </c>
      <c r="F135" s="16">
        <f>IF(ISNUMBER(D135), $B145 * E135, "")</f>
        <v>-524.47552447553187</v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8"/>
      <c r="R135" s="209"/>
      <c r="S135" s="210"/>
    </row>
    <row r="136" spans="1:19" ht="17.25" thickBot="1">
      <c r="A136" s="125" t="s">
        <v>126</v>
      </c>
      <c r="B136" s="126">
        <v>84</v>
      </c>
      <c r="C136" s="77">
        <v>5.9880239999999998E-3</v>
      </c>
      <c r="D136" s="15">
        <v>83.7</v>
      </c>
      <c r="E136" s="32">
        <f t="shared" ref="E136:E139" si="70">IF(ISNUMBER(D136), (D136 - $B136) / $B136, "")</f>
        <v>-3.5714285714285375E-3</v>
      </c>
      <c r="F136" s="18">
        <f>IF(ISNUMBER(D136), $B145 * E136, "")</f>
        <v>-535.71428571428066</v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11"/>
      <c r="R136" s="212"/>
      <c r="S136" s="213"/>
    </row>
    <row r="137" spans="1:19" ht="17.25" thickBot="1">
      <c r="A137" s="125" t="s">
        <v>71</v>
      </c>
      <c r="B137" s="126">
        <v>19</v>
      </c>
      <c r="C137" s="77">
        <v>5.2910053000000002E-3</v>
      </c>
      <c r="D137" s="15">
        <v>19</v>
      </c>
      <c r="E137" s="32">
        <f t="shared" si="70"/>
        <v>0</v>
      </c>
      <c r="F137" s="18">
        <f>IF(ISNUMBER(D137), $B145 * E137, "")</f>
        <v>0</v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 t="s">
        <v>197</v>
      </c>
      <c r="B138" s="126">
        <v>46.7</v>
      </c>
      <c r="C138" s="77">
        <v>2.1459227E-3</v>
      </c>
      <c r="D138" s="15">
        <v>46.9</v>
      </c>
      <c r="E138" s="32">
        <f t="shared" si="70"/>
        <v>4.282655246252585E-3</v>
      </c>
      <c r="F138" s="18">
        <f>IF(ISNUMBER(D138), $B145 * E138, "")</f>
        <v>642.39828693788775</v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91"/>
      <c r="R138" s="191"/>
      <c r="S138" s="191"/>
    </row>
    <row r="139" spans="1:19" ht="17.25" thickBot="1">
      <c r="A139" s="127" t="s">
        <v>185</v>
      </c>
      <c r="B139" s="128">
        <v>10</v>
      </c>
      <c r="C139" s="78">
        <v>1.0010010000000001E-3</v>
      </c>
      <c r="D139" s="20">
        <v>10.1</v>
      </c>
      <c r="E139" s="21">
        <f t="shared" si="70"/>
        <v>9.9999999999999638E-3</v>
      </c>
      <c r="F139" s="22">
        <f>IF(ISNUMBER(D139), $B145 * E139, "")</f>
        <v>1499.9999999999945</v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91"/>
      <c r="R139" s="191"/>
      <c r="S139" s="191"/>
    </row>
    <row r="140" spans="1:19" ht="17.25" thickBot="1">
      <c r="A140" s="125" t="s">
        <v>158</v>
      </c>
      <c r="B140" s="129">
        <v>67.2</v>
      </c>
      <c r="C140" s="80">
        <v>0</v>
      </c>
      <c r="D140" s="106">
        <v>67</v>
      </c>
      <c r="E140" s="107">
        <f>IF(ISNUMBER(D140), (D140 - $B140) / $B140, "")</f>
        <v>-2.9761904761905185E-3</v>
      </c>
      <c r="F140" s="108">
        <f>IF(ISNUMBER(D140), $B145 * E140, "")</f>
        <v>-446.42857142857775</v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 t="s">
        <v>199</v>
      </c>
      <c r="B141" s="126">
        <v>11</v>
      </c>
      <c r="C141" s="77">
        <v>0</v>
      </c>
      <c r="D141" s="15">
        <v>11.1</v>
      </c>
      <c r="E141" s="32">
        <f t="shared" ref="E141:E144" si="74">IF(ISNUMBER(D141), (D141 - $B141) / $B141, "")</f>
        <v>9.0909090909090592E-3</v>
      </c>
      <c r="F141" s="18">
        <f>IF(ISNUMBER(D141), $B145 * E141, "")</f>
        <v>1363.636363636359</v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 t="s">
        <v>97</v>
      </c>
      <c r="B142" s="126">
        <v>2.3E-3</v>
      </c>
      <c r="C142" s="77">
        <v>0</v>
      </c>
      <c r="D142" s="15">
        <v>2.3E-3</v>
      </c>
      <c r="E142" s="32">
        <f t="shared" si="74"/>
        <v>0</v>
      </c>
      <c r="F142" s="18">
        <f>IF(ISNUMBER(D142), $B145 * E142, "")</f>
        <v>0</v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 t="s">
        <v>229</v>
      </c>
      <c r="B143" s="126">
        <v>50.7</v>
      </c>
      <c r="C143" s="77">
        <v>0</v>
      </c>
      <c r="D143" s="15">
        <v>51.2</v>
      </c>
      <c r="E143" s="32">
        <f t="shared" si="74"/>
        <v>9.8619329388560158E-3</v>
      </c>
      <c r="F143" s="18">
        <f>IF(ISNUMBER(D143), $B145 * E143, "")</f>
        <v>1479.2899408284025</v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18"/>
      <c r="R143" s="219"/>
      <c r="S143" s="220"/>
    </row>
    <row r="144" spans="1:19" ht="17.25" thickBot="1">
      <c r="A144" s="130" t="s">
        <v>233</v>
      </c>
      <c r="B144" s="131">
        <v>98.4</v>
      </c>
      <c r="C144" s="79">
        <v>-2.0283976000000001E-3</v>
      </c>
      <c r="D144" s="24">
        <v>98.5</v>
      </c>
      <c r="E144" s="25">
        <f t="shared" si="74"/>
        <v>1.0162601626015682E-3</v>
      </c>
      <c r="F144" s="104">
        <f>IF(ISNUMBER(D144), $B145 * E144, "")</f>
        <v>152.43902439023523</v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21"/>
      <c r="R144" s="222"/>
      <c r="S144" s="223"/>
    </row>
    <row r="145" spans="1:19" ht="17.25" thickBot="1">
      <c r="A145" s="132" t="s">
        <v>265</v>
      </c>
      <c r="B145" s="229">
        <f>$B$37</f>
        <v>150000</v>
      </c>
      <c r="C145" s="230"/>
      <c r="D145" s="26" t="s">
        <v>266</v>
      </c>
      <c r="E145" s="27">
        <f>IF(COUNT(E125:E144), SUM(E125:E144) / COUNT(E125:E144), 0)</f>
        <v>3.809547189162518E-3</v>
      </c>
      <c r="F145" s="28">
        <f>SUM(F125:F144)</f>
        <v>11428.641567487557</v>
      </c>
      <c r="G145" s="26" t="s">
        <v>266</v>
      </c>
      <c r="H145" s="27">
        <f>IF(COUNT(H125:H144), SUM(H125:H144) / COUNT(H125:H144), 0)</f>
        <v>0</v>
      </c>
      <c r="I145" s="28">
        <f>SUM(I125:I144)</f>
        <v>0</v>
      </c>
      <c r="J145" s="26" t="s">
        <v>266</v>
      </c>
      <c r="K145" s="27">
        <f>IF(COUNT(K125:K144), SUM(K125:K144) / COUNT(K125:K144), 0)</f>
        <v>0</v>
      </c>
      <c r="L145" s="28">
        <f>SUM(L125:L144)</f>
        <v>0</v>
      </c>
      <c r="M145" s="26" t="s">
        <v>266</v>
      </c>
      <c r="N145" s="27">
        <f>IF(COUNT(N125:N144), SUM(N125:N144) / COUNT(N125:N144), 0)</f>
        <v>0</v>
      </c>
      <c r="O145" s="28">
        <f>SUM(O125:O144)</f>
        <v>0</v>
      </c>
      <c r="Q145" s="224"/>
      <c r="R145" s="225"/>
      <c r="S145" s="226"/>
    </row>
    <row r="147" spans="1:19" ht="17.25" thickBot="1"/>
    <row r="148" spans="1:19" ht="17.25" thickBot="1">
      <c r="A148" s="170" t="s">
        <v>254</v>
      </c>
      <c r="B148" s="171"/>
      <c r="C148" s="171"/>
      <c r="D148" s="171"/>
      <c r="E148" s="171"/>
      <c r="F148" s="171"/>
      <c r="G148" s="171"/>
      <c r="H148" s="171"/>
      <c r="I148" s="171"/>
      <c r="J148" s="171"/>
      <c r="K148" s="171"/>
      <c r="L148" s="171"/>
      <c r="M148" s="171"/>
      <c r="N148" s="171"/>
      <c r="O148" s="172"/>
      <c r="Q148" s="191"/>
      <c r="R148" s="191"/>
      <c r="S148" s="191"/>
    </row>
    <row r="149" spans="1:19" ht="17.25" thickBot="1">
      <c r="A149" s="157" t="s">
        <v>262</v>
      </c>
      <c r="B149" s="170" t="s">
        <v>49</v>
      </c>
      <c r="C149" s="172"/>
      <c r="D149" s="170" t="s">
        <v>57</v>
      </c>
      <c r="E149" s="171"/>
      <c r="F149" s="172"/>
      <c r="G149" s="197">
        <f>_xlfn.IFNA(VLOOKUP(B149, 현재가테이블!$B$2:$D$200, 2, FALSE), "-")</f>
        <v>48774000</v>
      </c>
      <c r="H149" s="198"/>
      <c r="I149" s="199"/>
      <c r="J149" s="170" t="s">
        <v>58</v>
      </c>
      <c r="K149" s="171"/>
      <c r="L149" s="172"/>
      <c r="M149" s="200">
        <f>_xlfn.IFNA(VLOOKUP(B149, 현재가테이블!$B$2:$D$200, 3, FALSE), "-")</f>
        <v>3.4770084999999999E-3</v>
      </c>
      <c r="N149" s="201"/>
      <c r="O149" s="202"/>
      <c r="Q149" s="191"/>
      <c r="R149" s="191"/>
      <c r="S149" s="191"/>
    </row>
    <row r="150" spans="1:19" ht="17.25" thickBot="1">
      <c r="A150" s="231" t="s">
        <v>54</v>
      </c>
      <c r="B150" s="233" t="str">
        <f>TEXT($G$1, "[$-ko-KR]yyyy-mm-dd(ddd) ") &amp; "오전 00:00"</f>
        <v>2022-03-06(일) 오전 00:00</v>
      </c>
      <c r="C150" s="234"/>
      <c r="D150" s="193" t="str">
        <f>TEXT($G$1, "[$-ko-KR]yyyy-mm-dd(ddd) ") &amp; "오후 14:00"</f>
        <v>2022-03-06(일) 오후 14:00</v>
      </c>
      <c r="E150" s="194"/>
      <c r="F150" s="195"/>
      <c r="G150" s="193" t="str">
        <f>TEXT($G$1, "[$-ko-KR]yyyy-mm-dd(ddd) ") &amp; "오후 19:00"</f>
        <v>2022-03-06(일) 오후 19:00</v>
      </c>
      <c r="H150" s="194"/>
      <c r="I150" s="195"/>
      <c r="J150" s="193" t="str">
        <f>TEXT($G$1, "[$-ko-KR]yyyy-mm-dd(ddd) ") &amp; "오후 21:00"</f>
        <v>2022-03-06(일) 오후 21:00</v>
      </c>
      <c r="K150" s="194"/>
      <c r="L150" s="195"/>
      <c r="M150" s="193" t="str">
        <f>TEXT($G$1+1, "[$-ko-KR]yyyy-mm-dd(ddd) ") &amp; "오전 00:00"</f>
        <v>2022-03-07(월) 오전 00:00</v>
      </c>
      <c r="N150" s="194"/>
      <c r="O150" s="195"/>
      <c r="Q150" s="191"/>
      <c r="R150" s="191"/>
      <c r="S150" s="191"/>
    </row>
    <row r="151" spans="1:19" ht="17.25" thickBot="1">
      <c r="A151" s="232"/>
      <c r="B151" s="121" t="s">
        <v>57</v>
      </c>
      <c r="C151" s="122" t="s">
        <v>58</v>
      </c>
      <c r="D151" s="2" t="s">
        <v>57</v>
      </c>
      <c r="E151" s="10" t="s">
        <v>263</v>
      </c>
      <c r="F151" s="11" t="s">
        <v>264</v>
      </c>
      <c r="G151" s="158" t="s">
        <v>57</v>
      </c>
      <c r="H151" s="159" t="s">
        <v>263</v>
      </c>
      <c r="I151" s="160" t="s">
        <v>264</v>
      </c>
      <c r="J151" s="10" t="s">
        <v>57</v>
      </c>
      <c r="K151" s="10" t="s">
        <v>263</v>
      </c>
      <c r="L151" s="115" t="s">
        <v>264</v>
      </c>
      <c r="M151" s="2" t="s">
        <v>57</v>
      </c>
      <c r="N151" s="10" t="s">
        <v>263</v>
      </c>
      <c r="O151" s="66" t="s">
        <v>264</v>
      </c>
      <c r="Q151" s="196"/>
      <c r="R151" s="196"/>
      <c r="S151" s="196"/>
    </row>
    <row r="152" spans="1:19" ht="17.25" thickBot="1">
      <c r="A152" s="123" t="s">
        <v>261</v>
      </c>
      <c r="B152" s="124">
        <v>153</v>
      </c>
      <c r="C152" s="76">
        <v>6.5789474000000001E-3</v>
      </c>
      <c r="D152" s="13">
        <v>153</v>
      </c>
      <c r="E152" s="14">
        <f>IF(ISNUMBER(D152), (D152 - $B152) / $B152, "")</f>
        <v>0</v>
      </c>
      <c r="F152" s="16">
        <f>IF(ISNUMBER(D152), $B172 * E152, "")</f>
        <v>0</v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91"/>
      <c r="R152" s="191"/>
      <c r="S152" s="191"/>
    </row>
    <row r="153" spans="1:19" ht="17.25" thickBot="1">
      <c r="A153" s="125" t="s">
        <v>134</v>
      </c>
      <c r="B153" s="126">
        <v>193</v>
      </c>
      <c r="C153" s="77">
        <v>5.2083333000000004E-3</v>
      </c>
      <c r="D153" s="15">
        <v>193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91"/>
      <c r="R153" s="191"/>
      <c r="S153" s="191"/>
    </row>
    <row r="154" spans="1:19" ht="17.25" thickBot="1">
      <c r="A154" s="125" t="s">
        <v>348</v>
      </c>
      <c r="B154" s="126">
        <v>193</v>
      </c>
      <c r="C154" s="77">
        <v>5.2083333000000004E-3</v>
      </c>
      <c r="D154" s="15">
        <v>190</v>
      </c>
      <c r="E154" s="32">
        <f t="shared" si="78"/>
        <v>-1.5544041450777202E-2</v>
      </c>
      <c r="F154" s="18">
        <f>IF(ISNUMBER(D154), $B172 * E154, "")</f>
        <v>-2331.6062176165801</v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 t="s">
        <v>338</v>
      </c>
      <c r="B155" s="126">
        <v>256</v>
      </c>
      <c r="C155" s="77">
        <v>3.9215685999999996E-3</v>
      </c>
      <c r="D155" s="15">
        <v>259</v>
      </c>
      <c r="E155" s="32">
        <f t="shared" si="78"/>
        <v>1.171875E-2</v>
      </c>
      <c r="F155" s="18">
        <f>IF(ISNUMBER(D155), $B172 * E155, "")</f>
        <v>1757.8125</v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 t="s">
        <v>331</v>
      </c>
      <c r="B156" s="128">
        <v>945</v>
      </c>
      <c r="C156" s="78">
        <v>3.1847134000000002E-3</v>
      </c>
      <c r="D156" s="20">
        <v>947</v>
      </c>
      <c r="E156" s="21">
        <f t="shared" si="78"/>
        <v>2.1164021164021165E-3</v>
      </c>
      <c r="F156" s="22">
        <f>IF(ISNUMBER(D156), $B172 * E156, "")</f>
        <v>317.46031746031747</v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 t="s">
        <v>231</v>
      </c>
      <c r="B157" s="129">
        <v>381</v>
      </c>
      <c r="C157" s="80">
        <v>2.6315789000000002E-3</v>
      </c>
      <c r="D157" s="106">
        <v>380</v>
      </c>
      <c r="E157" s="107">
        <f>IF(ISNUMBER(D157), (D157 - $B157) / $B157, "")</f>
        <v>-2.6246719160104987E-3</v>
      </c>
      <c r="F157" s="108">
        <f>IF(ISNUMBER(D157), $B172 * E157, "")</f>
        <v>-393.70078740157481</v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 t="s">
        <v>103</v>
      </c>
      <c r="B158" s="126">
        <v>615</v>
      </c>
      <c r="C158" s="77">
        <v>1.6286645000000001E-3</v>
      </c>
      <c r="D158" s="15">
        <v>614</v>
      </c>
      <c r="E158" s="32">
        <f t="shared" ref="E158:E161" si="82">IF(ISNUMBER(D158), (D158 - $B158) / $B158, "")</f>
        <v>-1.6260162601626016E-3</v>
      </c>
      <c r="F158" s="18">
        <f>IF(ISNUMBER(D158), $B172 * E158, "")</f>
        <v>-243.90243902439025</v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 t="s">
        <v>120</v>
      </c>
      <c r="B159" s="126">
        <v>327</v>
      </c>
      <c r="C159" s="77">
        <v>0</v>
      </c>
      <c r="D159" s="15">
        <v>328</v>
      </c>
      <c r="E159" s="32">
        <f t="shared" si="82"/>
        <v>3.0581039755351682E-3</v>
      </c>
      <c r="F159" s="18">
        <f>IF(ISNUMBER(D159), $B172 * E159, "")</f>
        <v>458.71559633027522</v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 t="s">
        <v>215</v>
      </c>
      <c r="B160" s="126">
        <v>135</v>
      </c>
      <c r="C160" s="77">
        <v>0</v>
      </c>
      <c r="D160" s="15">
        <v>135</v>
      </c>
      <c r="E160" s="32">
        <f t="shared" si="82"/>
        <v>0</v>
      </c>
      <c r="F160" s="18">
        <f>IF(ISNUMBER(D160), $B172 * E160, "")</f>
        <v>0</v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195</v>
      </c>
      <c r="B161" s="131">
        <v>123</v>
      </c>
      <c r="C161" s="79">
        <v>0</v>
      </c>
      <c r="D161" s="24">
        <v>123</v>
      </c>
      <c r="E161" s="25">
        <f t="shared" si="82"/>
        <v>0</v>
      </c>
      <c r="F161" s="104">
        <f>IF(ISNUMBER(D161), $B172 * E161, "")</f>
        <v>0</v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05"/>
      <c r="R161" s="206"/>
      <c r="S161" s="207"/>
    </row>
    <row r="162" spans="1:19">
      <c r="A162" s="123" t="s">
        <v>107</v>
      </c>
      <c r="B162" s="124">
        <v>109</v>
      </c>
      <c r="C162" s="76">
        <v>-9.0909091000000008E-3</v>
      </c>
      <c r="D162" s="13">
        <v>110</v>
      </c>
      <c r="E162" s="14">
        <f>IF(ISNUMBER(D162), (D162 - $B162) / $B162, "")</f>
        <v>9.1743119266055051E-3</v>
      </c>
      <c r="F162" s="16">
        <f>IF(ISNUMBER(D162), $B172 * E162, "")</f>
        <v>1376.1467889908258</v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8"/>
      <c r="R162" s="209"/>
      <c r="S162" s="210"/>
    </row>
    <row r="163" spans="1:19" ht="17.25" thickBot="1">
      <c r="A163" s="125" t="s">
        <v>101</v>
      </c>
      <c r="B163" s="126">
        <v>649</v>
      </c>
      <c r="C163" s="77">
        <v>-9.1603052999999993E-3</v>
      </c>
      <c r="D163" s="15">
        <v>648</v>
      </c>
      <c r="E163" s="32">
        <f t="shared" ref="E163:E166" si="86">IF(ISNUMBER(D163), (D163 - $B163) / $B163, "")</f>
        <v>-1.5408320493066256E-3</v>
      </c>
      <c r="F163" s="18">
        <f>IF(ISNUMBER(D163), $B172 * E163, "")</f>
        <v>-231.12480739599386</v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11"/>
      <c r="R163" s="212"/>
      <c r="S163" s="213"/>
    </row>
    <row r="164" spans="1:19" ht="17.25" thickBot="1">
      <c r="A164" s="125" t="s">
        <v>170</v>
      </c>
      <c r="B164" s="126">
        <v>647</v>
      </c>
      <c r="C164" s="77">
        <v>-1.5220700199999999E-2</v>
      </c>
      <c r="D164" s="15">
        <v>646</v>
      </c>
      <c r="E164" s="32">
        <f t="shared" si="86"/>
        <v>-1.5455950540958269E-3</v>
      </c>
      <c r="F164" s="18">
        <f>IF(ISNUMBER(D164), $B172 * E164, "")</f>
        <v>-231.83925811437402</v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 t="s">
        <v>180</v>
      </c>
      <c r="B165" s="126">
        <v>902</v>
      </c>
      <c r="C165" s="77">
        <v>-1.63576881E-2</v>
      </c>
      <c r="D165" s="15">
        <v>899</v>
      </c>
      <c r="E165" s="32">
        <f t="shared" si="86"/>
        <v>-3.3259423503325942E-3</v>
      </c>
      <c r="F165" s="18">
        <f>IF(ISNUMBER(D165), $B172 * E165, "")</f>
        <v>-498.89135254988912</v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91"/>
      <c r="R165" s="191"/>
      <c r="S165" s="191"/>
    </row>
    <row r="166" spans="1:19" ht="17.25" thickBot="1">
      <c r="A166" s="127" t="s">
        <v>249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91"/>
      <c r="R166" s="191"/>
      <c r="S166" s="191"/>
    </row>
    <row r="167" spans="1:19" ht="17.25" thickBot="1">
      <c r="A167" s="125" t="s">
        <v>223</v>
      </c>
      <c r="B167" s="129">
        <v>974</v>
      </c>
      <c r="C167" s="80">
        <v>-2.4048096200000001E-2</v>
      </c>
      <c r="D167" s="106">
        <v>964</v>
      </c>
      <c r="E167" s="107">
        <f>IF(ISNUMBER(D167), (D167 - $B167) / $B167, "")</f>
        <v>-1.0266940451745379E-2</v>
      </c>
      <c r="F167" s="108">
        <f>IF(ISNUMBER(D167), $B172 * E167, "")</f>
        <v>-1540.041067761807</v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 t="s">
        <v>160</v>
      </c>
      <c r="B168" s="126">
        <v>406</v>
      </c>
      <c r="C168" s="77">
        <v>-2.6378896900000001E-2</v>
      </c>
      <c r="D168" s="15">
        <v>405</v>
      </c>
      <c r="E168" s="32">
        <f t="shared" ref="E168:E171" si="90">IF(ISNUMBER(D168), (D168 - $B168) / $B168, "")</f>
        <v>-2.4630541871921183E-3</v>
      </c>
      <c r="F168" s="18">
        <f>IF(ISNUMBER(D168), $B172 * E168, "")</f>
        <v>-369.45812807881777</v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 t="s">
        <v>187</v>
      </c>
      <c r="B169" s="126">
        <v>247</v>
      </c>
      <c r="C169" s="77">
        <v>-2.75590551E-2</v>
      </c>
      <c r="D169" s="15">
        <v>244</v>
      </c>
      <c r="E169" s="32">
        <f t="shared" si="90"/>
        <v>-1.2145748987854251E-2</v>
      </c>
      <c r="F169" s="18">
        <f>IF(ISNUMBER(D169), $B172 * E169, "")</f>
        <v>-1821.8623481781376</v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 t="s">
        <v>201</v>
      </c>
      <c r="B170" s="126">
        <v>502</v>
      </c>
      <c r="C170" s="77">
        <v>-3.2755298699999998E-2</v>
      </c>
      <c r="D170" s="15">
        <v>505</v>
      </c>
      <c r="E170" s="32">
        <f t="shared" si="90"/>
        <v>5.9760956175298804E-3</v>
      </c>
      <c r="F170" s="18">
        <f>IF(ISNUMBER(D170), $B172 * E170, "")</f>
        <v>896.41434262948201</v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18"/>
      <c r="R170" s="219"/>
      <c r="S170" s="220"/>
    </row>
    <row r="171" spans="1:19" ht="17.25" thickBot="1">
      <c r="A171" s="130" t="s">
        <v>237</v>
      </c>
      <c r="B171" s="131">
        <v>587</v>
      </c>
      <c r="C171" s="79">
        <v>-3.9279869100000003E-2</v>
      </c>
      <c r="D171" s="24">
        <v>582</v>
      </c>
      <c r="E171" s="25">
        <f t="shared" si="90"/>
        <v>-8.5178875638841564E-3</v>
      </c>
      <c r="F171" s="104">
        <f>IF(ISNUMBER(D171), $B172 * E171, "")</f>
        <v>-1277.6831345826236</v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21"/>
      <c r="R171" s="222"/>
      <c r="S171" s="223"/>
    </row>
    <row r="172" spans="1:19" ht="17.25" thickBot="1">
      <c r="A172" s="132" t="s">
        <v>265</v>
      </c>
      <c r="B172" s="229">
        <f>$B$37</f>
        <v>150000</v>
      </c>
      <c r="C172" s="230"/>
      <c r="D172" s="26" t="s">
        <v>266</v>
      </c>
      <c r="E172" s="27">
        <f>IF(COUNT(E152:E171), SUM(E152:E171) / COUNT(E152:E171), 0)</f>
        <v>-1.3778533317644291E-3</v>
      </c>
      <c r="F172" s="28">
        <f>SUM(F152:F171)</f>
        <v>-4133.559995293288</v>
      </c>
      <c r="G172" s="26" t="s">
        <v>266</v>
      </c>
      <c r="H172" s="27">
        <f>IF(COUNT(H152:H171), SUM(H152:H171) / COUNT(H152:H171), 0)</f>
        <v>0</v>
      </c>
      <c r="I172" s="28">
        <f>SUM(I152:I171)</f>
        <v>0</v>
      </c>
      <c r="J172" s="26" t="s">
        <v>266</v>
      </c>
      <c r="K172" s="27">
        <f>IF(COUNT(K152:K171), SUM(K152:K171) / COUNT(K152:K171), 0)</f>
        <v>0</v>
      </c>
      <c r="L172" s="28">
        <f>SUM(L152:L171)</f>
        <v>0</v>
      </c>
      <c r="M172" s="26" t="s">
        <v>266</v>
      </c>
      <c r="N172" s="27">
        <f>IF(COUNT(N152:N171), SUM(N152:N171) / COUNT(N152:N171), 0)</f>
        <v>0</v>
      </c>
      <c r="O172" s="28">
        <f>SUM(O152:O171)</f>
        <v>0</v>
      </c>
      <c r="Q172" s="224"/>
      <c r="R172" s="225"/>
      <c r="S172" s="226"/>
    </row>
    <row r="174" spans="1:19" ht="17.25" thickBot="1"/>
    <row r="175" spans="1:19" ht="17.25" thickBot="1">
      <c r="A175" s="170" t="s">
        <v>250</v>
      </c>
      <c r="B175" s="171"/>
      <c r="C175" s="171"/>
      <c r="D175" s="171"/>
      <c r="E175" s="171"/>
      <c r="F175" s="171"/>
      <c r="G175" s="171"/>
      <c r="H175" s="171"/>
      <c r="I175" s="171"/>
      <c r="J175" s="171"/>
      <c r="K175" s="171"/>
      <c r="L175" s="171"/>
      <c r="M175" s="171"/>
      <c r="N175" s="171"/>
      <c r="O175" s="172"/>
      <c r="Q175" s="191"/>
      <c r="R175" s="191"/>
      <c r="S175" s="191"/>
    </row>
    <row r="176" spans="1:19" ht="17.25" thickBot="1">
      <c r="A176" s="157" t="s">
        <v>262</v>
      </c>
      <c r="B176" s="170" t="s">
        <v>49</v>
      </c>
      <c r="C176" s="172"/>
      <c r="D176" s="170" t="s">
        <v>57</v>
      </c>
      <c r="E176" s="171"/>
      <c r="F176" s="172"/>
      <c r="G176" s="197">
        <f>_xlfn.IFNA(VLOOKUP(B176, 현재가테이블!$B$2:$D$200, 2, FALSE), "-")</f>
        <v>48774000</v>
      </c>
      <c r="H176" s="198"/>
      <c r="I176" s="199"/>
      <c r="J176" s="170" t="s">
        <v>58</v>
      </c>
      <c r="K176" s="171"/>
      <c r="L176" s="172"/>
      <c r="M176" s="200">
        <f>_xlfn.IFNA(VLOOKUP(B176, 현재가테이블!$B$2:$D$200, 3, FALSE), "-")</f>
        <v>3.4770084999999999E-3</v>
      </c>
      <c r="N176" s="201"/>
      <c r="O176" s="202"/>
      <c r="Q176" s="191"/>
      <c r="R176" s="191"/>
      <c r="S176" s="191"/>
    </row>
    <row r="177" spans="1:19" ht="17.25" thickBot="1">
      <c r="A177" s="231" t="s">
        <v>54</v>
      </c>
      <c r="B177" s="233" t="str">
        <f>TEXT($G$1, "[$-ko-KR]yyyy-mm-dd(ddd) ") &amp; "오전 00:00"</f>
        <v>2022-03-06(일) 오전 00:00</v>
      </c>
      <c r="C177" s="234"/>
      <c r="D177" s="193" t="str">
        <f>TEXT($G$1, "[$-ko-KR]yyyy-mm-dd(ddd) ") &amp; "오후 14:00"</f>
        <v>2022-03-06(일) 오후 14:00</v>
      </c>
      <c r="E177" s="194"/>
      <c r="F177" s="195"/>
      <c r="G177" s="193" t="str">
        <f>TEXT($G$1, "[$-ko-KR]yyyy-mm-dd(ddd) ") &amp; "오후 19:00"</f>
        <v>2022-03-06(일) 오후 19:00</v>
      </c>
      <c r="H177" s="194"/>
      <c r="I177" s="195"/>
      <c r="J177" s="193" t="str">
        <f>TEXT($G$1, "[$-ko-KR]yyyy-mm-dd(ddd) ") &amp; "오후 21:00"</f>
        <v>2022-03-06(일) 오후 21:00</v>
      </c>
      <c r="K177" s="194"/>
      <c r="L177" s="195"/>
      <c r="M177" s="193" t="str">
        <f>TEXT($G$1+1, "[$-ko-KR]yyyy-mm-dd(ddd) ") &amp; "오전 00:00"</f>
        <v>2022-03-07(월) 오전 00:00</v>
      </c>
      <c r="N177" s="194"/>
      <c r="O177" s="195"/>
      <c r="Q177" s="191"/>
      <c r="R177" s="191"/>
      <c r="S177" s="191"/>
    </row>
    <row r="178" spans="1:19" ht="17.25" thickBot="1">
      <c r="A178" s="232"/>
      <c r="B178" s="121" t="s">
        <v>57</v>
      </c>
      <c r="C178" s="122" t="s">
        <v>58</v>
      </c>
      <c r="D178" s="2" t="s">
        <v>57</v>
      </c>
      <c r="E178" s="10" t="s">
        <v>263</v>
      </c>
      <c r="F178" s="11" t="s">
        <v>264</v>
      </c>
      <c r="G178" s="158" t="s">
        <v>57</v>
      </c>
      <c r="H178" s="159" t="s">
        <v>263</v>
      </c>
      <c r="I178" s="160" t="s">
        <v>264</v>
      </c>
      <c r="J178" s="10" t="s">
        <v>57</v>
      </c>
      <c r="K178" s="10" t="s">
        <v>263</v>
      </c>
      <c r="L178" s="115" t="s">
        <v>264</v>
      </c>
      <c r="M178" s="2" t="s">
        <v>57</v>
      </c>
      <c r="N178" s="10" t="s">
        <v>263</v>
      </c>
      <c r="O178" s="66" t="s">
        <v>264</v>
      </c>
      <c r="Q178" s="196"/>
      <c r="R178" s="196"/>
      <c r="S178" s="196"/>
    </row>
    <row r="179" spans="1:19" ht="17.25" thickBot="1">
      <c r="A179" s="123" t="s">
        <v>335</v>
      </c>
      <c r="B179" s="124">
        <v>1820</v>
      </c>
      <c r="C179" s="76">
        <v>-5.4644808999999997E-3</v>
      </c>
      <c r="D179" s="13">
        <v>1850</v>
      </c>
      <c r="E179" s="14">
        <f>IF(ISNUMBER(D179), (D179 - $B179) / $B179, "")</f>
        <v>1.6483516483516484E-2</v>
      </c>
      <c r="F179" s="16">
        <f>IF(ISNUMBER(D179), $B199 * E179, "")</f>
        <v>2472.5274725274726</v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91"/>
      <c r="R179" s="191"/>
      <c r="S179" s="191"/>
    </row>
    <row r="180" spans="1:19" ht="17.25" thickBot="1">
      <c r="A180" s="125" t="s">
        <v>333</v>
      </c>
      <c r="B180" s="126">
        <v>153000</v>
      </c>
      <c r="C180" s="77">
        <v>-6.1708346999999998E-3</v>
      </c>
      <c r="D180" s="15">
        <v>151100</v>
      </c>
      <c r="E180" s="32">
        <f t="shared" ref="E180:E183" si="94">IF(ISNUMBER(D180), (D180 - $B180) / $B180, "")</f>
        <v>-1.241830065359477E-2</v>
      </c>
      <c r="F180" s="18">
        <f>IF(ISNUMBER(D180), $B199 * E180, "")</f>
        <v>-1862.7450980392155</v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91"/>
      <c r="R180" s="191"/>
      <c r="S180" s="191"/>
    </row>
    <row r="181" spans="1:19" ht="17.25" thickBot="1">
      <c r="A181" s="125" t="s">
        <v>337</v>
      </c>
      <c r="B181" s="126">
        <v>12810</v>
      </c>
      <c r="C181" s="77">
        <v>-6.9767442000000001E-3</v>
      </c>
      <c r="D181" s="15">
        <v>13070</v>
      </c>
      <c r="E181" s="32">
        <f t="shared" si="94"/>
        <v>2.0296643247462921E-2</v>
      </c>
      <c r="F181" s="18">
        <f>IF(ISNUMBER(D181), $B199 * E181, "")</f>
        <v>3044.4964871194384</v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 t="s">
        <v>345</v>
      </c>
      <c r="B182" s="126">
        <v>1655</v>
      </c>
      <c r="C182" s="77">
        <v>-8.9820358999999992E-3</v>
      </c>
      <c r="D182" s="15">
        <v>1650</v>
      </c>
      <c r="E182" s="32">
        <f t="shared" si="94"/>
        <v>-3.0211480362537764E-3</v>
      </c>
      <c r="F182" s="18">
        <f>IF(ISNUMBER(D182), $B199 * E182, "")</f>
        <v>-453.17220543806644</v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 t="s">
        <v>107</v>
      </c>
      <c r="B183" s="128">
        <v>109</v>
      </c>
      <c r="C183" s="78">
        <v>-9.0909091000000008E-3</v>
      </c>
      <c r="D183" s="20">
        <v>110</v>
      </c>
      <c r="E183" s="21">
        <f t="shared" si="94"/>
        <v>9.1743119266055051E-3</v>
      </c>
      <c r="F183" s="22">
        <f>IF(ISNUMBER(D183), $B199 * E183, "")</f>
        <v>1376.1467889908258</v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 t="s">
        <v>101</v>
      </c>
      <c r="B184" s="129">
        <v>649</v>
      </c>
      <c r="C184" s="80">
        <v>-9.1603052999999993E-3</v>
      </c>
      <c r="D184" s="106">
        <v>648</v>
      </c>
      <c r="E184" s="107">
        <f>IF(ISNUMBER(D184), (D184 - $B184) / $B184, "")</f>
        <v>-1.5408320493066256E-3</v>
      </c>
      <c r="F184" s="108">
        <f>IF(ISNUMBER(D184), $B199 * E184, "")</f>
        <v>-231.12480739599386</v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 t="s">
        <v>239</v>
      </c>
      <c r="B185" s="126">
        <v>1065</v>
      </c>
      <c r="C185" s="77">
        <v>-9.3023255999999995E-3</v>
      </c>
      <c r="D185" s="15">
        <v>1065</v>
      </c>
      <c r="E185" s="32">
        <f t="shared" ref="E185:E188" si="98">IF(ISNUMBER(D185), (D185 - $B185) / $B185, "")</f>
        <v>0</v>
      </c>
      <c r="F185" s="18">
        <f>IF(ISNUMBER(D185), $B199 * E185, "")</f>
        <v>0</v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 t="s">
        <v>142</v>
      </c>
      <c r="B186" s="126">
        <v>1695</v>
      </c>
      <c r="C186" s="77">
        <v>-1.4534883700000001E-2</v>
      </c>
      <c r="D186" s="15">
        <v>1740</v>
      </c>
      <c r="E186" s="32">
        <f t="shared" si="98"/>
        <v>2.6548672566371681E-2</v>
      </c>
      <c r="F186" s="18">
        <f>IF(ISNUMBER(D186), $B199 * E186, "")</f>
        <v>3982.3008849557523</v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 t="s">
        <v>170</v>
      </c>
      <c r="B187" s="126">
        <v>647</v>
      </c>
      <c r="C187" s="77">
        <v>-1.5220700199999999E-2</v>
      </c>
      <c r="D187" s="15">
        <v>646</v>
      </c>
      <c r="E187" s="32">
        <f t="shared" si="98"/>
        <v>-1.5455950540958269E-3</v>
      </c>
      <c r="F187" s="18">
        <f>IF(ISNUMBER(D187), $B199 * E187, "")</f>
        <v>-231.83925811437402</v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180</v>
      </c>
      <c r="B188" s="131">
        <v>902</v>
      </c>
      <c r="C188" s="79">
        <v>-1.63576881E-2</v>
      </c>
      <c r="D188" s="24">
        <v>899</v>
      </c>
      <c r="E188" s="25">
        <f t="shared" si="98"/>
        <v>-3.3259423503325942E-3</v>
      </c>
      <c r="F188" s="104">
        <f>IF(ISNUMBER(D188), $B199 * E188, "")</f>
        <v>-498.89135254988912</v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05"/>
      <c r="R188" s="206"/>
      <c r="S188" s="207"/>
    </row>
    <row r="189" spans="1:19">
      <c r="A189" s="123" t="s">
        <v>249</v>
      </c>
      <c r="B189" s="124">
        <v>232</v>
      </c>
      <c r="C189" s="76">
        <v>-1.6949152499999998E-2</v>
      </c>
      <c r="D189" s="13">
        <v>232</v>
      </c>
      <c r="E189" s="14">
        <f>IF(ISNUMBER(D189), (D189 - $B189) / $B189, "")</f>
        <v>0</v>
      </c>
      <c r="F189" s="16">
        <f>IF(ISNUMBER(D189), $B199 * E189, "")</f>
        <v>0</v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8"/>
      <c r="R189" s="209"/>
      <c r="S189" s="210"/>
    </row>
    <row r="190" spans="1:19" ht="17.25" thickBot="1">
      <c r="A190" s="125" t="s">
        <v>73</v>
      </c>
      <c r="B190" s="126">
        <v>37150</v>
      </c>
      <c r="C190" s="77">
        <v>-1.71957672E-2</v>
      </c>
      <c r="D190" s="15">
        <v>36750</v>
      </c>
      <c r="E190" s="32">
        <f t="shared" ref="E190:E193" si="102">IF(ISNUMBER(D190), (D190 - $B190) / $B190, "")</f>
        <v>-1.0767160161507403E-2</v>
      </c>
      <c r="F190" s="18">
        <f>IF(ISNUMBER(D190), $B199 * E190, "")</f>
        <v>-1615.0740242261104</v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11"/>
      <c r="R190" s="212"/>
      <c r="S190" s="213"/>
    </row>
    <row r="191" spans="1:19" ht="17.25" thickBot="1">
      <c r="A191" s="125" t="s">
        <v>223</v>
      </c>
      <c r="B191" s="126">
        <v>974</v>
      </c>
      <c r="C191" s="77">
        <v>-2.4048096200000001E-2</v>
      </c>
      <c r="D191" s="15">
        <v>964</v>
      </c>
      <c r="E191" s="32">
        <f t="shared" si="102"/>
        <v>-1.0266940451745379E-2</v>
      </c>
      <c r="F191" s="18">
        <f>IF(ISNUMBER(D191), $B199 * E191, "")</f>
        <v>-1540.041067761807</v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 t="s">
        <v>160</v>
      </c>
      <c r="B192" s="126">
        <v>406</v>
      </c>
      <c r="C192" s="77">
        <v>-2.6378896900000001E-2</v>
      </c>
      <c r="D192" s="15">
        <v>405</v>
      </c>
      <c r="E192" s="32">
        <f t="shared" si="102"/>
        <v>-2.4630541871921183E-3</v>
      </c>
      <c r="F192" s="18">
        <f>IF(ISNUMBER(D192), $B199 * E192, "")</f>
        <v>-369.45812807881777</v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91"/>
      <c r="R192" s="191"/>
      <c r="S192" s="191"/>
    </row>
    <row r="193" spans="1:19" ht="17.25" thickBot="1">
      <c r="A193" s="127" t="s">
        <v>187</v>
      </c>
      <c r="B193" s="128">
        <v>247</v>
      </c>
      <c r="C193" s="78">
        <v>-2.75590551E-2</v>
      </c>
      <c r="D193" s="20">
        <v>244</v>
      </c>
      <c r="E193" s="21">
        <f t="shared" si="102"/>
        <v>-1.2145748987854251E-2</v>
      </c>
      <c r="F193" s="22">
        <f>IF(ISNUMBER(D193), $B199 * E193, "")</f>
        <v>-1821.8623481781376</v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91"/>
      <c r="R193" s="191"/>
      <c r="S193" s="191"/>
    </row>
    <row r="194" spans="1:19" ht="17.25" thickBot="1">
      <c r="A194" s="125" t="s">
        <v>178</v>
      </c>
      <c r="B194" s="129">
        <v>47340</v>
      </c>
      <c r="C194" s="80">
        <v>-2.9321304100000001E-2</v>
      </c>
      <c r="D194" s="106">
        <v>46720</v>
      </c>
      <c r="E194" s="107">
        <f>IF(ISNUMBER(D194), (D194 - $B194) / $B194, "")</f>
        <v>-1.309674693705112E-2</v>
      </c>
      <c r="F194" s="108">
        <f>IF(ISNUMBER(D194), $B199 * E194, "")</f>
        <v>-1964.5120405576681</v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 t="s">
        <v>201</v>
      </c>
      <c r="B195" s="126">
        <v>502</v>
      </c>
      <c r="C195" s="77">
        <v>-3.2755298699999998E-2</v>
      </c>
      <c r="D195" s="15">
        <v>505</v>
      </c>
      <c r="E195" s="32">
        <f t="shared" ref="E195:E198" si="106">IF(ISNUMBER(D195), (D195 - $B195) / $B195, "")</f>
        <v>5.9760956175298804E-3</v>
      </c>
      <c r="F195" s="18">
        <f>IF(ISNUMBER(D195), $B199 * E195, "")</f>
        <v>896.41434262948201</v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 t="s">
        <v>237</v>
      </c>
      <c r="B196" s="126">
        <v>587</v>
      </c>
      <c r="C196" s="77">
        <v>-3.9279869100000003E-2</v>
      </c>
      <c r="D196" s="15">
        <v>582</v>
      </c>
      <c r="E196" s="32">
        <f t="shared" si="106"/>
        <v>-8.5178875638841564E-3</v>
      </c>
      <c r="F196" s="18">
        <f>IF(ISNUMBER(D196), $B199 * E196, "")</f>
        <v>-1277.6831345826236</v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 t="s">
        <v>132</v>
      </c>
      <c r="B197" s="126">
        <v>2935</v>
      </c>
      <c r="C197" s="77">
        <v>-5.4750402599999998E-2</v>
      </c>
      <c r="D197" s="15">
        <v>3000</v>
      </c>
      <c r="E197" s="32">
        <f t="shared" si="106"/>
        <v>2.2146507666098807E-2</v>
      </c>
      <c r="F197" s="18">
        <f>IF(ISNUMBER(D197), $B199 * E197, "")</f>
        <v>3321.9761499148212</v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18"/>
      <c r="R197" s="219"/>
      <c r="S197" s="220"/>
    </row>
    <row r="198" spans="1:19" ht="17.25" thickBot="1">
      <c r="A198" s="130" t="s">
        <v>154</v>
      </c>
      <c r="B198" s="131">
        <v>21540</v>
      </c>
      <c r="C198" s="79">
        <v>-5.8977719499999998E-2</v>
      </c>
      <c r="D198" s="24">
        <v>22330</v>
      </c>
      <c r="E198" s="25">
        <f t="shared" si="106"/>
        <v>3.6675951717734447E-2</v>
      </c>
      <c r="F198" s="104">
        <f>IF(ISNUMBER(D198), $B199 * E198, "")</f>
        <v>5501.3927576601673</v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21"/>
      <c r="R198" s="222"/>
      <c r="S198" s="223"/>
    </row>
    <row r="199" spans="1:19" ht="17.25" thickBot="1">
      <c r="A199" s="132" t="s">
        <v>265</v>
      </c>
      <c r="B199" s="229">
        <f>$B$37</f>
        <v>150000</v>
      </c>
      <c r="C199" s="230"/>
      <c r="D199" s="26" t="s">
        <v>266</v>
      </c>
      <c r="E199" s="27">
        <f>IF(COUNT(E179:E198), SUM(E179:E198) / COUNT(E179:E198), 0)</f>
        <v>2.9096171396250847E-3</v>
      </c>
      <c r="F199" s="28">
        <f>SUM(F179:F198)</f>
        <v>8728.8514188752561</v>
      </c>
      <c r="G199" s="26" t="s">
        <v>266</v>
      </c>
      <c r="H199" s="27">
        <f>IF(COUNT(H179:H198), SUM(H179:H198) / COUNT(H179:H198), 0)</f>
        <v>0</v>
      </c>
      <c r="I199" s="28">
        <f>SUM(I179:I198)</f>
        <v>0</v>
      </c>
      <c r="J199" s="26" t="s">
        <v>266</v>
      </c>
      <c r="K199" s="27">
        <f>IF(COUNT(K179:K198), SUM(K179:K198) / COUNT(K179:K198), 0)</f>
        <v>0</v>
      </c>
      <c r="L199" s="28">
        <f>SUM(L179:L198)</f>
        <v>0</v>
      </c>
      <c r="M199" s="26" t="s">
        <v>266</v>
      </c>
      <c r="N199" s="27">
        <f>IF(COUNT(N179:N198), SUM(N179:N198) / COUNT(N179:N198), 0)</f>
        <v>0</v>
      </c>
      <c r="O199" s="28">
        <f>SUM(O179:O198)</f>
        <v>0</v>
      </c>
      <c r="Q199" s="224"/>
      <c r="R199" s="225"/>
      <c r="S199" s="226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11</vt:i4>
      </vt:variant>
    </vt:vector>
  </HeadingPairs>
  <TitlesOfParts>
    <vt:vector size="11" baseType="lpstr">
      <vt:lpstr>투자전략(조건부서식초기화)</vt:lpstr>
      <vt:lpstr>투자전략</vt:lpstr>
      <vt:lpstr>현재가테이블</vt:lpstr>
      <vt:lpstr>종목선정</vt:lpstr>
      <vt:lpstr>월말결산</vt:lpstr>
      <vt:lpstr>2022.03.01</vt:lpstr>
      <vt:lpstr>2022.03.02</vt:lpstr>
      <vt:lpstr>2022.03.03</vt:lpstr>
      <vt:lpstr>2022.03.04</vt:lpstr>
      <vt:lpstr>2022.03.05</vt:lpstr>
      <vt:lpstr>2022.03.06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2022-03-06T05:45:37Z</dcterms:modified>
</cp:coreProperties>
</file>