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E6FC5237-8CD0-4DB0-A2C8-9A436E5A9DC1}" xr6:coauthVersionLast="46" xr6:coauthVersionMax="46" xr10:uidLastSave="{00000000-0000-0000-0000-000000000000}"/>
  <bookViews>
    <workbookView xWindow="28680" yWindow="-120" windowWidth="29040" windowHeight="15840" firstSheet="10" activeTab="19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  <sheet name="2021.05.12" sheetId="35" r:id="rId17"/>
    <sheet name="2021.05.13" sheetId="36" r:id="rId18"/>
    <sheet name="2021.05.14" sheetId="37" r:id="rId19"/>
    <sheet name="2021.05.15" sheetId="38" r:id="rId20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16" hidden="1">'2021.05.12'!#REF!</definedName>
    <definedName name="_xlnm._FilterDatabase" localSheetId="17" hidden="1">'2021.05.13'!#REF!</definedName>
    <definedName name="_xlnm._FilterDatabase" localSheetId="18" hidden="1">'2021.05.14'!#REF!</definedName>
    <definedName name="_xlnm._FilterDatabase" localSheetId="19" hidden="1">'2021.05.15'!#REF!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8" l="1"/>
  <c r="O198" i="38"/>
  <c r="N198" i="38"/>
  <c r="L198" i="38"/>
  <c r="K198" i="38"/>
  <c r="I198" i="38"/>
  <c r="H198" i="38"/>
  <c r="F198" i="38"/>
  <c r="E198" i="38"/>
  <c r="O197" i="38"/>
  <c r="N197" i="38"/>
  <c r="L197" i="38"/>
  <c r="K197" i="38"/>
  <c r="I197" i="38"/>
  <c r="H197" i="38"/>
  <c r="F197" i="38"/>
  <c r="E197" i="38"/>
  <c r="O196" i="38"/>
  <c r="N196" i="38"/>
  <c r="L196" i="38"/>
  <c r="K196" i="38"/>
  <c r="I196" i="38"/>
  <c r="H196" i="38"/>
  <c r="F196" i="38"/>
  <c r="E196" i="38"/>
  <c r="O195" i="38"/>
  <c r="N195" i="38"/>
  <c r="L195" i="38"/>
  <c r="K195" i="38"/>
  <c r="I195" i="38"/>
  <c r="H195" i="38"/>
  <c r="F195" i="38"/>
  <c r="E195" i="38"/>
  <c r="O194" i="38"/>
  <c r="N194" i="38"/>
  <c r="L194" i="38"/>
  <c r="K194" i="38"/>
  <c r="I194" i="38"/>
  <c r="H194" i="38"/>
  <c r="F194" i="38"/>
  <c r="E194" i="38"/>
  <c r="O193" i="38"/>
  <c r="N193" i="38"/>
  <c r="L193" i="38"/>
  <c r="K193" i="38"/>
  <c r="I193" i="38"/>
  <c r="H193" i="38"/>
  <c r="F193" i="38"/>
  <c r="E193" i="38"/>
  <c r="O192" i="38"/>
  <c r="N192" i="38"/>
  <c r="L192" i="38"/>
  <c r="K192" i="38"/>
  <c r="I192" i="38"/>
  <c r="H192" i="38"/>
  <c r="F192" i="38"/>
  <c r="E192" i="38"/>
  <c r="O191" i="38"/>
  <c r="N191" i="38"/>
  <c r="L191" i="38"/>
  <c r="K191" i="38"/>
  <c r="I191" i="38"/>
  <c r="H191" i="38"/>
  <c r="F191" i="38"/>
  <c r="E191" i="38"/>
  <c r="O190" i="38"/>
  <c r="N190" i="38"/>
  <c r="L190" i="38"/>
  <c r="K190" i="38"/>
  <c r="I190" i="38"/>
  <c r="H190" i="38"/>
  <c r="F190" i="38"/>
  <c r="E190" i="38"/>
  <c r="O189" i="38"/>
  <c r="N189" i="38"/>
  <c r="L189" i="38"/>
  <c r="K189" i="38"/>
  <c r="I189" i="38"/>
  <c r="H189" i="38"/>
  <c r="F189" i="38"/>
  <c r="E189" i="38"/>
  <c r="O188" i="38"/>
  <c r="N188" i="38"/>
  <c r="L188" i="38"/>
  <c r="K188" i="38"/>
  <c r="I188" i="38"/>
  <c r="H188" i="38"/>
  <c r="F188" i="38"/>
  <c r="E188" i="38"/>
  <c r="O187" i="38"/>
  <c r="N187" i="38"/>
  <c r="L187" i="38"/>
  <c r="K187" i="38"/>
  <c r="I187" i="38"/>
  <c r="H187" i="38"/>
  <c r="F187" i="38"/>
  <c r="E187" i="38"/>
  <c r="O186" i="38"/>
  <c r="N186" i="38"/>
  <c r="L186" i="38"/>
  <c r="K186" i="38"/>
  <c r="I186" i="38"/>
  <c r="H186" i="38"/>
  <c r="F186" i="38"/>
  <c r="E186" i="38"/>
  <c r="O185" i="38"/>
  <c r="N185" i="38"/>
  <c r="L185" i="38"/>
  <c r="K185" i="38"/>
  <c r="I185" i="38"/>
  <c r="H185" i="38"/>
  <c r="F185" i="38"/>
  <c r="E185" i="38"/>
  <c r="O184" i="38"/>
  <c r="N184" i="38"/>
  <c r="L184" i="38"/>
  <c r="K184" i="38"/>
  <c r="I184" i="38"/>
  <c r="H184" i="38"/>
  <c r="F184" i="38"/>
  <c r="E184" i="38"/>
  <c r="O183" i="38"/>
  <c r="N183" i="38"/>
  <c r="L183" i="38"/>
  <c r="K183" i="38"/>
  <c r="I183" i="38"/>
  <c r="H183" i="38"/>
  <c r="F183" i="38"/>
  <c r="E183" i="38"/>
  <c r="O182" i="38"/>
  <c r="N182" i="38"/>
  <c r="L182" i="38"/>
  <c r="K182" i="38"/>
  <c r="I182" i="38"/>
  <c r="H182" i="38"/>
  <c r="F182" i="38"/>
  <c r="E182" i="38"/>
  <c r="O181" i="38"/>
  <c r="N181" i="38"/>
  <c r="L181" i="38"/>
  <c r="K181" i="38"/>
  <c r="I181" i="38"/>
  <c r="H181" i="38"/>
  <c r="F181" i="38"/>
  <c r="E181" i="38"/>
  <c r="O180" i="38"/>
  <c r="N180" i="38"/>
  <c r="L180" i="38"/>
  <c r="K180" i="38"/>
  <c r="I180" i="38"/>
  <c r="H180" i="38"/>
  <c r="F180" i="38"/>
  <c r="E180" i="38"/>
  <c r="O179" i="38"/>
  <c r="O199" i="38" s="1"/>
  <c r="N179" i="38"/>
  <c r="N199" i="38" s="1"/>
  <c r="L179" i="38"/>
  <c r="L199" i="38" s="1"/>
  <c r="K179" i="38"/>
  <c r="K199" i="38" s="1"/>
  <c r="I179" i="38"/>
  <c r="I199" i="38" s="1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O171" i="38"/>
  <c r="N171" i="38"/>
  <c r="L171" i="38"/>
  <c r="K171" i="38"/>
  <c r="I171" i="38"/>
  <c r="H171" i="38"/>
  <c r="F171" i="38"/>
  <c r="E171" i="38"/>
  <c r="O170" i="38"/>
  <c r="N170" i="38"/>
  <c r="L170" i="38"/>
  <c r="K170" i="38"/>
  <c r="I170" i="38"/>
  <c r="H170" i="38"/>
  <c r="F170" i="38"/>
  <c r="E170" i="38"/>
  <c r="O169" i="38"/>
  <c r="N169" i="38"/>
  <c r="L169" i="38"/>
  <c r="K169" i="38"/>
  <c r="I169" i="38"/>
  <c r="H169" i="38"/>
  <c r="F169" i="38"/>
  <c r="E169" i="38"/>
  <c r="O168" i="38"/>
  <c r="N168" i="38"/>
  <c r="L168" i="38"/>
  <c r="K168" i="38"/>
  <c r="I168" i="38"/>
  <c r="H168" i="38"/>
  <c r="F168" i="38"/>
  <c r="E168" i="38"/>
  <c r="O167" i="38"/>
  <c r="N167" i="38"/>
  <c r="N31" i="38" s="1"/>
  <c r="L167" i="38"/>
  <c r="K167" i="38"/>
  <c r="I167" i="38"/>
  <c r="H167" i="38"/>
  <c r="F167" i="38"/>
  <c r="F31" i="38" s="1"/>
  <c r="E167" i="38"/>
  <c r="O166" i="38"/>
  <c r="N166" i="38"/>
  <c r="L166" i="38"/>
  <c r="K166" i="38"/>
  <c r="I166" i="38"/>
  <c r="H166" i="38"/>
  <c r="F166" i="38"/>
  <c r="E166" i="38"/>
  <c r="O165" i="38"/>
  <c r="N165" i="38"/>
  <c r="L165" i="38"/>
  <c r="K165" i="38"/>
  <c r="I165" i="38"/>
  <c r="H165" i="38"/>
  <c r="F165" i="38"/>
  <c r="E165" i="38"/>
  <c r="O164" i="38"/>
  <c r="N164" i="38"/>
  <c r="L164" i="38"/>
  <c r="L28" i="38" s="1"/>
  <c r="K164" i="38"/>
  <c r="I164" i="38"/>
  <c r="H164" i="38"/>
  <c r="H28" i="38" s="1"/>
  <c r="F164" i="38"/>
  <c r="E164" i="38"/>
  <c r="O163" i="38"/>
  <c r="N163" i="38"/>
  <c r="N19" i="38" s="1"/>
  <c r="L163" i="38"/>
  <c r="K163" i="38"/>
  <c r="I163" i="38"/>
  <c r="H163" i="38"/>
  <c r="F163" i="38"/>
  <c r="F19" i="38" s="1"/>
  <c r="E163" i="38"/>
  <c r="O162" i="38"/>
  <c r="N162" i="38"/>
  <c r="L162" i="38"/>
  <c r="K162" i="38"/>
  <c r="I162" i="38"/>
  <c r="H162" i="38"/>
  <c r="F162" i="38"/>
  <c r="E162" i="38"/>
  <c r="O161" i="38"/>
  <c r="N161" i="38"/>
  <c r="L161" i="38"/>
  <c r="K161" i="38"/>
  <c r="I161" i="38"/>
  <c r="H161" i="38"/>
  <c r="F161" i="38"/>
  <c r="E161" i="38"/>
  <c r="O160" i="38"/>
  <c r="N160" i="38"/>
  <c r="L160" i="38"/>
  <c r="K160" i="38"/>
  <c r="I160" i="38"/>
  <c r="H160" i="38"/>
  <c r="F160" i="38"/>
  <c r="E160" i="38"/>
  <c r="O159" i="38"/>
  <c r="N159" i="38"/>
  <c r="N21" i="38" s="1"/>
  <c r="L159" i="38"/>
  <c r="K159" i="38"/>
  <c r="I159" i="38"/>
  <c r="H159" i="38"/>
  <c r="F159" i="38"/>
  <c r="F21" i="38" s="1"/>
  <c r="E159" i="38"/>
  <c r="O158" i="38"/>
  <c r="N158" i="38"/>
  <c r="L158" i="38"/>
  <c r="L22" i="38" s="1"/>
  <c r="K158" i="38"/>
  <c r="I158" i="38"/>
  <c r="H158" i="38"/>
  <c r="H22" i="38" s="1"/>
  <c r="F158" i="38"/>
  <c r="E158" i="38"/>
  <c r="O157" i="38"/>
  <c r="N157" i="38"/>
  <c r="N25" i="38" s="1"/>
  <c r="L157" i="38"/>
  <c r="K157" i="38"/>
  <c r="I157" i="38"/>
  <c r="H157" i="38"/>
  <c r="F157" i="38"/>
  <c r="F25" i="38" s="1"/>
  <c r="E157" i="38"/>
  <c r="O156" i="38"/>
  <c r="N156" i="38"/>
  <c r="L156" i="38"/>
  <c r="L24" i="38" s="1"/>
  <c r="K156" i="38"/>
  <c r="I156" i="38"/>
  <c r="H156" i="38"/>
  <c r="H24" i="38" s="1"/>
  <c r="F156" i="38"/>
  <c r="E156" i="38"/>
  <c r="O155" i="38"/>
  <c r="N155" i="38"/>
  <c r="N33" i="38" s="1"/>
  <c r="L155" i="38"/>
  <c r="K155" i="38"/>
  <c r="I155" i="38"/>
  <c r="H155" i="38"/>
  <c r="F155" i="38"/>
  <c r="F33" i="38" s="1"/>
  <c r="E155" i="38"/>
  <c r="O154" i="38"/>
  <c r="N154" i="38"/>
  <c r="L154" i="38"/>
  <c r="K154" i="38"/>
  <c r="I154" i="38"/>
  <c r="H154" i="38"/>
  <c r="F154" i="38"/>
  <c r="E154" i="38"/>
  <c r="O153" i="38"/>
  <c r="N153" i="38"/>
  <c r="N35" i="38" s="1"/>
  <c r="L153" i="38"/>
  <c r="K153" i="38"/>
  <c r="I153" i="38"/>
  <c r="H153" i="38"/>
  <c r="F153" i="38"/>
  <c r="F35" i="38" s="1"/>
  <c r="E153" i="38"/>
  <c r="O152" i="38"/>
  <c r="O172" i="38" s="1"/>
  <c r="N152" i="38"/>
  <c r="N172" i="38" s="1"/>
  <c r="L152" i="38"/>
  <c r="K152" i="38"/>
  <c r="K172" i="38" s="1"/>
  <c r="I152" i="38"/>
  <c r="I172" i="38" s="1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O140" i="38"/>
  <c r="N140" i="38"/>
  <c r="L140" i="38"/>
  <c r="K140" i="38"/>
  <c r="I140" i="38"/>
  <c r="H140" i="38"/>
  <c r="F140" i="38"/>
  <c r="E140" i="38"/>
  <c r="O139" i="38"/>
  <c r="N139" i="38"/>
  <c r="L139" i="38"/>
  <c r="K139" i="38"/>
  <c r="I139" i="38"/>
  <c r="H139" i="38"/>
  <c r="F139" i="38"/>
  <c r="E139" i="38"/>
  <c r="O138" i="38"/>
  <c r="N138" i="38"/>
  <c r="L138" i="38"/>
  <c r="K138" i="38"/>
  <c r="I138" i="38"/>
  <c r="H138" i="38"/>
  <c r="F138" i="38"/>
  <c r="E138" i="38"/>
  <c r="O137" i="38"/>
  <c r="N137" i="38"/>
  <c r="L137" i="38"/>
  <c r="K137" i="38"/>
  <c r="I137" i="38"/>
  <c r="H137" i="38"/>
  <c r="F137" i="38"/>
  <c r="E137" i="38"/>
  <c r="O136" i="38"/>
  <c r="N136" i="38"/>
  <c r="L136" i="38"/>
  <c r="K136" i="38"/>
  <c r="I136" i="38"/>
  <c r="H136" i="38"/>
  <c r="F136" i="38"/>
  <c r="E136" i="38"/>
  <c r="O135" i="38"/>
  <c r="N135" i="38"/>
  <c r="L135" i="38"/>
  <c r="K135" i="38"/>
  <c r="I135" i="38"/>
  <c r="H135" i="38"/>
  <c r="F135" i="38"/>
  <c r="E135" i="38"/>
  <c r="O134" i="38"/>
  <c r="N134" i="38"/>
  <c r="L134" i="38"/>
  <c r="K134" i="38"/>
  <c r="I134" i="38"/>
  <c r="H134" i="38"/>
  <c r="F134" i="38"/>
  <c r="E134" i="38"/>
  <c r="O133" i="38"/>
  <c r="N133" i="38"/>
  <c r="L133" i="38"/>
  <c r="K133" i="38"/>
  <c r="I133" i="38"/>
  <c r="H133" i="38"/>
  <c r="F133" i="38"/>
  <c r="E133" i="38"/>
  <c r="O132" i="38"/>
  <c r="N132" i="38"/>
  <c r="L132" i="38"/>
  <c r="K132" i="38"/>
  <c r="I132" i="38"/>
  <c r="H132" i="38"/>
  <c r="F132" i="38"/>
  <c r="E132" i="38"/>
  <c r="O131" i="38"/>
  <c r="N131" i="38"/>
  <c r="L131" i="38"/>
  <c r="K131" i="38"/>
  <c r="I131" i="38"/>
  <c r="H131" i="38"/>
  <c r="F131" i="38"/>
  <c r="E131" i="38"/>
  <c r="O130" i="38"/>
  <c r="N130" i="38"/>
  <c r="L130" i="38"/>
  <c r="K130" i="38"/>
  <c r="I130" i="38"/>
  <c r="H130" i="38"/>
  <c r="F130" i="38"/>
  <c r="E130" i="38"/>
  <c r="O129" i="38"/>
  <c r="N129" i="38"/>
  <c r="L129" i="38"/>
  <c r="K129" i="38"/>
  <c r="I129" i="38"/>
  <c r="H129" i="38"/>
  <c r="F129" i="38"/>
  <c r="E129" i="38"/>
  <c r="O128" i="38"/>
  <c r="N128" i="38"/>
  <c r="L128" i="38"/>
  <c r="K128" i="38"/>
  <c r="I128" i="38"/>
  <c r="H128" i="38"/>
  <c r="F128" i="38"/>
  <c r="E128" i="38"/>
  <c r="O127" i="38"/>
  <c r="N127" i="38"/>
  <c r="L127" i="38"/>
  <c r="K127" i="38"/>
  <c r="I127" i="38"/>
  <c r="H127" i="38"/>
  <c r="F127" i="38"/>
  <c r="E127" i="38"/>
  <c r="O126" i="38"/>
  <c r="N126" i="38"/>
  <c r="L126" i="38"/>
  <c r="K126" i="38"/>
  <c r="I126" i="38"/>
  <c r="H126" i="38"/>
  <c r="F126" i="38"/>
  <c r="E126" i="38"/>
  <c r="O125" i="38"/>
  <c r="O145" i="38" s="1"/>
  <c r="N125" i="38"/>
  <c r="N145" i="38" s="1"/>
  <c r="L125" i="38"/>
  <c r="L145" i="38" s="1"/>
  <c r="K125" i="38"/>
  <c r="K145" i="38" s="1"/>
  <c r="I125" i="38"/>
  <c r="I145" i="38" s="1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L117" i="38"/>
  <c r="K117" i="38"/>
  <c r="I117" i="38"/>
  <c r="H117" i="38"/>
  <c r="F117" i="38"/>
  <c r="E117" i="38"/>
  <c r="O116" i="38"/>
  <c r="N116" i="38"/>
  <c r="L116" i="38"/>
  <c r="K116" i="38"/>
  <c r="I116" i="38"/>
  <c r="H116" i="38"/>
  <c r="F116" i="38"/>
  <c r="E116" i="38"/>
  <c r="O115" i="38"/>
  <c r="N115" i="38"/>
  <c r="L115" i="38"/>
  <c r="K115" i="38"/>
  <c r="I115" i="38"/>
  <c r="H115" i="38"/>
  <c r="F115" i="38"/>
  <c r="E115" i="38"/>
  <c r="O114" i="38"/>
  <c r="N114" i="38"/>
  <c r="L114" i="38"/>
  <c r="K114" i="38"/>
  <c r="I114" i="38"/>
  <c r="H114" i="38"/>
  <c r="F114" i="38"/>
  <c r="E114" i="38"/>
  <c r="O113" i="38"/>
  <c r="N113" i="38"/>
  <c r="L113" i="38"/>
  <c r="K113" i="38"/>
  <c r="I113" i="38"/>
  <c r="H113" i="38"/>
  <c r="F113" i="38"/>
  <c r="E113" i="38"/>
  <c r="O112" i="38"/>
  <c r="N112" i="38"/>
  <c r="L112" i="38"/>
  <c r="K112" i="38"/>
  <c r="I112" i="38"/>
  <c r="H112" i="38"/>
  <c r="F112" i="38"/>
  <c r="E112" i="38"/>
  <c r="O111" i="38"/>
  <c r="N111" i="38"/>
  <c r="L111" i="38"/>
  <c r="K111" i="38"/>
  <c r="I111" i="38"/>
  <c r="H111" i="38"/>
  <c r="F111" i="38"/>
  <c r="E111" i="38"/>
  <c r="O110" i="38"/>
  <c r="N110" i="38"/>
  <c r="L110" i="38"/>
  <c r="K110" i="38"/>
  <c r="I110" i="38"/>
  <c r="H110" i="38"/>
  <c r="F110" i="38"/>
  <c r="E110" i="38"/>
  <c r="O109" i="38"/>
  <c r="N109" i="38"/>
  <c r="L109" i="38"/>
  <c r="K109" i="38"/>
  <c r="I109" i="38"/>
  <c r="H109" i="38"/>
  <c r="F109" i="38"/>
  <c r="E109" i="38"/>
  <c r="O108" i="38"/>
  <c r="N108" i="38"/>
  <c r="L108" i="38"/>
  <c r="K108" i="38"/>
  <c r="I108" i="38"/>
  <c r="H108" i="38"/>
  <c r="F108" i="38"/>
  <c r="E108" i="38"/>
  <c r="O107" i="38"/>
  <c r="N107" i="38"/>
  <c r="L107" i="38"/>
  <c r="K107" i="38"/>
  <c r="I107" i="38"/>
  <c r="H107" i="38"/>
  <c r="F107" i="38"/>
  <c r="E107" i="38"/>
  <c r="O106" i="38"/>
  <c r="N106" i="38"/>
  <c r="L106" i="38"/>
  <c r="K106" i="38"/>
  <c r="I106" i="38"/>
  <c r="H106" i="38"/>
  <c r="F106" i="38"/>
  <c r="E106" i="38"/>
  <c r="O105" i="38"/>
  <c r="N105" i="38"/>
  <c r="L105" i="38"/>
  <c r="K105" i="38"/>
  <c r="I105" i="38"/>
  <c r="H105" i="38"/>
  <c r="F105" i="38"/>
  <c r="E105" i="38"/>
  <c r="O104" i="38"/>
  <c r="N104" i="38"/>
  <c r="L104" i="38"/>
  <c r="K104" i="38"/>
  <c r="I104" i="38"/>
  <c r="H104" i="38"/>
  <c r="F104" i="38"/>
  <c r="E104" i="38"/>
  <c r="O103" i="38"/>
  <c r="N103" i="38"/>
  <c r="L103" i="38"/>
  <c r="K103" i="38"/>
  <c r="I103" i="38"/>
  <c r="H103" i="38"/>
  <c r="F103" i="38"/>
  <c r="E103" i="38"/>
  <c r="O102" i="38"/>
  <c r="N102" i="38"/>
  <c r="L102" i="38"/>
  <c r="K102" i="38"/>
  <c r="I102" i="38"/>
  <c r="H102" i="38"/>
  <c r="F102" i="38"/>
  <c r="E102" i="38"/>
  <c r="O101" i="38"/>
  <c r="N101" i="38"/>
  <c r="L101" i="38"/>
  <c r="K101" i="38"/>
  <c r="I101" i="38"/>
  <c r="H101" i="38"/>
  <c r="F101" i="38"/>
  <c r="E101" i="38"/>
  <c r="O100" i="38"/>
  <c r="N100" i="38"/>
  <c r="L100" i="38"/>
  <c r="K100" i="38"/>
  <c r="I100" i="38"/>
  <c r="H100" i="38"/>
  <c r="F100" i="38"/>
  <c r="E100" i="38"/>
  <c r="O99" i="38"/>
  <c r="N99" i="38"/>
  <c r="L99" i="38"/>
  <c r="K99" i="38"/>
  <c r="I99" i="38"/>
  <c r="H99" i="38"/>
  <c r="F99" i="38"/>
  <c r="E99" i="38"/>
  <c r="O98" i="38"/>
  <c r="O118" i="38" s="1"/>
  <c r="N98" i="38"/>
  <c r="N118" i="38" s="1"/>
  <c r="L98" i="38"/>
  <c r="L118" i="38" s="1"/>
  <c r="K98" i="38"/>
  <c r="K118" i="38" s="1"/>
  <c r="I98" i="38"/>
  <c r="I118" i="38" s="1"/>
  <c r="H98" i="38"/>
  <c r="H118" i="38" s="1"/>
  <c r="F98" i="38"/>
  <c r="E98" i="38"/>
  <c r="E118" i="38" s="1"/>
  <c r="M96" i="38"/>
  <c r="J96" i="38"/>
  <c r="G96" i="38"/>
  <c r="D96" i="38"/>
  <c r="B96" i="38"/>
  <c r="M95" i="38"/>
  <c r="G95" i="38"/>
  <c r="B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I34" i="38" s="1"/>
  <c r="H89" i="38"/>
  <c r="H34" i="38" s="1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H20" i="38" s="1"/>
  <c r="F87" i="38"/>
  <c r="E87" i="38"/>
  <c r="O86" i="38"/>
  <c r="N86" i="38"/>
  <c r="N17" i="38" s="1"/>
  <c r="L86" i="38"/>
  <c r="K86" i="38"/>
  <c r="I86" i="38"/>
  <c r="H86" i="38"/>
  <c r="F86" i="38"/>
  <c r="E86" i="38"/>
  <c r="O85" i="38"/>
  <c r="N85" i="38"/>
  <c r="L85" i="38"/>
  <c r="K85" i="38"/>
  <c r="I85" i="38"/>
  <c r="H85" i="38"/>
  <c r="F85" i="38"/>
  <c r="E85" i="38"/>
  <c r="O84" i="38"/>
  <c r="N84" i="38"/>
  <c r="L84" i="38"/>
  <c r="K84" i="38"/>
  <c r="I84" i="38"/>
  <c r="H84" i="38"/>
  <c r="F84" i="38"/>
  <c r="E84" i="38"/>
  <c r="O83" i="38"/>
  <c r="N83" i="38"/>
  <c r="L83" i="38"/>
  <c r="K83" i="38"/>
  <c r="I83" i="38"/>
  <c r="I26" i="38" s="1"/>
  <c r="H83" i="38"/>
  <c r="H26" i="38" s="1"/>
  <c r="F83" i="38"/>
  <c r="E83" i="38"/>
  <c r="O82" i="38"/>
  <c r="N82" i="38"/>
  <c r="L82" i="38"/>
  <c r="K82" i="38"/>
  <c r="I82" i="38"/>
  <c r="H82" i="38"/>
  <c r="F82" i="38"/>
  <c r="E82" i="38"/>
  <c r="O81" i="38"/>
  <c r="N81" i="38"/>
  <c r="L81" i="38"/>
  <c r="K81" i="38"/>
  <c r="I81" i="38"/>
  <c r="H81" i="38"/>
  <c r="F81" i="38"/>
  <c r="E81" i="38"/>
  <c r="O80" i="38"/>
  <c r="N80" i="38"/>
  <c r="L80" i="38"/>
  <c r="K80" i="38"/>
  <c r="I80" i="38"/>
  <c r="H80" i="38"/>
  <c r="F80" i="38"/>
  <c r="E80" i="38"/>
  <c r="O79" i="38"/>
  <c r="O27" i="38" s="1"/>
  <c r="N79" i="38"/>
  <c r="N27" i="38" s="1"/>
  <c r="L79" i="38"/>
  <c r="K79" i="38"/>
  <c r="I79" i="38"/>
  <c r="H79" i="38"/>
  <c r="F79" i="38"/>
  <c r="E79" i="38"/>
  <c r="O78" i="38"/>
  <c r="N78" i="38"/>
  <c r="L78" i="38"/>
  <c r="K78" i="38"/>
  <c r="I78" i="38"/>
  <c r="H78" i="38"/>
  <c r="F78" i="38"/>
  <c r="E78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N23" i="38" s="1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O91" i="38" s="1"/>
  <c r="N71" i="38"/>
  <c r="N91" i="38" s="1"/>
  <c r="L71" i="38"/>
  <c r="L91" i="38" s="1"/>
  <c r="K71" i="38"/>
  <c r="K91" i="38" s="1"/>
  <c r="I71" i="38"/>
  <c r="I91" i="38" s="1"/>
  <c r="H71" i="38"/>
  <c r="F71" i="38"/>
  <c r="F91" i="38" s="1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O36" i="38" s="1"/>
  <c r="N61" i="38"/>
  <c r="L61" i="38"/>
  <c r="K61" i="38"/>
  <c r="I61" i="38"/>
  <c r="I36" i="38" s="1"/>
  <c r="H61" i="38"/>
  <c r="F61" i="38"/>
  <c r="E61" i="38"/>
  <c r="E36" i="38" s="1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N51" i="38"/>
  <c r="L51" i="38"/>
  <c r="K51" i="38"/>
  <c r="I51" i="38"/>
  <c r="H51" i="38"/>
  <c r="F51" i="38"/>
  <c r="E51" i="38"/>
  <c r="O50" i="38"/>
  <c r="N50" i="38"/>
  <c r="L50" i="38"/>
  <c r="K50" i="38"/>
  <c r="I50" i="38"/>
  <c r="H50" i="38"/>
  <c r="F50" i="38"/>
  <c r="E50" i="38"/>
  <c r="O49" i="38"/>
  <c r="N49" i="38"/>
  <c r="L49" i="38"/>
  <c r="K49" i="38"/>
  <c r="I49" i="38"/>
  <c r="H49" i="38"/>
  <c r="F49" i="38"/>
  <c r="E49" i="38"/>
  <c r="O48" i="38"/>
  <c r="N48" i="38"/>
  <c r="L48" i="38"/>
  <c r="K48" i="38"/>
  <c r="I48" i="38"/>
  <c r="H48" i="38"/>
  <c r="F48" i="38"/>
  <c r="E48" i="38"/>
  <c r="O47" i="38"/>
  <c r="N47" i="38"/>
  <c r="L47" i="38"/>
  <c r="K47" i="38"/>
  <c r="I47" i="38"/>
  <c r="H47" i="38"/>
  <c r="F47" i="38"/>
  <c r="E47" i="38"/>
  <c r="O46" i="38"/>
  <c r="N46" i="38"/>
  <c r="L46" i="38"/>
  <c r="K46" i="38"/>
  <c r="I46" i="38"/>
  <c r="H46" i="38"/>
  <c r="F46" i="38"/>
  <c r="E46" i="38"/>
  <c r="O45" i="38"/>
  <c r="N45" i="38"/>
  <c r="L45" i="38"/>
  <c r="K45" i="38"/>
  <c r="I45" i="38"/>
  <c r="H45" i="38"/>
  <c r="F45" i="38"/>
  <c r="E45" i="38"/>
  <c r="O44" i="38"/>
  <c r="N44" i="38"/>
  <c r="N64" i="38" s="1"/>
  <c r="L44" i="38"/>
  <c r="L64" i="38" s="1"/>
  <c r="K44" i="38"/>
  <c r="K64" i="38" s="1"/>
  <c r="I44" i="38"/>
  <c r="I64" i="38" s="1"/>
  <c r="H44" i="38"/>
  <c r="H64" i="38" s="1"/>
  <c r="F44" i="38"/>
  <c r="F64" i="38" s="1"/>
  <c r="E44" i="38"/>
  <c r="E64" i="38" s="1"/>
  <c r="M42" i="38"/>
  <c r="J42" i="38"/>
  <c r="G42" i="38"/>
  <c r="D42" i="38"/>
  <c r="B42" i="38"/>
  <c r="M41" i="38"/>
  <c r="G41" i="38"/>
  <c r="N36" i="38"/>
  <c r="M36" i="38"/>
  <c r="L36" i="38"/>
  <c r="K36" i="38"/>
  <c r="J36" i="38"/>
  <c r="H36" i="38"/>
  <c r="G36" i="38"/>
  <c r="F36" i="38"/>
  <c r="D36" i="38"/>
  <c r="C36" i="38"/>
  <c r="B36" i="38"/>
  <c r="O35" i="38"/>
  <c r="M35" i="38"/>
  <c r="L35" i="38"/>
  <c r="K35" i="38"/>
  <c r="J35" i="38"/>
  <c r="I35" i="38"/>
  <c r="H35" i="38"/>
  <c r="G35" i="38"/>
  <c r="E35" i="38"/>
  <c r="D35" i="38"/>
  <c r="C35" i="38"/>
  <c r="B35" i="38"/>
  <c r="O34" i="38"/>
  <c r="N34" i="38"/>
  <c r="M34" i="38"/>
  <c r="L34" i="38"/>
  <c r="K34" i="38"/>
  <c r="J34" i="38"/>
  <c r="G34" i="38"/>
  <c r="F34" i="38"/>
  <c r="E34" i="38"/>
  <c r="D34" i="38"/>
  <c r="C34" i="38"/>
  <c r="B34" i="38"/>
  <c r="O33" i="38"/>
  <c r="M33" i="38"/>
  <c r="L33" i="38"/>
  <c r="K33" i="38"/>
  <c r="J33" i="38"/>
  <c r="I33" i="38"/>
  <c r="H33" i="38"/>
  <c r="G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M31" i="38"/>
  <c r="L31" i="38"/>
  <c r="K31" i="38"/>
  <c r="J31" i="38"/>
  <c r="I31" i="38"/>
  <c r="H31" i="38"/>
  <c r="G31" i="38"/>
  <c r="E31" i="38"/>
  <c r="D31" i="38"/>
  <c r="C31" i="38"/>
  <c r="B31" i="38"/>
  <c r="O30" i="38"/>
  <c r="N30" i="38"/>
  <c r="M30" i="38"/>
  <c r="K30" i="38"/>
  <c r="J30" i="38"/>
  <c r="I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K28" i="38"/>
  <c r="J28" i="38"/>
  <c r="I28" i="38"/>
  <c r="G28" i="38"/>
  <c r="F28" i="38"/>
  <c r="E28" i="38"/>
  <c r="D28" i="38"/>
  <c r="C28" i="38"/>
  <c r="B28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G26" i="38"/>
  <c r="F26" i="38"/>
  <c r="E26" i="38"/>
  <c r="D26" i="38"/>
  <c r="C26" i="38"/>
  <c r="B26" i="38"/>
  <c r="O25" i="38"/>
  <c r="M25" i="38"/>
  <c r="L25" i="38"/>
  <c r="K25" i="38"/>
  <c r="J25" i="38"/>
  <c r="I25" i="38"/>
  <c r="H25" i="38"/>
  <c r="G25" i="38"/>
  <c r="E25" i="38"/>
  <c r="D25" i="38"/>
  <c r="C25" i="38"/>
  <c r="B25" i="38"/>
  <c r="O24" i="38"/>
  <c r="N24" i="38"/>
  <c r="M24" i="38"/>
  <c r="K24" i="38"/>
  <c r="J24" i="38"/>
  <c r="I24" i="38"/>
  <c r="G24" i="38"/>
  <c r="F24" i="38"/>
  <c r="E24" i="38"/>
  <c r="D24" i="38"/>
  <c r="C24" i="38"/>
  <c r="B24" i="38"/>
  <c r="O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K22" i="38"/>
  <c r="J22" i="38"/>
  <c r="I22" i="38"/>
  <c r="G22" i="38"/>
  <c r="F22" i="38"/>
  <c r="E22" i="38"/>
  <c r="D22" i="38"/>
  <c r="C22" i="38"/>
  <c r="B22" i="38"/>
  <c r="O21" i="38"/>
  <c r="M21" i="38"/>
  <c r="L21" i="38"/>
  <c r="K21" i="38"/>
  <c r="J21" i="38"/>
  <c r="I21" i="38"/>
  <c r="H21" i="38"/>
  <c r="G21" i="38"/>
  <c r="E21" i="38"/>
  <c r="D21" i="38"/>
  <c r="C21" i="38"/>
  <c r="B21" i="38"/>
  <c r="O20" i="38"/>
  <c r="N20" i="38"/>
  <c r="M20" i="38"/>
  <c r="L20" i="38"/>
  <c r="K20" i="38"/>
  <c r="J20" i="38"/>
  <c r="I20" i="38"/>
  <c r="G20" i="38"/>
  <c r="F20" i="38"/>
  <c r="E20" i="38"/>
  <c r="D20" i="38"/>
  <c r="C20" i="38"/>
  <c r="B20" i="38"/>
  <c r="O19" i="38"/>
  <c r="M19" i="38"/>
  <c r="L19" i="38"/>
  <c r="K19" i="38"/>
  <c r="J19" i="38"/>
  <c r="I19" i="38"/>
  <c r="H19" i="38"/>
  <c r="G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O168" i="37"/>
  <c r="N168" i="37"/>
  <c r="K168" i="37"/>
  <c r="L168" i="37" s="1"/>
  <c r="L25" i="37" s="1"/>
  <c r="H168" i="37"/>
  <c r="I168" i="37" s="1"/>
  <c r="I25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L34" i="37" s="1"/>
  <c r="H165" i="37"/>
  <c r="I165" i="37" s="1"/>
  <c r="I34" i="37" s="1"/>
  <c r="F165" i="37"/>
  <c r="F34" i="37" s="1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O28" i="37" s="1"/>
  <c r="L163" i="37"/>
  <c r="L28" i="37" s="1"/>
  <c r="K163" i="37"/>
  <c r="H163" i="37"/>
  <c r="I163" i="37" s="1"/>
  <c r="I28" i="37" s="1"/>
  <c r="F163" i="37"/>
  <c r="F28" i="37" s="1"/>
  <c r="E163" i="37"/>
  <c r="O162" i="37"/>
  <c r="N162" i="37"/>
  <c r="K162" i="37"/>
  <c r="L162" i="37" s="1"/>
  <c r="L22" i="37" s="1"/>
  <c r="H162" i="37"/>
  <c r="I162" i="37" s="1"/>
  <c r="I2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I26" i="37" s="1"/>
  <c r="F160" i="37"/>
  <c r="E160" i="37"/>
  <c r="O159" i="37"/>
  <c r="N159" i="37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N156" i="37"/>
  <c r="N33" i="37" s="1"/>
  <c r="L156" i="37"/>
  <c r="K156" i="37"/>
  <c r="H156" i="37"/>
  <c r="I156" i="37" s="1"/>
  <c r="I33" i="37" s="1"/>
  <c r="F156" i="37"/>
  <c r="F33" i="37" s="1"/>
  <c r="E156" i="37"/>
  <c r="N155" i="37"/>
  <c r="O155" i="37" s="1"/>
  <c r="L155" i="37"/>
  <c r="K155" i="37"/>
  <c r="H155" i="37"/>
  <c r="I155" i="37" s="1"/>
  <c r="F155" i="37"/>
  <c r="E155" i="37"/>
  <c r="O154" i="37"/>
  <c r="N154" i="37"/>
  <c r="K154" i="37"/>
  <c r="L154" i="37" s="1"/>
  <c r="H154" i="37"/>
  <c r="I154" i="37" s="1"/>
  <c r="F154" i="37"/>
  <c r="E154" i="37"/>
  <c r="N153" i="37"/>
  <c r="O153" i="37" s="1"/>
  <c r="O20" i="37" s="1"/>
  <c r="K153" i="37"/>
  <c r="L153" i="37" s="1"/>
  <c r="L20" i="37" s="1"/>
  <c r="H153" i="37"/>
  <c r="I153" i="37" s="1"/>
  <c r="I20" i="37" s="1"/>
  <c r="F153" i="37"/>
  <c r="E153" i="37"/>
  <c r="O152" i="37"/>
  <c r="N152" i="37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O35" i="37" s="1"/>
  <c r="N144" i="37"/>
  <c r="L144" i="37"/>
  <c r="K144" i="37"/>
  <c r="H144" i="37"/>
  <c r="I144" i="37" s="1"/>
  <c r="I35" i="37" s="1"/>
  <c r="F144" i="37"/>
  <c r="F35" i="37" s="1"/>
  <c r="E144" i="37"/>
  <c r="N143" i="37"/>
  <c r="O143" i="37" s="1"/>
  <c r="K143" i="37"/>
  <c r="L143" i="37" s="1"/>
  <c r="H143" i="37"/>
  <c r="I143" i="37" s="1"/>
  <c r="F143" i="37"/>
  <c r="E143" i="37"/>
  <c r="N142" i="37"/>
  <c r="O142" i="37" s="1"/>
  <c r="L142" i="37"/>
  <c r="K142" i="37"/>
  <c r="H142" i="37"/>
  <c r="I142" i="37" s="1"/>
  <c r="F142" i="37"/>
  <c r="E142" i="37"/>
  <c r="O141" i="37"/>
  <c r="N141" i="37"/>
  <c r="K141" i="37"/>
  <c r="L141" i="37" s="1"/>
  <c r="H141" i="37"/>
  <c r="I141" i="37" s="1"/>
  <c r="F141" i="37"/>
  <c r="E141" i="37"/>
  <c r="N140" i="37"/>
  <c r="O140" i="37" s="1"/>
  <c r="L140" i="37"/>
  <c r="K140" i="37"/>
  <c r="H140" i="37"/>
  <c r="I140" i="37" s="1"/>
  <c r="F140" i="37"/>
  <c r="E140" i="37"/>
  <c r="N139" i="37"/>
  <c r="O139" i="37" s="1"/>
  <c r="K139" i="37"/>
  <c r="L139" i="37" s="1"/>
  <c r="H139" i="37"/>
  <c r="I139" i="37" s="1"/>
  <c r="F139" i="37"/>
  <c r="E139" i="37"/>
  <c r="N138" i="37"/>
  <c r="O138" i="37" s="1"/>
  <c r="L138" i="37"/>
  <c r="K138" i="37"/>
  <c r="H138" i="37"/>
  <c r="I138" i="37" s="1"/>
  <c r="F138" i="37"/>
  <c r="E138" i="37"/>
  <c r="N137" i="37"/>
  <c r="O137" i="37" s="1"/>
  <c r="K137" i="37"/>
  <c r="L137" i="37" s="1"/>
  <c r="H137" i="37"/>
  <c r="I137" i="37" s="1"/>
  <c r="F137" i="37"/>
  <c r="E137" i="37"/>
  <c r="O136" i="37"/>
  <c r="N136" i="37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N134" i="37"/>
  <c r="O134" i="37" s="1"/>
  <c r="L134" i="37"/>
  <c r="K134" i="37"/>
  <c r="H134" i="37"/>
  <c r="I134" i="37" s="1"/>
  <c r="F134" i="37"/>
  <c r="E134" i="37"/>
  <c r="O133" i="37"/>
  <c r="N133" i="37"/>
  <c r="K133" i="37"/>
  <c r="L133" i="37" s="1"/>
  <c r="H133" i="37"/>
  <c r="I133" i="37" s="1"/>
  <c r="F133" i="37"/>
  <c r="E133" i="37"/>
  <c r="N132" i="37"/>
  <c r="O132" i="37" s="1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N130" i="37"/>
  <c r="O130" i="37" s="1"/>
  <c r="L130" i="37"/>
  <c r="K130" i="37"/>
  <c r="H130" i="37"/>
  <c r="I130" i="37" s="1"/>
  <c r="F130" i="37"/>
  <c r="E130" i="37"/>
  <c r="N129" i="37"/>
  <c r="O129" i="37" s="1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N127" i="37"/>
  <c r="O127" i="37" s="1"/>
  <c r="K127" i="37"/>
  <c r="L127" i="37" s="1"/>
  <c r="H127" i="37"/>
  <c r="I127" i="37" s="1"/>
  <c r="F127" i="37"/>
  <c r="E127" i="37"/>
  <c r="N126" i="37"/>
  <c r="O126" i="37" s="1"/>
  <c r="L126" i="37"/>
  <c r="K126" i="37"/>
  <c r="H126" i="37"/>
  <c r="I126" i="37" s="1"/>
  <c r="F126" i="37"/>
  <c r="E126" i="37"/>
  <c r="O125" i="37"/>
  <c r="N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F117" i="37"/>
  <c r="E117" i="37"/>
  <c r="O116" i="37"/>
  <c r="N116" i="37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O114" i="37"/>
  <c r="N114" i="37"/>
  <c r="L114" i="37"/>
  <c r="K114" i="37"/>
  <c r="H114" i="37"/>
  <c r="I114" i="37" s="1"/>
  <c r="F114" i="37"/>
  <c r="E114" i="37"/>
  <c r="O113" i="37"/>
  <c r="N113" i="37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L110" i="37"/>
  <c r="K110" i="37"/>
  <c r="H110" i="37"/>
  <c r="I110" i="37" s="1"/>
  <c r="F110" i="37"/>
  <c r="E110" i="37"/>
  <c r="N109" i="37"/>
  <c r="O109" i="37" s="1"/>
  <c r="L109" i="37"/>
  <c r="K109" i="37"/>
  <c r="H109" i="37"/>
  <c r="I109" i="37" s="1"/>
  <c r="F109" i="37"/>
  <c r="E109" i="37"/>
  <c r="O108" i="37"/>
  <c r="N108" i="37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O106" i="37"/>
  <c r="N106" i="37"/>
  <c r="L106" i="37"/>
  <c r="K106" i="37"/>
  <c r="H106" i="37"/>
  <c r="I106" i="37" s="1"/>
  <c r="F106" i="37"/>
  <c r="E106" i="37"/>
  <c r="O105" i="37"/>
  <c r="N105" i="37"/>
  <c r="L105" i="37"/>
  <c r="K105" i="37"/>
  <c r="H105" i="37"/>
  <c r="I105" i="37" s="1"/>
  <c r="F105" i="37"/>
  <c r="E105" i="37"/>
  <c r="N104" i="37"/>
  <c r="O104" i="37" s="1"/>
  <c r="K104" i="37"/>
  <c r="L104" i="37" s="1"/>
  <c r="H104" i="37"/>
  <c r="I104" i="37" s="1"/>
  <c r="F104" i="37"/>
  <c r="E104" i="37"/>
  <c r="O103" i="37"/>
  <c r="N103" i="37"/>
  <c r="K103" i="37"/>
  <c r="L103" i="37" s="1"/>
  <c r="H103" i="37"/>
  <c r="I103" i="37" s="1"/>
  <c r="F103" i="37"/>
  <c r="E103" i="37"/>
  <c r="N102" i="37"/>
  <c r="O102" i="37" s="1"/>
  <c r="L102" i="37"/>
  <c r="K102" i="37"/>
  <c r="H102" i="37"/>
  <c r="I102" i="37" s="1"/>
  <c r="F102" i="37"/>
  <c r="E102" i="37"/>
  <c r="N101" i="37"/>
  <c r="O101" i="37" s="1"/>
  <c r="L101" i="37"/>
  <c r="K101" i="37"/>
  <c r="H101" i="37"/>
  <c r="I101" i="37" s="1"/>
  <c r="F101" i="37"/>
  <c r="E101" i="37"/>
  <c r="O100" i="37"/>
  <c r="N100" i="37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O98" i="37"/>
  <c r="N98" i="37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L90" i="37"/>
  <c r="L24" i="37" s="1"/>
  <c r="K90" i="37"/>
  <c r="I90" i="37"/>
  <c r="H90" i="37"/>
  <c r="F90" i="37"/>
  <c r="E90" i="37"/>
  <c r="O89" i="37"/>
  <c r="O32" i="37" s="1"/>
  <c r="N89" i="37"/>
  <c r="L89" i="37"/>
  <c r="K89" i="37"/>
  <c r="I89" i="37"/>
  <c r="H89" i="37"/>
  <c r="F89" i="37"/>
  <c r="E89" i="37"/>
  <c r="O88" i="37"/>
  <c r="N88" i="37"/>
  <c r="L88" i="37"/>
  <c r="K88" i="37"/>
  <c r="I88" i="37"/>
  <c r="H88" i="37"/>
  <c r="F88" i="37"/>
  <c r="E88" i="37"/>
  <c r="O87" i="37"/>
  <c r="N87" i="37"/>
  <c r="L87" i="37"/>
  <c r="K87" i="37"/>
  <c r="I87" i="37"/>
  <c r="H87" i="37"/>
  <c r="F87" i="37"/>
  <c r="E87" i="37"/>
  <c r="O86" i="37"/>
  <c r="N86" i="37"/>
  <c r="L86" i="37"/>
  <c r="K86" i="37"/>
  <c r="I86" i="37"/>
  <c r="H86" i="37"/>
  <c r="F86" i="37"/>
  <c r="E86" i="37"/>
  <c r="O85" i="37"/>
  <c r="N85" i="37"/>
  <c r="L85" i="37"/>
  <c r="K85" i="37"/>
  <c r="I85" i="37"/>
  <c r="H85" i="37"/>
  <c r="F85" i="37"/>
  <c r="E85" i="37"/>
  <c r="O84" i="37"/>
  <c r="N84" i="37"/>
  <c r="L84" i="37"/>
  <c r="K84" i="37"/>
  <c r="I84" i="37"/>
  <c r="H84" i="37"/>
  <c r="F84" i="37"/>
  <c r="E84" i="37"/>
  <c r="O83" i="37"/>
  <c r="N83" i="37"/>
  <c r="L83" i="37"/>
  <c r="K83" i="37"/>
  <c r="I83" i="37"/>
  <c r="H83" i="37"/>
  <c r="F83" i="37"/>
  <c r="E83" i="37"/>
  <c r="O82" i="37"/>
  <c r="N82" i="37"/>
  <c r="L82" i="37"/>
  <c r="L27" i="37" s="1"/>
  <c r="K82" i="37"/>
  <c r="I82" i="37"/>
  <c r="H82" i="37"/>
  <c r="F82" i="37"/>
  <c r="E82" i="37"/>
  <c r="O81" i="37"/>
  <c r="N81" i="37"/>
  <c r="L81" i="37"/>
  <c r="K81" i="37"/>
  <c r="I81" i="37"/>
  <c r="H81" i="37"/>
  <c r="F81" i="37"/>
  <c r="E81" i="37"/>
  <c r="O80" i="37"/>
  <c r="N80" i="37"/>
  <c r="L80" i="37"/>
  <c r="K80" i="37"/>
  <c r="I80" i="37"/>
  <c r="H80" i="37"/>
  <c r="F80" i="37"/>
  <c r="E80" i="37"/>
  <c r="O79" i="37"/>
  <c r="N79" i="37"/>
  <c r="L79" i="37"/>
  <c r="K79" i="37"/>
  <c r="I79" i="37"/>
  <c r="H79" i="37"/>
  <c r="F79" i="37"/>
  <c r="E79" i="37"/>
  <c r="O78" i="37"/>
  <c r="N78" i="37"/>
  <c r="L78" i="37"/>
  <c r="K78" i="37"/>
  <c r="I78" i="37"/>
  <c r="H78" i="37"/>
  <c r="F78" i="37"/>
  <c r="E78" i="37"/>
  <c r="O77" i="37"/>
  <c r="N77" i="37"/>
  <c r="L77" i="37"/>
  <c r="K77" i="37"/>
  <c r="I77" i="37"/>
  <c r="H77" i="37"/>
  <c r="F77" i="37"/>
  <c r="E77" i="37"/>
  <c r="O76" i="37"/>
  <c r="N76" i="37"/>
  <c r="L76" i="37"/>
  <c r="L30" i="37" s="1"/>
  <c r="K76" i="37"/>
  <c r="I76" i="37"/>
  <c r="H76" i="37"/>
  <c r="F76" i="37"/>
  <c r="E76" i="37"/>
  <c r="O75" i="37"/>
  <c r="N75" i="37"/>
  <c r="L75" i="37"/>
  <c r="K75" i="37"/>
  <c r="I75" i="37"/>
  <c r="H75" i="37"/>
  <c r="F75" i="37"/>
  <c r="E75" i="37"/>
  <c r="O74" i="37"/>
  <c r="N74" i="37"/>
  <c r="L74" i="37"/>
  <c r="K74" i="37"/>
  <c r="I74" i="37"/>
  <c r="H74" i="37"/>
  <c r="F74" i="37"/>
  <c r="E74" i="37"/>
  <c r="O73" i="37"/>
  <c r="N73" i="37"/>
  <c r="L73" i="37"/>
  <c r="K73" i="37"/>
  <c r="I73" i="37"/>
  <c r="H73" i="37"/>
  <c r="F73" i="37"/>
  <c r="E73" i="37"/>
  <c r="O72" i="37"/>
  <c r="N72" i="37"/>
  <c r="L72" i="37"/>
  <c r="K72" i="37"/>
  <c r="I72" i="37"/>
  <c r="H72" i="37"/>
  <c r="F72" i="37"/>
  <c r="E72" i="37"/>
  <c r="O71" i="37"/>
  <c r="O91" i="37" s="1"/>
  <c r="N71" i="37"/>
  <c r="N91" i="37" s="1"/>
  <c r="L71" i="37"/>
  <c r="L91" i="37" s="1"/>
  <c r="K71" i="37"/>
  <c r="K91" i="37" s="1"/>
  <c r="I71" i="37"/>
  <c r="I91" i="37" s="1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K63" i="37"/>
  <c r="L63" i="37" s="1"/>
  <c r="L17" i="37" s="1"/>
  <c r="H63" i="37"/>
  <c r="I63" i="37" s="1"/>
  <c r="I17" i="37" s="1"/>
  <c r="E63" i="37"/>
  <c r="F63" i="37" s="1"/>
  <c r="F17" i="37" s="1"/>
  <c r="O62" i="37"/>
  <c r="N62" i="37"/>
  <c r="K62" i="37"/>
  <c r="L62" i="37" s="1"/>
  <c r="H62" i="37"/>
  <c r="I62" i="37" s="1"/>
  <c r="F62" i="37"/>
  <c r="E62" i="37"/>
  <c r="N61" i="37"/>
  <c r="O61" i="37" s="1"/>
  <c r="O36" i="37" s="1"/>
  <c r="L61" i="37"/>
  <c r="L36" i="37" s="1"/>
  <c r="K61" i="37"/>
  <c r="H61" i="37"/>
  <c r="I61" i="37" s="1"/>
  <c r="I36" i="37" s="1"/>
  <c r="F61" i="37"/>
  <c r="E61" i="37"/>
  <c r="N60" i="37"/>
  <c r="O60" i="37" s="1"/>
  <c r="K60" i="37"/>
  <c r="L60" i="37" s="1"/>
  <c r="H60" i="37"/>
  <c r="I60" i="37" s="1"/>
  <c r="F60" i="37"/>
  <c r="E60" i="37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E54" i="37"/>
  <c r="F54" i="37" s="1"/>
  <c r="N53" i="37"/>
  <c r="O53" i="37" s="1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K51" i="37"/>
  <c r="L51" i="37" s="1"/>
  <c r="I51" i="37"/>
  <c r="H51" i="37"/>
  <c r="F51" i="37"/>
  <c r="E51" i="37"/>
  <c r="N50" i="37"/>
  <c r="O50" i="37" s="1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O48" i="37"/>
  <c r="N48" i="37"/>
  <c r="K48" i="37"/>
  <c r="L48" i="37" s="1"/>
  <c r="I48" i="37"/>
  <c r="H48" i="37"/>
  <c r="E48" i="37"/>
  <c r="F48" i="37" s="1"/>
  <c r="N47" i="37"/>
  <c r="O47" i="37" s="1"/>
  <c r="L47" i="37"/>
  <c r="K47" i="37"/>
  <c r="I47" i="37"/>
  <c r="H47" i="37"/>
  <c r="E47" i="37"/>
  <c r="F47" i="37" s="1"/>
  <c r="N46" i="37"/>
  <c r="O46" i="37" s="1"/>
  <c r="K46" i="37"/>
  <c r="L46" i="37" s="1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N36" i="37"/>
  <c r="M36" i="37"/>
  <c r="K36" i="37"/>
  <c r="J36" i="37"/>
  <c r="H36" i="37"/>
  <c r="G36" i="37"/>
  <c r="F36" i="37"/>
  <c r="E36" i="37"/>
  <c r="D36" i="37"/>
  <c r="C36" i="37"/>
  <c r="B36" i="37"/>
  <c r="N35" i="37"/>
  <c r="M35" i="37"/>
  <c r="L35" i="37"/>
  <c r="K35" i="37"/>
  <c r="J35" i="37"/>
  <c r="H35" i="37"/>
  <c r="G35" i="37"/>
  <c r="E35" i="37"/>
  <c r="D35" i="37"/>
  <c r="C35" i="37"/>
  <c r="B35" i="37"/>
  <c r="O34" i="37"/>
  <c r="N34" i="37"/>
  <c r="M34" i="37"/>
  <c r="K34" i="37"/>
  <c r="J34" i="37"/>
  <c r="H34" i="37"/>
  <c r="G34" i="37"/>
  <c r="E34" i="37"/>
  <c r="D34" i="37"/>
  <c r="C34" i="37"/>
  <c r="B34" i="37"/>
  <c r="M33" i="37"/>
  <c r="L33" i="37"/>
  <c r="K33" i="37"/>
  <c r="J33" i="37"/>
  <c r="H33" i="37"/>
  <c r="G33" i="37"/>
  <c r="E33" i="37"/>
  <c r="D33" i="37"/>
  <c r="C33" i="37"/>
  <c r="B33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H31" i="37"/>
  <c r="G31" i="37"/>
  <c r="E31" i="37"/>
  <c r="D31" i="37"/>
  <c r="C31" i="37"/>
  <c r="B31" i="37"/>
  <c r="O30" i="37"/>
  <c r="N30" i="37"/>
  <c r="M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N28" i="37"/>
  <c r="M28" i="37"/>
  <c r="K28" i="37"/>
  <c r="J28" i="37"/>
  <c r="H28" i="37"/>
  <c r="G28" i="37"/>
  <c r="E28" i="37"/>
  <c r="D28" i="37"/>
  <c r="C28" i="37"/>
  <c r="B28" i="37"/>
  <c r="O27" i="37"/>
  <c r="N27" i="37"/>
  <c r="M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H26" i="37"/>
  <c r="G26" i="37"/>
  <c r="F26" i="37"/>
  <c r="E26" i="37"/>
  <c r="D26" i="37"/>
  <c r="C26" i="37"/>
  <c r="B26" i="37"/>
  <c r="O25" i="37"/>
  <c r="N25" i="37"/>
  <c r="M25" i="37"/>
  <c r="K25" i="37"/>
  <c r="J25" i="37"/>
  <c r="H25" i="37"/>
  <c r="G25" i="37"/>
  <c r="F25" i="37"/>
  <c r="E25" i="37"/>
  <c r="D25" i="37"/>
  <c r="C25" i="37"/>
  <c r="B25" i="37"/>
  <c r="O24" i="37"/>
  <c r="N24" i="37"/>
  <c r="M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K22" i="37"/>
  <c r="J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N20" i="37"/>
  <c r="M20" i="37"/>
  <c r="K20" i="37"/>
  <c r="J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I140" i="36"/>
  <c r="H140" i="36"/>
  <c r="F140" i="36"/>
  <c r="E140" i="36"/>
  <c r="O139" i="36"/>
  <c r="N139" i="36"/>
  <c r="L139" i="36"/>
  <c r="K139" i="36"/>
  <c r="I139" i="36"/>
  <c r="H139" i="36"/>
  <c r="F139" i="36"/>
  <c r="E139" i="36"/>
  <c r="O138" i="36"/>
  <c r="N138" i="36"/>
  <c r="L138" i="36"/>
  <c r="K138" i="36"/>
  <c r="I138" i="36"/>
  <c r="H138" i="36"/>
  <c r="F138" i="36"/>
  <c r="E138" i="36"/>
  <c r="O137" i="36"/>
  <c r="N137" i="36"/>
  <c r="L137" i="36"/>
  <c r="K137" i="36"/>
  <c r="I137" i="36"/>
  <c r="H137" i="36"/>
  <c r="F137" i="36"/>
  <c r="E137" i="36"/>
  <c r="O136" i="36"/>
  <c r="N136" i="36"/>
  <c r="L136" i="36"/>
  <c r="K136" i="36"/>
  <c r="I136" i="36"/>
  <c r="H136" i="36"/>
  <c r="F136" i="36"/>
  <c r="E136" i="36"/>
  <c r="O135" i="36"/>
  <c r="N135" i="36"/>
  <c r="L135" i="36"/>
  <c r="K135" i="36"/>
  <c r="I135" i="36"/>
  <c r="H135" i="36"/>
  <c r="F135" i="36"/>
  <c r="E135" i="36"/>
  <c r="O134" i="36"/>
  <c r="N134" i="36"/>
  <c r="L134" i="36"/>
  <c r="K134" i="36"/>
  <c r="I134" i="36"/>
  <c r="H134" i="36"/>
  <c r="F134" i="36"/>
  <c r="E134" i="36"/>
  <c r="O133" i="36"/>
  <c r="N133" i="36"/>
  <c r="L133" i="36"/>
  <c r="K133" i="36"/>
  <c r="I133" i="36"/>
  <c r="H133" i="36"/>
  <c r="F133" i="36"/>
  <c r="E133" i="36"/>
  <c r="O132" i="36"/>
  <c r="N132" i="36"/>
  <c r="L132" i="36"/>
  <c r="K132" i="36"/>
  <c r="I132" i="36"/>
  <c r="H132" i="36"/>
  <c r="F132" i="36"/>
  <c r="E132" i="36"/>
  <c r="O131" i="36"/>
  <c r="N131" i="36"/>
  <c r="L131" i="36"/>
  <c r="K131" i="36"/>
  <c r="I131" i="36"/>
  <c r="H131" i="36"/>
  <c r="F131" i="36"/>
  <c r="E131" i="36"/>
  <c r="O130" i="36"/>
  <c r="N130" i="36"/>
  <c r="L130" i="36"/>
  <c r="K130" i="36"/>
  <c r="I130" i="36"/>
  <c r="H130" i="36"/>
  <c r="F130" i="36"/>
  <c r="E130" i="36"/>
  <c r="O129" i="36"/>
  <c r="N129" i="36"/>
  <c r="L129" i="36"/>
  <c r="K129" i="36"/>
  <c r="I129" i="36"/>
  <c r="H129" i="36"/>
  <c r="F129" i="36"/>
  <c r="E129" i="36"/>
  <c r="O128" i="36"/>
  <c r="N128" i="36"/>
  <c r="L128" i="36"/>
  <c r="K128" i="36"/>
  <c r="I128" i="36"/>
  <c r="H128" i="36"/>
  <c r="F128" i="36"/>
  <c r="E128" i="36"/>
  <c r="O127" i="36"/>
  <c r="N127" i="36"/>
  <c r="L127" i="36"/>
  <c r="K127" i="36"/>
  <c r="I127" i="36"/>
  <c r="H127" i="36"/>
  <c r="F127" i="36"/>
  <c r="E127" i="36"/>
  <c r="O126" i="36"/>
  <c r="N126" i="36"/>
  <c r="L126" i="36"/>
  <c r="K126" i="36"/>
  <c r="I126" i="36"/>
  <c r="H126" i="36"/>
  <c r="F126" i="36"/>
  <c r="E126" i="36"/>
  <c r="O125" i="36"/>
  <c r="O145" i="36" s="1"/>
  <c r="N125" i="36"/>
  <c r="N145" i="36" s="1"/>
  <c r="L125" i="36"/>
  <c r="L145" i="36" s="1"/>
  <c r="K125" i="36"/>
  <c r="K145" i="36" s="1"/>
  <c r="I125" i="36"/>
  <c r="I145" i="36" s="1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L117" i="36"/>
  <c r="K117" i="36"/>
  <c r="H117" i="36"/>
  <c r="I117" i="36" s="1"/>
  <c r="F117" i="36"/>
  <c r="E117" i="36"/>
  <c r="N116" i="36"/>
  <c r="O116" i="36" s="1"/>
  <c r="K116" i="36"/>
  <c r="L116" i="36" s="1"/>
  <c r="H116" i="36"/>
  <c r="I116" i="36" s="1"/>
  <c r="F116" i="36"/>
  <c r="E116" i="36"/>
  <c r="O115" i="36"/>
  <c r="N115" i="36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N113" i="36"/>
  <c r="O113" i="36" s="1"/>
  <c r="L113" i="36"/>
  <c r="K113" i="36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K110" i="36"/>
  <c r="L110" i="36" s="1"/>
  <c r="H110" i="36"/>
  <c r="I110" i="36" s="1"/>
  <c r="F110" i="36"/>
  <c r="E110" i="36"/>
  <c r="N109" i="36"/>
  <c r="O109" i="36" s="1"/>
  <c r="L109" i="36"/>
  <c r="K109" i="36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O105" i="36"/>
  <c r="N105" i="36"/>
  <c r="L105" i="36"/>
  <c r="K105" i="36"/>
  <c r="H105" i="36"/>
  <c r="I105" i="36" s="1"/>
  <c r="F105" i="36"/>
  <c r="E105" i="36"/>
  <c r="N104" i="36"/>
  <c r="O104" i="36" s="1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N101" i="36"/>
  <c r="O101" i="36" s="1"/>
  <c r="L101" i="36"/>
  <c r="K101" i="36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O35" i="36" s="1"/>
  <c r="L90" i="36"/>
  <c r="L35" i="36" s="1"/>
  <c r="K90" i="36"/>
  <c r="H90" i="36"/>
  <c r="I90" i="36" s="1"/>
  <c r="I35" i="36" s="1"/>
  <c r="F90" i="36"/>
  <c r="E90" i="36"/>
  <c r="N89" i="36"/>
  <c r="O89" i="36" s="1"/>
  <c r="O34" i="36" s="1"/>
  <c r="K89" i="36"/>
  <c r="L89" i="36" s="1"/>
  <c r="L34" i="36" s="1"/>
  <c r="H89" i="36"/>
  <c r="I89" i="36" s="1"/>
  <c r="I34" i="36" s="1"/>
  <c r="F89" i="36"/>
  <c r="E89" i="36"/>
  <c r="N88" i="36"/>
  <c r="O88" i="36" s="1"/>
  <c r="O33" i="36" s="1"/>
  <c r="L88" i="36"/>
  <c r="K88" i="36"/>
  <c r="H88" i="36"/>
  <c r="I88" i="36" s="1"/>
  <c r="I33" i="36" s="1"/>
  <c r="F88" i="36"/>
  <c r="E88" i="36"/>
  <c r="N87" i="36"/>
  <c r="O87" i="36" s="1"/>
  <c r="O32" i="36" s="1"/>
  <c r="K87" i="36"/>
  <c r="L87" i="36" s="1"/>
  <c r="L32" i="36" s="1"/>
  <c r="H87" i="36"/>
  <c r="I87" i="36" s="1"/>
  <c r="I32" i="36" s="1"/>
  <c r="F87" i="36"/>
  <c r="E87" i="36"/>
  <c r="O86" i="36"/>
  <c r="O31" i="36" s="1"/>
  <c r="N86" i="36"/>
  <c r="L86" i="36"/>
  <c r="L31" i="36" s="1"/>
  <c r="K86" i="36"/>
  <c r="H86" i="36"/>
  <c r="I86" i="36" s="1"/>
  <c r="I31" i="36" s="1"/>
  <c r="F86" i="36"/>
  <c r="E86" i="36"/>
  <c r="N85" i="36"/>
  <c r="O85" i="36" s="1"/>
  <c r="O30" i="36" s="1"/>
  <c r="K85" i="36"/>
  <c r="L85" i="36" s="1"/>
  <c r="L30" i="36" s="1"/>
  <c r="H85" i="36"/>
  <c r="I85" i="36" s="1"/>
  <c r="I30" i="36" s="1"/>
  <c r="F85" i="36"/>
  <c r="E85" i="36"/>
  <c r="O84" i="36"/>
  <c r="N84" i="36"/>
  <c r="L84" i="36"/>
  <c r="K84" i="36"/>
  <c r="H84" i="36"/>
  <c r="I84" i="36" s="1"/>
  <c r="I29" i="36" s="1"/>
  <c r="F84" i="36"/>
  <c r="E84" i="36"/>
  <c r="O83" i="36"/>
  <c r="N83" i="36"/>
  <c r="L83" i="36"/>
  <c r="K83" i="36"/>
  <c r="H83" i="36"/>
  <c r="I83" i="36" s="1"/>
  <c r="I28" i="36" s="1"/>
  <c r="F83" i="36"/>
  <c r="E83" i="36"/>
  <c r="N82" i="36"/>
  <c r="O82" i="36" s="1"/>
  <c r="O27" i="36" s="1"/>
  <c r="L82" i="36"/>
  <c r="K82" i="36"/>
  <c r="H82" i="36"/>
  <c r="I82" i="36" s="1"/>
  <c r="I27" i="36" s="1"/>
  <c r="F82" i="36"/>
  <c r="E82" i="36"/>
  <c r="O81" i="36"/>
  <c r="N81" i="36"/>
  <c r="K81" i="36"/>
  <c r="L81" i="36" s="1"/>
  <c r="L26" i="36" s="1"/>
  <c r="H81" i="36"/>
  <c r="I81" i="36" s="1"/>
  <c r="I26" i="36" s="1"/>
  <c r="F81" i="36"/>
  <c r="E81" i="36"/>
  <c r="O80" i="36"/>
  <c r="N80" i="36"/>
  <c r="L80" i="36"/>
  <c r="K80" i="36"/>
  <c r="H80" i="36"/>
  <c r="I80" i="36" s="1"/>
  <c r="I25" i="36" s="1"/>
  <c r="F80" i="36"/>
  <c r="E80" i="36"/>
  <c r="N79" i="36"/>
  <c r="O79" i="36" s="1"/>
  <c r="O24" i="36" s="1"/>
  <c r="K79" i="36"/>
  <c r="L79" i="36" s="1"/>
  <c r="L24" i="36" s="1"/>
  <c r="H79" i="36"/>
  <c r="I79" i="36" s="1"/>
  <c r="I24" i="36" s="1"/>
  <c r="F79" i="36"/>
  <c r="E79" i="36"/>
  <c r="O78" i="36"/>
  <c r="N78" i="36"/>
  <c r="L78" i="36"/>
  <c r="K78" i="36"/>
  <c r="H78" i="36"/>
  <c r="I78" i="36" s="1"/>
  <c r="I23" i="36" s="1"/>
  <c r="E78" i="36"/>
  <c r="F78" i="36" s="1"/>
  <c r="F23" i="36" s="1"/>
  <c r="N77" i="36"/>
  <c r="O77" i="36" s="1"/>
  <c r="O22" i="36" s="1"/>
  <c r="L77" i="36"/>
  <c r="K77" i="36"/>
  <c r="I77" i="36"/>
  <c r="H77" i="36"/>
  <c r="E77" i="36"/>
  <c r="F77" i="36" s="1"/>
  <c r="F22" i="36" s="1"/>
  <c r="O76" i="36"/>
  <c r="N76" i="36"/>
  <c r="K76" i="36"/>
  <c r="L76" i="36" s="1"/>
  <c r="L21" i="36" s="1"/>
  <c r="I76" i="36"/>
  <c r="H76" i="36"/>
  <c r="E76" i="36"/>
  <c r="F76" i="36" s="1"/>
  <c r="F21" i="36" s="1"/>
  <c r="O75" i="36"/>
  <c r="N75" i="36"/>
  <c r="L75" i="36"/>
  <c r="K75" i="36"/>
  <c r="H75" i="36"/>
  <c r="I75" i="36" s="1"/>
  <c r="I20" i="36" s="1"/>
  <c r="E75" i="36"/>
  <c r="F75" i="36" s="1"/>
  <c r="F20" i="36" s="1"/>
  <c r="O74" i="36"/>
  <c r="N74" i="36"/>
  <c r="L74" i="36"/>
  <c r="K74" i="36"/>
  <c r="H74" i="36"/>
  <c r="I74" i="36" s="1"/>
  <c r="I19" i="36" s="1"/>
  <c r="E74" i="36"/>
  <c r="F74" i="36" s="1"/>
  <c r="F19" i="36" s="1"/>
  <c r="O73" i="36"/>
  <c r="N73" i="36"/>
  <c r="L73" i="36"/>
  <c r="K73" i="36"/>
  <c r="H73" i="36"/>
  <c r="I73" i="36" s="1"/>
  <c r="I18" i="36" s="1"/>
  <c r="E73" i="36"/>
  <c r="F73" i="36" s="1"/>
  <c r="F18" i="36" s="1"/>
  <c r="O72" i="36"/>
  <c r="N72" i="36"/>
  <c r="L72" i="36"/>
  <c r="K72" i="36"/>
  <c r="I72" i="36"/>
  <c r="H72" i="36"/>
  <c r="E72" i="36"/>
  <c r="F72" i="36" s="1"/>
  <c r="F17" i="36" s="1"/>
  <c r="O71" i="36"/>
  <c r="N71" i="36"/>
  <c r="K71" i="36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N62" i="36"/>
  <c r="N36" i="36" s="1"/>
  <c r="K62" i="36"/>
  <c r="L62" i="36" s="1"/>
  <c r="L36" i="36" s="1"/>
  <c r="H62" i="36"/>
  <c r="I62" i="36" s="1"/>
  <c r="I36" i="36" s="1"/>
  <c r="E62" i="36"/>
  <c r="F62" i="36" s="1"/>
  <c r="F36" i="36" s="1"/>
  <c r="N61" i="36"/>
  <c r="O61" i="36" s="1"/>
  <c r="K61" i="36"/>
  <c r="L61" i="36" s="1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N59" i="36"/>
  <c r="O59" i="36" s="1"/>
  <c r="L59" i="36"/>
  <c r="K59" i="36"/>
  <c r="H59" i="36"/>
  <c r="I59" i="36" s="1"/>
  <c r="E59" i="36"/>
  <c r="F59" i="36" s="1"/>
  <c r="O58" i="36"/>
  <c r="N58" i="36"/>
  <c r="L58" i="36"/>
  <c r="K58" i="36"/>
  <c r="H58" i="36"/>
  <c r="I58" i="36" s="1"/>
  <c r="E58" i="36"/>
  <c r="F58" i="36" s="1"/>
  <c r="N57" i="36"/>
  <c r="O57" i="36" s="1"/>
  <c r="L57" i="36"/>
  <c r="K57" i="36"/>
  <c r="H57" i="36"/>
  <c r="I57" i="36" s="1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I52" i="36"/>
  <c r="H52" i="36"/>
  <c r="E52" i="36"/>
  <c r="F52" i="36" s="1"/>
  <c r="O51" i="36"/>
  <c r="N51" i="36"/>
  <c r="L51" i="36"/>
  <c r="K51" i="36"/>
  <c r="H51" i="36"/>
  <c r="I51" i="36" s="1"/>
  <c r="E51" i="36"/>
  <c r="F51" i="36" s="1"/>
  <c r="N50" i="36"/>
  <c r="O50" i="36" s="1"/>
  <c r="L50" i="36"/>
  <c r="K50" i="36"/>
  <c r="H50" i="36"/>
  <c r="I50" i="36" s="1"/>
  <c r="E50" i="36"/>
  <c r="F50" i="36" s="1"/>
  <c r="O49" i="36"/>
  <c r="N49" i="36"/>
  <c r="L49" i="36"/>
  <c r="K49" i="36"/>
  <c r="H49" i="36"/>
  <c r="I49" i="36" s="1"/>
  <c r="E49" i="36"/>
  <c r="F49" i="36" s="1"/>
  <c r="N48" i="36"/>
  <c r="O48" i="36" s="1"/>
  <c r="L48" i="36"/>
  <c r="K48" i="36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K46" i="36"/>
  <c r="L46" i="36" s="1"/>
  <c r="I46" i="36"/>
  <c r="H46" i="36"/>
  <c r="E46" i="36"/>
  <c r="F46" i="36" s="1"/>
  <c r="O45" i="36"/>
  <c r="N45" i="36"/>
  <c r="L45" i="36"/>
  <c r="K45" i="36"/>
  <c r="H45" i="36"/>
  <c r="I45" i="36" s="1"/>
  <c r="E45" i="36"/>
  <c r="F45" i="36" s="1"/>
  <c r="N44" i="36"/>
  <c r="L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M36" i="36"/>
  <c r="K36" i="36"/>
  <c r="J36" i="36"/>
  <c r="H36" i="36"/>
  <c r="G36" i="36"/>
  <c r="E36" i="36"/>
  <c r="D36" i="36"/>
  <c r="C36" i="36"/>
  <c r="B36" i="36"/>
  <c r="N35" i="36"/>
  <c r="M35" i="36"/>
  <c r="K35" i="36"/>
  <c r="J35" i="36"/>
  <c r="H35" i="36"/>
  <c r="G35" i="36"/>
  <c r="F35" i="36"/>
  <c r="E35" i="36"/>
  <c r="D35" i="36"/>
  <c r="C35" i="36"/>
  <c r="B35" i="36"/>
  <c r="N34" i="36"/>
  <c r="M34" i="36"/>
  <c r="J34" i="36"/>
  <c r="H34" i="36"/>
  <c r="G34" i="36"/>
  <c r="F34" i="36"/>
  <c r="E34" i="36"/>
  <c r="D34" i="36"/>
  <c r="C34" i="36"/>
  <c r="B34" i="36"/>
  <c r="M33" i="36"/>
  <c r="L33" i="36"/>
  <c r="K33" i="36"/>
  <c r="J33" i="36"/>
  <c r="H33" i="36"/>
  <c r="G33" i="36"/>
  <c r="F33" i="36"/>
  <c r="E33" i="36"/>
  <c r="D33" i="36"/>
  <c r="C33" i="36"/>
  <c r="B33" i="36"/>
  <c r="N32" i="36"/>
  <c r="M32" i="36"/>
  <c r="K32" i="36"/>
  <c r="J32" i="36"/>
  <c r="H32" i="36"/>
  <c r="G32" i="36"/>
  <c r="F32" i="36"/>
  <c r="E32" i="36"/>
  <c r="D32" i="36"/>
  <c r="C32" i="36"/>
  <c r="B32" i="36"/>
  <c r="N31" i="36"/>
  <c r="M31" i="36"/>
  <c r="K31" i="36"/>
  <c r="J31" i="36"/>
  <c r="H31" i="36"/>
  <c r="G31" i="36"/>
  <c r="F31" i="36"/>
  <c r="E31" i="36"/>
  <c r="D31" i="36"/>
  <c r="C31" i="36"/>
  <c r="B31" i="36"/>
  <c r="N30" i="36"/>
  <c r="M30" i="36"/>
  <c r="K30" i="36"/>
  <c r="J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H28" i="36"/>
  <c r="G28" i="36"/>
  <c r="F28" i="36"/>
  <c r="E28" i="36"/>
  <c r="D28" i="36"/>
  <c r="C28" i="36"/>
  <c r="B28" i="36"/>
  <c r="N27" i="36"/>
  <c r="M27" i="36"/>
  <c r="L27" i="36"/>
  <c r="K27" i="36"/>
  <c r="J27" i="36"/>
  <c r="H27" i="36"/>
  <c r="G27" i="36"/>
  <c r="F27" i="36"/>
  <c r="E27" i="36"/>
  <c r="D27" i="36"/>
  <c r="C27" i="36"/>
  <c r="B27" i="36"/>
  <c r="O26" i="36"/>
  <c r="N26" i="36"/>
  <c r="M26" i="36"/>
  <c r="K26" i="36"/>
  <c r="J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H25" i="36"/>
  <c r="G25" i="36"/>
  <c r="F25" i="36"/>
  <c r="E25" i="36"/>
  <c r="D25" i="36"/>
  <c r="C25" i="36"/>
  <c r="B25" i="36"/>
  <c r="N24" i="36"/>
  <c r="M24" i="36"/>
  <c r="K24" i="36"/>
  <c r="J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H23" i="36"/>
  <c r="G23" i="36"/>
  <c r="E23" i="36"/>
  <c r="D23" i="36"/>
  <c r="C23" i="36"/>
  <c r="B23" i="36"/>
  <c r="N22" i="36"/>
  <c r="M22" i="36"/>
  <c r="L22" i="36"/>
  <c r="K22" i="36"/>
  <c r="J22" i="36"/>
  <c r="I22" i="36"/>
  <c r="H22" i="36"/>
  <c r="G22" i="36"/>
  <c r="E22" i="36"/>
  <c r="D22" i="36"/>
  <c r="C22" i="36"/>
  <c r="B22" i="36"/>
  <c r="O21" i="36"/>
  <c r="N21" i="36"/>
  <c r="M21" i="36"/>
  <c r="K21" i="36"/>
  <c r="J21" i="36"/>
  <c r="I21" i="36"/>
  <c r="H21" i="36"/>
  <c r="G21" i="36"/>
  <c r="E21" i="36"/>
  <c r="D21" i="36"/>
  <c r="C21" i="36"/>
  <c r="B21" i="36"/>
  <c r="O20" i="36"/>
  <c r="N20" i="36"/>
  <c r="M20" i="36"/>
  <c r="L20" i="36"/>
  <c r="K20" i="36"/>
  <c r="J20" i="36"/>
  <c r="H20" i="36"/>
  <c r="G20" i="36"/>
  <c r="E20" i="36"/>
  <c r="D20" i="36"/>
  <c r="C20" i="36"/>
  <c r="B20" i="36"/>
  <c r="O19" i="36"/>
  <c r="N19" i="36"/>
  <c r="M19" i="36"/>
  <c r="L19" i="36"/>
  <c r="K19" i="36"/>
  <c r="J19" i="36"/>
  <c r="H19" i="36"/>
  <c r="G19" i="36"/>
  <c r="E19" i="36"/>
  <c r="D19" i="36"/>
  <c r="C19" i="36"/>
  <c r="B19" i="36"/>
  <c r="O18" i="36"/>
  <c r="N18" i="36"/>
  <c r="M18" i="36"/>
  <c r="L18" i="36"/>
  <c r="K18" i="36"/>
  <c r="J18" i="36"/>
  <c r="H18" i="36"/>
  <c r="G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L195" i="35"/>
  <c r="K195" i="35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L191" i="35"/>
  <c r="K191" i="35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H143" i="35"/>
  <c r="I143" i="35" s="1"/>
  <c r="E143" i="35"/>
  <c r="F143" i="35" s="1"/>
  <c r="N142" i="35"/>
  <c r="O142" i="35" s="1"/>
  <c r="K142" i="35"/>
  <c r="L142" i="35" s="1"/>
  <c r="H142" i="35"/>
  <c r="I142" i="35" s="1"/>
  <c r="E142" i="35"/>
  <c r="F142" i="35" s="1"/>
  <c r="N141" i="35"/>
  <c r="O141" i="35" s="1"/>
  <c r="L141" i="35"/>
  <c r="K141" i="35"/>
  <c r="I141" i="35"/>
  <c r="H141" i="35"/>
  <c r="E141" i="35"/>
  <c r="F141" i="35" s="1"/>
  <c r="N140" i="35"/>
  <c r="O140" i="35" s="1"/>
  <c r="K140" i="35"/>
  <c r="L140" i="35" s="1"/>
  <c r="H140" i="35"/>
  <c r="I140" i="35" s="1"/>
  <c r="E140" i="35"/>
  <c r="F140" i="35" s="1"/>
  <c r="N139" i="35"/>
  <c r="O139" i="35" s="1"/>
  <c r="L139" i="35"/>
  <c r="K139" i="35"/>
  <c r="I139" i="35"/>
  <c r="H139" i="35"/>
  <c r="E139" i="35"/>
  <c r="F139" i="35" s="1"/>
  <c r="N138" i="35"/>
  <c r="O138" i="35" s="1"/>
  <c r="L138" i="35"/>
  <c r="K138" i="35"/>
  <c r="H138" i="35"/>
  <c r="I138" i="35" s="1"/>
  <c r="E138" i="35"/>
  <c r="F138" i="35" s="1"/>
  <c r="O137" i="35"/>
  <c r="N137" i="35"/>
  <c r="L137" i="35"/>
  <c r="K137" i="35"/>
  <c r="I137" i="35"/>
  <c r="H137" i="35"/>
  <c r="E137" i="35"/>
  <c r="F137" i="35" s="1"/>
  <c r="N136" i="35"/>
  <c r="O136" i="35" s="1"/>
  <c r="L136" i="35"/>
  <c r="K136" i="35"/>
  <c r="H136" i="35"/>
  <c r="I136" i="35" s="1"/>
  <c r="E136" i="35"/>
  <c r="F136" i="35" s="1"/>
  <c r="O135" i="35"/>
  <c r="N135" i="35"/>
  <c r="K135" i="35"/>
  <c r="L135" i="35" s="1"/>
  <c r="I135" i="35"/>
  <c r="H135" i="35"/>
  <c r="E135" i="35"/>
  <c r="F135" i="35" s="1"/>
  <c r="N134" i="35"/>
  <c r="O134" i="35" s="1"/>
  <c r="L134" i="35"/>
  <c r="K134" i="35"/>
  <c r="H134" i="35"/>
  <c r="I134" i="35" s="1"/>
  <c r="E134" i="35"/>
  <c r="F134" i="35" s="1"/>
  <c r="O133" i="35"/>
  <c r="N133" i="35"/>
  <c r="L133" i="35"/>
  <c r="K133" i="35"/>
  <c r="I133" i="35"/>
  <c r="H133" i="35"/>
  <c r="E133" i="35"/>
  <c r="F133" i="35" s="1"/>
  <c r="O132" i="35"/>
  <c r="N132" i="35"/>
  <c r="K132" i="35"/>
  <c r="L132" i="35" s="1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O130" i="35"/>
  <c r="N130" i="35"/>
  <c r="L130" i="35"/>
  <c r="K130" i="35"/>
  <c r="H130" i="35"/>
  <c r="I130" i="35" s="1"/>
  <c r="E130" i="35"/>
  <c r="F130" i="35" s="1"/>
  <c r="N129" i="35"/>
  <c r="O129" i="35" s="1"/>
  <c r="L129" i="35"/>
  <c r="K129" i="35"/>
  <c r="I129" i="35"/>
  <c r="H129" i="35"/>
  <c r="E129" i="35"/>
  <c r="F129" i="35" s="1"/>
  <c r="O128" i="35"/>
  <c r="N128" i="35"/>
  <c r="L128" i="35"/>
  <c r="K128" i="35"/>
  <c r="H128" i="35"/>
  <c r="I128" i="35" s="1"/>
  <c r="E128" i="35"/>
  <c r="F128" i="35" s="1"/>
  <c r="N127" i="35"/>
  <c r="O127" i="35" s="1"/>
  <c r="K127" i="35"/>
  <c r="L127" i="35" s="1"/>
  <c r="H127" i="35"/>
  <c r="I127" i="35" s="1"/>
  <c r="E127" i="35"/>
  <c r="F127" i="35" s="1"/>
  <c r="O126" i="35"/>
  <c r="N126" i="35"/>
  <c r="L126" i="35"/>
  <c r="K126" i="35"/>
  <c r="H126" i="35"/>
  <c r="I126" i="35" s="1"/>
  <c r="E126" i="35"/>
  <c r="F126" i="35" s="1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K117" i="35"/>
  <c r="L117" i="35" s="1"/>
  <c r="H117" i="35"/>
  <c r="I117" i="35" s="1"/>
  <c r="E117" i="35"/>
  <c r="F117" i="35" s="1"/>
  <c r="N116" i="35"/>
  <c r="O116" i="35" s="1"/>
  <c r="L116" i="35"/>
  <c r="K116" i="35"/>
  <c r="H116" i="35"/>
  <c r="I116" i="35" s="1"/>
  <c r="F116" i="35"/>
  <c r="E116" i="35"/>
  <c r="O115" i="35"/>
  <c r="N115" i="35"/>
  <c r="K115" i="35"/>
  <c r="L115" i="35" s="1"/>
  <c r="H115" i="35"/>
  <c r="I115" i="35" s="1"/>
  <c r="F115" i="35"/>
  <c r="E115" i="35"/>
  <c r="O114" i="35"/>
  <c r="N114" i="35"/>
  <c r="K114" i="35"/>
  <c r="L114" i="35" s="1"/>
  <c r="L33" i="35" s="1"/>
  <c r="H114" i="35"/>
  <c r="I114" i="35" s="1"/>
  <c r="I33" i="35" s="1"/>
  <c r="F114" i="35"/>
  <c r="E114" i="35"/>
  <c r="O113" i="35"/>
  <c r="O32" i="35" s="1"/>
  <c r="N113" i="35"/>
  <c r="K113" i="35"/>
  <c r="L113" i="35" s="1"/>
  <c r="L32" i="35" s="1"/>
  <c r="H113" i="35"/>
  <c r="I113" i="35" s="1"/>
  <c r="I32" i="35" s="1"/>
  <c r="F113" i="35"/>
  <c r="E113" i="35"/>
  <c r="O112" i="35"/>
  <c r="N112" i="35"/>
  <c r="L112" i="35"/>
  <c r="K112" i="35"/>
  <c r="H112" i="35"/>
  <c r="I112" i="35" s="1"/>
  <c r="F112" i="35"/>
  <c r="E112" i="35"/>
  <c r="N111" i="35"/>
  <c r="O111" i="35" s="1"/>
  <c r="K111" i="35"/>
  <c r="L111" i="35" s="1"/>
  <c r="H111" i="35"/>
  <c r="I111" i="35" s="1"/>
  <c r="F111" i="35"/>
  <c r="E111" i="35"/>
  <c r="N110" i="35"/>
  <c r="O110" i="35" s="1"/>
  <c r="K110" i="35"/>
  <c r="L110" i="35" s="1"/>
  <c r="H110" i="35"/>
  <c r="I110" i="35" s="1"/>
  <c r="F110" i="35"/>
  <c r="E110" i="35"/>
  <c r="N109" i="35"/>
  <c r="O109" i="35" s="1"/>
  <c r="K109" i="35"/>
  <c r="L109" i="35" s="1"/>
  <c r="H109" i="35"/>
  <c r="I109" i="35" s="1"/>
  <c r="F109" i="35"/>
  <c r="E109" i="35"/>
  <c r="N108" i="35"/>
  <c r="O108" i="35" s="1"/>
  <c r="L108" i="35"/>
  <c r="K108" i="35"/>
  <c r="H108" i="35"/>
  <c r="I108" i="35" s="1"/>
  <c r="F108" i="35"/>
  <c r="E108" i="35"/>
  <c r="O107" i="35"/>
  <c r="N107" i="35"/>
  <c r="K107" i="35"/>
  <c r="L107" i="35" s="1"/>
  <c r="H107" i="35"/>
  <c r="I107" i="35" s="1"/>
  <c r="F107" i="35"/>
  <c r="E107" i="35"/>
  <c r="O106" i="35"/>
  <c r="N106" i="35"/>
  <c r="K106" i="35"/>
  <c r="L106" i="35" s="1"/>
  <c r="L25" i="35" s="1"/>
  <c r="H106" i="35"/>
  <c r="I106" i="35" s="1"/>
  <c r="I25" i="35" s="1"/>
  <c r="E106" i="35"/>
  <c r="F106" i="35" s="1"/>
  <c r="F25" i="35" s="1"/>
  <c r="N105" i="35"/>
  <c r="O105" i="35" s="1"/>
  <c r="L105" i="35"/>
  <c r="K105" i="35"/>
  <c r="H105" i="35"/>
  <c r="I105" i="35" s="1"/>
  <c r="F105" i="35"/>
  <c r="E105" i="35"/>
  <c r="O104" i="35"/>
  <c r="N104" i="35"/>
  <c r="K104" i="35"/>
  <c r="L104" i="35" s="1"/>
  <c r="H104" i="35"/>
  <c r="I104" i="35" s="1"/>
  <c r="F104" i="35"/>
  <c r="E104" i="35"/>
  <c r="O103" i="35"/>
  <c r="N103" i="35"/>
  <c r="K103" i="35"/>
  <c r="L103" i="35" s="1"/>
  <c r="H103" i="35"/>
  <c r="I103" i="35" s="1"/>
  <c r="E103" i="35"/>
  <c r="F103" i="35" s="1"/>
  <c r="N102" i="35"/>
  <c r="O102" i="35" s="1"/>
  <c r="O21" i="35" s="1"/>
  <c r="L102" i="35"/>
  <c r="L21" i="35" s="1"/>
  <c r="K102" i="35"/>
  <c r="I102" i="35"/>
  <c r="H102" i="35"/>
  <c r="E102" i="35"/>
  <c r="F102" i="35" s="1"/>
  <c r="F21" i="35" s="1"/>
  <c r="O101" i="35"/>
  <c r="N101" i="35"/>
  <c r="K101" i="35"/>
  <c r="L101" i="35" s="1"/>
  <c r="H101" i="35"/>
  <c r="I101" i="35" s="1"/>
  <c r="E101" i="35"/>
  <c r="F101" i="35" s="1"/>
  <c r="N100" i="35"/>
  <c r="O100" i="35" s="1"/>
  <c r="K100" i="35"/>
  <c r="L100" i="35" s="1"/>
  <c r="I100" i="35"/>
  <c r="H100" i="35"/>
  <c r="E100" i="35"/>
  <c r="F100" i="35" s="1"/>
  <c r="O99" i="35"/>
  <c r="N99" i="35"/>
  <c r="L99" i="35"/>
  <c r="L18" i="35" s="1"/>
  <c r="K99" i="35"/>
  <c r="H99" i="35"/>
  <c r="I99" i="35" s="1"/>
  <c r="I18" i="35" s="1"/>
  <c r="E99" i="35"/>
  <c r="F99" i="35" s="1"/>
  <c r="F18" i="35" s="1"/>
  <c r="N98" i="35"/>
  <c r="N118" i="35" s="1"/>
  <c r="K98" i="35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K89" i="35"/>
  <c r="L89" i="35" s="1"/>
  <c r="H89" i="35"/>
  <c r="I89" i="35" s="1"/>
  <c r="E89" i="35"/>
  <c r="F89" i="35" s="1"/>
  <c r="O88" i="35"/>
  <c r="N88" i="35"/>
  <c r="K88" i="35"/>
  <c r="L88" i="35" s="1"/>
  <c r="H88" i="35"/>
  <c r="I88" i="35" s="1"/>
  <c r="E88" i="35"/>
  <c r="F88" i="35" s="1"/>
  <c r="N87" i="35"/>
  <c r="O87" i="35" s="1"/>
  <c r="K87" i="35"/>
  <c r="L87" i="35" s="1"/>
  <c r="H87" i="35"/>
  <c r="I87" i="35" s="1"/>
  <c r="E87" i="35"/>
  <c r="F87" i="35" s="1"/>
  <c r="N86" i="35"/>
  <c r="O86" i="35" s="1"/>
  <c r="K86" i="35"/>
  <c r="L86" i="35" s="1"/>
  <c r="I86" i="35"/>
  <c r="H86" i="35"/>
  <c r="E86" i="35"/>
  <c r="F86" i="35" s="1"/>
  <c r="O85" i="35"/>
  <c r="N85" i="35"/>
  <c r="K85" i="35"/>
  <c r="L85" i="35" s="1"/>
  <c r="H85" i="35"/>
  <c r="I85" i="35" s="1"/>
  <c r="E85" i="35"/>
  <c r="F85" i="35" s="1"/>
  <c r="N84" i="35"/>
  <c r="O84" i="35" s="1"/>
  <c r="L84" i="35"/>
  <c r="K84" i="35"/>
  <c r="H84" i="35"/>
  <c r="I84" i="35" s="1"/>
  <c r="E84" i="35"/>
  <c r="F84" i="35" s="1"/>
  <c r="O83" i="35"/>
  <c r="N83" i="35"/>
  <c r="K83" i="35"/>
  <c r="L83" i="35" s="1"/>
  <c r="H83" i="35"/>
  <c r="I83" i="35" s="1"/>
  <c r="E83" i="35"/>
  <c r="F83" i="35" s="1"/>
  <c r="O82" i="35"/>
  <c r="N82" i="35"/>
  <c r="L82" i="35"/>
  <c r="K82" i="35"/>
  <c r="I82" i="35"/>
  <c r="H82" i="35"/>
  <c r="E82" i="35"/>
  <c r="F82" i="35" s="1"/>
  <c r="O81" i="35"/>
  <c r="N81" i="35"/>
  <c r="K81" i="35"/>
  <c r="L81" i="35" s="1"/>
  <c r="H81" i="35"/>
  <c r="I81" i="35" s="1"/>
  <c r="E81" i="35"/>
  <c r="F81" i="35" s="1"/>
  <c r="O80" i="35"/>
  <c r="N80" i="35"/>
  <c r="K80" i="35"/>
  <c r="L80" i="35" s="1"/>
  <c r="H80" i="35"/>
  <c r="I80" i="35" s="1"/>
  <c r="E80" i="35"/>
  <c r="F80" i="35" s="1"/>
  <c r="N79" i="35"/>
  <c r="O79" i="35" s="1"/>
  <c r="K79" i="35"/>
  <c r="L79" i="35" s="1"/>
  <c r="H79" i="35"/>
  <c r="I79" i="35" s="1"/>
  <c r="E79" i="35"/>
  <c r="F79" i="35" s="1"/>
  <c r="N78" i="35"/>
  <c r="O78" i="35" s="1"/>
  <c r="K78" i="35"/>
  <c r="L78" i="35" s="1"/>
  <c r="I78" i="35"/>
  <c r="H78" i="35"/>
  <c r="E78" i="35"/>
  <c r="F78" i="35" s="1"/>
  <c r="O77" i="35"/>
  <c r="N77" i="35"/>
  <c r="L77" i="35"/>
  <c r="K77" i="35"/>
  <c r="H77" i="35"/>
  <c r="I77" i="35" s="1"/>
  <c r="E77" i="35"/>
  <c r="F77" i="35" s="1"/>
  <c r="N76" i="35"/>
  <c r="O76" i="35" s="1"/>
  <c r="K76" i="35"/>
  <c r="L76" i="35" s="1"/>
  <c r="H76" i="35"/>
  <c r="I76" i="35" s="1"/>
  <c r="E76" i="35"/>
  <c r="F76" i="35" s="1"/>
  <c r="O75" i="35"/>
  <c r="N75" i="35"/>
  <c r="L75" i="35"/>
  <c r="L34" i="35" s="1"/>
  <c r="K75" i="35"/>
  <c r="H75" i="35"/>
  <c r="I75" i="35" s="1"/>
  <c r="I34" i="35" s="1"/>
  <c r="E75" i="35"/>
  <c r="E34" i="35" s="1"/>
  <c r="N74" i="35"/>
  <c r="O74" i="35" s="1"/>
  <c r="O31" i="35" s="1"/>
  <c r="K74" i="35"/>
  <c r="L74" i="35" s="1"/>
  <c r="L31" i="35" s="1"/>
  <c r="I74" i="35"/>
  <c r="I31" i="35" s="1"/>
  <c r="H74" i="35"/>
  <c r="E74" i="35"/>
  <c r="F74" i="35" s="1"/>
  <c r="F31" i="35" s="1"/>
  <c r="O73" i="35"/>
  <c r="N73" i="35"/>
  <c r="K73" i="35"/>
  <c r="L73" i="35" s="1"/>
  <c r="L30" i="35" s="1"/>
  <c r="H73" i="35"/>
  <c r="I73" i="35" s="1"/>
  <c r="I30" i="35" s="1"/>
  <c r="E73" i="35"/>
  <c r="F73" i="35" s="1"/>
  <c r="F30" i="35" s="1"/>
  <c r="O72" i="35"/>
  <c r="N72" i="35"/>
  <c r="K72" i="35"/>
  <c r="L72" i="35" s="1"/>
  <c r="L28" i="35" s="1"/>
  <c r="I72" i="35"/>
  <c r="H72" i="35"/>
  <c r="E72" i="35"/>
  <c r="F72" i="35" s="1"/>
  <c r="F28" i="35" s="1"/>
  <c r="N71" i="35"/>
  <c r="N91" i="35" s="1"/>
  <c r="K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E62" i="35"/>
  <c r="F62" i="35" s="1"/>
  <c r="N61" i="35"/>
  <c r="O61" i="35" s="1"/>
  <c r="K61" i="35"/>
  <c r="L61" i="35" s="1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N58" i="35"/>
  <c r="O58" i="35" s="1"/>
  <c r="L58" i="35"/>
  <c r="K58" i="35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L54" i="35"/>
  <c r="K54" i="35"/>
  <c r="H54" i="35"/>
  <c r="I54" i="35" s="1"/>
  <c r="F54" i="35"/>
  <c r="E54" i="35"/>
  <c r="N53" i="35"/>
  <c r="O53" i="35" s="1"/>
  <c r="O36" i="35" s="1"/>
  <c r="K53" i="35"/>
  <c r="K36" i="35" s="1"/>
  <c r="H53" i="35"/>
  <c r="H36" i="35" s="1"/>
  <c r="F53" i="35"/>
  <c r="E53" i="35"/>
  <c r="O52" i="35"/>
  <c r="N52" i="35"/>
  <c r="K52" i="35"/>
  <c r="L52" i="35" s="1"/>
  <c r="L35" i="35" s="1"/>
  <c r="H52" i="35"/>
  <c r="I52" i="35" s="1"/>
  <c r="I35" i="35" s="1"/>
  <c r="F52" i="35"/>
  <c r="E52" i="35"/>
  <c r="N51" i="35"/>
  <c r="N29" i="35" s="1"/>
  <c r="L51" i="35"/>
  <c r="K51" i="35"/>
  <c r="H51" i="35"/>
  <c r="I51" i="35" s="1"/>
  <c r="I29" i="35" s="1"/>
  <c r="F51" i="35"/>
  <c r="E51" i="35"/>
  <c r="N50" i="35"/>
  <c r="O50" i="35" s="1"/>
  <c r="O27" i="35" s="1"/>
  <c r="L50" i="35"/>
  <c r="L27" i="35" s="1"/>
  <c r="K50" i="35"/>
  <c r="H50" i="35"/>
  <c r="H27" i="35" s="1"/>
  <c r="F50" i="35"/>
  <c r="E50" i="35"/>
  <c r="N49" i="35"/>
  <c r="O49" i="35" s="1"/>
  <c r="O26" i="35" s="1"/>
  <c r="K49" i="35"/>
  <c r="L49" i="35" s="1"/>
  <c r="L26" i="35" s="1"/>
  <c r="H49" i="35"/>
  <c r="I49" i="35" s="1"/>
  <c r="I26" i="35" s="1"/>
  <c r="F49" i="35"/>
  <c r="E49" i="35"/>
  <c r="N48" i="35"/>
  <c r="N23" i="35" s="1"/>
  <c r="K48" i="35"/>
  <c r="L48" i="35" s="1"/>
  <c r="L23" i="35" s="1"/>
  <c r="H48" i="35"/>
  <c r="I48" i="35" s="1"/>
  <c r="I23" i="35" s="1"/>
  <c r="F48" i="35"/>
  <c r="E48" i="35"/>
  <c r="N47" i="35"/>
  <c r="O47" i="35" s="1"/>
  <c r="O22" i="35" s="1"/>
  <c r="L47" i="35"/>
  <c r="K47" i="35"/>
  <c r="H47" i="35"/>
  <c r="I47" i="35" s="1"/>
  <c r="I22" i="35" s="1"/>
  <c r="F47" i="35"/>
  <c r="E47" i="35"/>
  <c r="O46" i="35"/>
  <c r="N46" i="35"/>
  <c r="L46" i="35"/>
  <c r="L20" i="35" s="1"/>
  <c r="K46" i="35"/>
  <c r="H46" i="35"/>
  <c r="I46" i="35" s="1"/>
  <c r="I20" i="35" s="1"/>
  <c r="F46" i="35"/>
  <c r="E46" i="35"/>
  <c r="N45" i="35"/>
  <c r="O45" i="35" s="1"/>
  <c r="O19" i="35" s="1"/>
  <c r="K45" i="35"/>
  <c r="K19" i="35" s="1"/>
  <c r="H45" i="35"/>
  <c r="I45" i="35" s="1"/>
  <c r="I19" i="35" s="1"/>
  <c r="F45" i="35"/>
  <c r="E45" i="35"/>
  <c r="N44" i="35"/>
  <c r="L44" i="35"/>
  <c r="K44" i="35"/>
  <c r="H44" i="35"/>
  <c r="H64" i="35" s="1"/>
  <c r="F44" i="35"/>
  <c r="E44" i="35"/>
  <c r="E64" i="35" s="1"/>
  <c r="M42" i="35"/>
  <c r="J42" i="35"/>
  <c r="G42" i="35"/>
  <c r="D42" i="35"/>
  <c r="B42" i="35"/>
  <c r="M41" i="35"/>
  <c r="G41" i="35"/>
  <c r="N36" i="35"/>
  <c r="M36" i="35"/>
  <c r="J36" i="35"/>
  <c r="G36" i="35"/>
  <c r="F36" i="35"/>
  <c r="E36" i="35"/>
  <c r="D36" i="35"/>
  <c r="C36" i="35"/>
  <c r="B36" i="35"/>
  <c r="O35" i="35"/>
  <c r="N35" i="35"/>
  <c r="M35" i="35"/>
  <c r="K35" i="35"/>
  <c r="J35" i="35"/>
  <c r="G35" i="35"/>
  <c r="F35" i="35"/>
  <c r="E35" i="35"/>
  <c r="D35" i="35"/>
  <c r="C35" i="35"/>
  <c r="B35" i="35"/>
  <c r="O34" i="35"/>
  <c r="N34" i="35"/>
  <c r="M34" i="35"/>
  <c r="K34" i="35"/>
  <c r="J34" i="35"/>
  <c r="H34" i="35"/>
  <c r="G34" i="35"/>
  <c r="D34" i="35"/>
  <c r="C34" i="35"/>
  <c r="B34" i="35"/>
  <c r="O33" i="35"/>
  <c r="N33" i="35"/>
  <c r="M33" i="35"/>
  <c r="K33" i="35"/>
  <c r="J33" i="35"/>
  <c r="H33" i="35"/>
  <c r="G33" i="35"/>
  <c r="F33" i="35"/>
  <c r="E33" i="35"/>
  <c r="D33" i="35"/>
  <c r="C33" i="35"/>
  <c r="B33" i="35"/>
  <c r="N32" i="35"/>
  <c r="M32" i="35"/>
  <c r="K32" i="35"/>
  <c r="J32" i="35"/>
  <c r="H32" i="35"/>
  <c r="G32" i="35"/>
  <c r="F32" i="35"/>
  <c r="E32" i="35"/>
  <c r="D32" i="35"/>
  <c r="C32" i="35"/>
  <c r="B32" i="35"/>
  <c r="N31" i="35"/>
  <c r="M31" i="35"/>
  <c r="K31" i="35"/>
  <c r="J31" i="35"/>
  <c r="H31" i="35"/>
  <c r="G31" i="35"/>
  <c r="E31" i="35"/>
  <c r="D31" i="35"/>
  <c r="C31" i="35"/>
  <c r="B31" i="35"/>
  <c r="O30" i="35"/>
  <c r="N30" i="35"/>
  <c r="M30" i="35"/>
  <c r="K30" i="35"/>
  <c r="J30" i="35"/>
  <c r="H30" i="35"/>
  <c r="G30" i="35"/>
  <c r="E30" i="35"/>
  <c r="D30" i="35"/>
  <c r="C30" i="35"/>
  <c r="B30" i="35"/>
  <c r="M29" i="35"/>
  <c r="L29" i="35"/>
  <c r="K29" i="35"/>
  <c r="J29" i="35"/>
  <c r="G29" i="35"/>
  <c r="F29" i="35"/>
  <c r="E29" i="35"/>
  <c r="D29" i="35"/>
  <c r="C29" i="35"/>
  <c r="B29" i="35"/>
  <c r="O28" i="35"/>
  <c r="N28" i="35"/>
  <c r="M28" i="35"/>
  <c r="J28" i="35"/>
  <c r="I28" i="35"/>
  <c r="H28" i="35"/>
  <c r="G28" i="35"/>
  <c r="E28" i="35"/>
  <c r="D28" i="35"/>
  <c r="C28" i="35"/>
  <c r="B28" i="35"/>
  <c r="N27" i="35"/>
  <c r="M27" i="35"/>
  <c r="K27" i="35"/>
  <c r="J27" i="35"/>
  <c r="G27" i="35"/>
  <c r="F27" i="35"/>
  <c r="E27" i="35"/>
  <c r="D27" i="35"/>
  <c r="C27" i="35"/>
  <c r="B27" i="35"/>
  <c r="N26" i="35"/>
  <c r="M26" i="35"/>
  <c r="K26" i="35"/>
  <c r="J26" i="35"/>
  <c r="H26" i="35"/>
  <c r="G26" i="35"/>
  <c r="F26" i="35"/>
  <c r="E26" i="35"/>
  <c r="D26" i="35"/>
  <c r="C26" i="35"/>
  <c r="B26" i="35"/>
  <c r="O25" i="35"/>
  <c r="N25" i="35"/>
  <c r="M25" i="35"/>
  <c r="K25" i="35"/>
  <c r="J25" i="35"/>
  <c r="H25" i="35"/>
  <c r="G25" i="35"/>
  <c r="E25" i="35"/>
  <c r="D25" i="35"/>
  <c r="C25" i="35"/>
  <c r="B25" i="35"/>
  <c r="N24" i="35"/>
  <c r="M24" i="35"/>
  <c r="K24" i="35"/>
  <c r="J24" i="35"/>
  <c r="H24" i="35"/>
  <c r="G24" i="35"/>
  <c r="E24" i="35"/>
  <c r="D24" i="35"/>
  <c r="C24" i="35"/>
  <c r="B24" i="35"/>
  <c r="M23" i="35"/>
  <c r="K23" i="35"/>
  <c r="J23" i="35"/>
  <c r="H23" i="35"/>
  <c r="G23" i="35"/>
  <c r="F23" i="35"/>
  <c r="E23" i="35"/>
  <c r="D23" i="35"/>
  <c r="C23" i="35"/>
  <c r="B23" i="35"/>
  <c r="N22" i="35"/>
  <c r="M22" i="35"/>
  <c r="L22" i="35"/>
  <c r="K22" i="35"/>
  <c r="J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E21" i="35"/>
  <c r="D21" i="35"/>
  <c r="C21" i="35"/>
  <c r="B21" i="35"/>
  <c r="O20" i="35"/>
  <c r="N20" i="35"/>
  <c r="M20" i="35"/>
  <c r="K20" i="35"/>
  <c r="J20" i="35"/>
  <c r="H20" i="35"/>
  <c r="G20" i="35"/>
  <c r="F20" i="35"/>
  <c r="E20" i="35"/>
  <c r="D20" i="35"/>
  <c r="C20" i="35"/>
  <c r="B20" i="35"/>
  <c r="N19" i="35"/>
  <c r="M19" i="35"/>
  <c r="J19" i="35"/>
  <c r="H19" i="35"/>
  <c r="G19" i="35"/>
  <c r="F19" i="35"/>
  <c r="E19" i="35"/>
  <c r="D19" i="35"/>
  <c r="C19" i="35"/>
  <c r="B19" i="35"/>
  <c r="O18" i="35"/>
  <c r="N18" i="35"/>
  <c r="M18" i="35"/>
  <c r="K18" i="35"/>
  <c r="J18" i="35"/>
  <c r="H18" i="35"/>
  <c r="G18" i="35"/>
  <c r="E18" i="35"/>
  <c r="D18" i="35"/>
  <c r="C18" i="35"/>
  <c r="B18" i="35"/>
  <c r="N17" i="35"/>
  <c r="M17" i="35"/>
  <c r="L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E198" i="34"/>
  <c r="F198" i="34" s="1"/>
  <c r="N197" i="34"/>
  <c r="O197" i="34" s="1"/>
  <c r="K197" i="34"/>
  <c r="L197" i="34" s="1"/>
  <c r="H197" i="34"/>
  <c r="I197" i="34" s="1"/>
  <c r="E197" i="34"/>
  <c r="F197" i="34" s="1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E194" i="34"/>
  <c r="F194" i="34" s="1"/>
  <c r="N193" i="34"/>
  <c r="O193" i="34" s="1"/>
  <c r="L193" i="34"/>
  <c r="K193" i="34"/>
  <c r="H193" i="34"/>
  <c r="I193" i="34" s="1"/>
  <c r="E193" i="34"/>
  <c r="F193" i="34" s="1"/>
  <c r="N192" i="34"/>
  <c r="O192" i="34" s="1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E190" i="34"/>
  <c r="F190" i="34" s="1"/>
  <c r="N189" i="34"/>
  <c r="O189" i="34" s="1"/>
  <c r="L189" i="34"/>
  <c r="K189" i="34"/>
  <c r="H189" i="34"/>
  <c r="I189" i="34" s="1"/>
  <c r="E189" i="34"/>
  <c r="F189" i="34" s="1"/>
  <c r="N188" i="34"/>
  <c r="O188" i="34" s="1"/>
  <c r="L188" i="34"/>
  <c r="K188" i="34"/>
  <c r="H188" i="34"/>
  <c r="I188" i="34" s="1"/>
  <c r="E188" i="34"/>
  <c r="F188" i="34" s="1"/>
  <c r="N187" i="34"/>
  <c r="O187" i="34" s="1"/>
  <c r="L187" i="34"/>
  <c r="K187" i="34"/>
  <c r="H187" i="34"/>
  <c r="I187" i="34" s="1"/>
  <c r="E187" i="34"/>
  <c r="F187" i="34" s="1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E184" i="34"/>
  <c r="F184" i="34" s="1"/>
  <c r="N183" i="34"/>
  <c r="O183" i="34" s="1"/>
  <c r="L183" i="34"/>
  <c r="K183" i="34"/>
  <c r="H183" i="34"/>
  <c r="I183" i="34" s="1"/>
  <c r="E183" i="34"/>
  <c r="F183" i="34" s="1"/>
  <c r="N182" i="34"/>
  <c r="O182" i="34" s="1"/>
  <c r="K182" i="34"/>
  <c r="L182" i="34" s="1"/>
  <c r="H182" i="34"/>
  <c r="I182" i="34" s="1"/>
  <c r="E182" i="34"/>
  <c r="F182" i="34" s="1"/>
  <c r="O181" i="34"/>
  <c r="N181" i="34"/>
  <c r="L181" i="34"/>
  <c r="K181" i="34"/>
  <c r="H181" i="34"/>
  <c r="I181" i="34" s="1"/>
  <c r="E181" i="34"/>
  <c r="F181" i="34" s="1"/>
  <c r="O180" i="34"/>
  <c r="N180" i="34"/>
  <c r="K180" i="34"/>
  <c r="L180" i="34" s="1"/>
  <c r="H180" i="34"/>
  <c r="I180" i="34" s="1"/>
  <c r="E180" i="34"/>
  <c r="F180" i="34" s="1"/>
  <c r="N179" i="34"/>
  <c r="N199" i="34" s="1"/>
  <c r="L179" i="34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L36" i="34" s="1"/>
  <c r="H171" i="34"/>
  <c r="I171" i="34" s="1"/>
  <c r="I36" i="34" s="1"/>
  <c r="E171" i="34"/>
  <c r="F171" i="34" s="1"/>
  <c r="F36" i="34" s="1"/>
  <c r="N170" i="34"/>
  <c r="O170" i="34" s="1"/>
  <c r="O35" i="34" s="1"/>
  <c r="L170" i="34"/>
  <c r="L35" i="34" s="1"/>
  <c r="K170" i="34"/>
  <c r="H170" i="34"/>
  <c r="I170" i="34" s="1"/>
  <c r="I35" i="34" s="1"/>
  <c r="F170" i="34"/>
  <c r="E170" i="34"/>
  <c r="N169" i="34"/>
  <c r="O169" i="34" s="1"/>
  <c r="O34" i="34" s="1"/>
  <c r="K169" i="34"/>
  <c r="L169" i="34" s="1"/>
  <c r="L34" i="34" s="1"/>
  <c r="H169" i="34"/>
  <c r="I169" i="34" s="1"/>
  <c r="I34" i="34" s="1"/>
  <c r="F169" i="34"/>
  <c r="E169" i="34"/>
  <c r="N168" i="34"/>
  <c r="O168" i="34" s="1"/>
  <c r="O33" i="34" s="1"/>
  <c r="L168" i="34"/>
  <c r="K168" i="34"/>
  <c r="H168" i="34"/>
  <c r="I168" i="34" s="1"/>
  <c r="I33" i="34" s="1"/>
  <c r="F168" i="34"/>
  <c r="E168" i="34"/>
  <c r="N167" i="34"/>
  <c r="O167" i="34" s="1"/>
  <c r="O32" i="34" s="1"/>
  <c r="L167" i="34"/>
  <c r="K167" i="34"/>
  <c r="H167" i="34"/>
  <c r="I167" i="34" s="1"/>
  <c r="I32" i="34" s="1"/>
  <c r="F167" i="34"/>
  <c r="E167" i="34"/>
  <c r="N166" i="34"/>
  <c r="O166" i="34" s="1"/>
  <c r="O31" i="34" s="1"/>
  <c r="L166" i="34"/>
  <c r="K166" i="34"/>
  <c r="H166" i="34"/>
  <c r="I166" i="34" s="1"/>
  <c r="I31" i="34" s="1"/>
  <c r="F166" i="34"/>
  <c r="E166" i="34"/>
  <c r="O165" i="34"/>
  <c r="O30" i="34" s="1"/>
  <c r="N165" i="34"/>
  <c r="K165" i="34"/>
  <c r="L165" i="34" s="1"/>
  <c r="L30" i="34" s="1"/>
  <c r="H165" i="34"/>
  <c r="I165" i="34" s="1"/>
  <c r="I30" i="34" s="1"/>
  <c r="E165" i="34"/>
  <c r="F165" i="34" s="1"/>
  <c r="F30" i="34" s="1"/>
  <c r="N164" i="34"/>
  <c r="O164" i="34" s="1"/>
  <c r="O29" i="34" s="1"/>
  <c r="K164" i="34"/>
  <c r="L164" i="34" s="1"/>
  <c r="L29" i="34" s="1"/>
  <c r="H164" i="34"/>
  <c r="I164" i="34" s="1"/>
  <c r="I29" i="34" s="1"/>
  <c r="F164" i="34"/>
  <c r="E164" i="34"/>
  <c r="N163" i="34"/>
  <c r="N28" i="34" s="1"/>
  <c r="L163" i="34"/>
  <c r="K163" i="34"/>
  <c r="H163" i="34"/>
  <c r="I163" i="34" s="1"/>
  <c r="I28" i="34" s="1"/>
  <c r="E163" i="34"/>
  <c r="F163" i="34" s="1"/>
  <c r="F28" i="34" s="1"/>
  <c r="N162" i="34"/>
  <c r="O162" i="34" s="1"/>
  <c r="O27" i="34" s="1"/>
  <c r="L162" i="34"/>
  <c r="K162" i="34"/>
  <c r="H162" i="34"/>
  <c r="I162" i="34" s="1"/>
  <c r="I27" i="34" s="1"/>
  <c r="F162" i="34"/>
  <c r="E162" i="34"/>
  <c r="O161" i="34"/>
  <c r="O26" i="34" s="1"/>
  <c r="N161" i="34"/>
  <c r="K161" i="34"/>
  <c r="L161" i="34" s="1"/>
  <c r="L26" i="34" s="1"/>
  <c r="H161" i="34"/>
  <c r="I161" i="34" s="1"/>
  <c r="I26" i="34" s="1"/>
  <c r="E161" i="34"/>
  <c r="F161" i="34" s="1"/>
  <c r="F26" i="34" s="1"/>
  <c r="N160" i="34"/>
  <c r="O160" i="34" s="1"/>
  <c r="O25" i="34" s="1"/>
  <c r="K160" i="34"/>
  <c r="L160" i="34" s="1"/>
  <c r="L25" i="34" s="1"/>
  <c r="H160" i="34"/>
  <c r="I160" i="34" s="1"/>
  <c r="I25" i="34" s="1"/>
  <c r="F160" i="34"/>
  <c r="E160" i="34"/>
  <c r="N159" i="34"/>
  <c r="O159" i="34" s="1"/>
  <c r="O24" i="34" s="1"/>
  <c r="K159" i="34"/>
  <c r="L159" i="34" s="1"/>
  <c r="L24" i="34" s="1"/>
  <c r="H159" i="34"/>
  <c r="I159" i="34" s="1"/>
  <c r="I24" i="34" s="1"/>
  <c r="E159" i="34"/>
  <c r="F159" i="34" s="1"/>
  <c r="F24" i="34" s="1"/>
  <c r="O158" i="34"/>
  <c r="O23" i="34" s="1"/>
  <c r="N158" i="34"/>
  <c r="L158" i="34"/>
  <c r="K158" i="34"/>
  <c r="H158" i="34"/>
  <c r="I158" i="34" s="1"/>
  <c r="I23" i="34" s="1"/>
  <c r="F158" i="34"/>
  <c r="E158" i="34"/>
  <c r="N157" i="34"/>
  <c r="O157" i="34" s="1"/>
  <c r="O22" i="34" s="1"/>
  <c r="K157" i="34"/>
  <c r="L157" i="34" s="1"/>
  <c r="L22" i="34" s="1"/>
  <c r="H157" i="34"/>
  <c r="I157" i="34" s="1"/>
  <c r="I22" i="34" s="1"/>
  <c r="E157" i="34"/>
  <c r="F157" i="34" s="1"/>
  <c r="F22" i="34" s="1"/>
  <c r="O156" i="34"/>
  <c r="O21" i="34" s="1"/>
  <c r="N156" i="34"/>
  <c r="K156" i="34"/>
  <c r="L156" i="34" s="1"/>
  <c r="L21" i="34" s="1"/>
  <c r="H156" i="34"/>
  <c r="I156" i="34" s="1"/>
  <c r="I21" i="34" s="1"/>
  <c r="E156" i="34"/>
  <c r="F156" i="34" s="1"/>
  <c r="F21" i="34" s="1"/>
  <c r="N155" i="34"/>
  <c r="O155" i="34" s="1"/>
  <c r="O20" i="34" s="1"/>
  <c r="K155" i="34"/>
  <c r="L155" i="34" s="1"/>
  <c r="L20" i="34" s="1"/>
  <c r="H155" i="34"/>
  <c r="I155" i="34" s="1"/>
  <c r="I20" i="34" s="1"/>
  <c r="E155" i="34"/>
  <c r="F155" i="34" s="1"/>
  <c r="F20" i="34" s="1"/>
  <c r="N154" i="34"/>
  <c r="O154" i="34" s="1"/>
  <c r="O19" i="34" s="1"/>
  <c r="K154" i="34"/>
  <c r="L154" i="34" s="1"/>
  <c r="L19" i="34" s="1"/>
  <c r="H154" i="34"/>
  <c r="I154" i="34" s="1"/>
  <c r="I19" i="34" s="1"/>
  <c r="F154" i="34"/>
  <c r="E154" i="34"/>
  <c r="O153" i="34"/>
  <c r="N153" i="34"/>
  <c r="L153" i="34"/>
  <c r="K153" i="34"/>
  <c r="H153" i="34"/>
  <c r="I153" i="34" s="1"/>
  <c r="I18" i="34" s="1"/>
  <c r="E153" i="34"/>
  <c r="F153" i="34" s="1"/>
  <c r="F18" i="34" s="1"/>
  <c r="N152" i="34"/>
  <c r="L152" i="34"/>
  <c r="K152" i="34"/>
  <c r="H152" i="34"/>
  <c r="H172" i="34" s="1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K143" i="34"/>
  <c r="L143" i="34" s="1"/>
  <c r="I143" i="34"/>
  <c r="H143" i="34"/>
  <c r="E143" i="34"/>
  <c r="F143" i="34" s="1"/>
  <c r="N142" i="34"/>
  <c r="O142" i="34" s="1"/>
  <c r="L142" i="34"/>
  <c r="K142" i="34"/>
  <c r="I142" i="34"/>
  <c r="H142" i="34"/>
  <c r="E142" i="34"/>
  <c r="F142" i="34" s="1"/>
  <c r="N141" i="34"/>
  <c r="O141" i="34" s="1"/>
  <c r="K141" i="34"/>
  <c r="L141" i="34" s="1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K137" i="34"/>
  <c r="L137" i="34" s="1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K125" i="34"/>
  <c r="K145" i="34" s="1"/>
  <c r="I125" i="34"/>
  <c r="I145" i="34" s="1"/>
  <c r="H125" i="34"/>
  <c r="H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N116" i="34"/>
  <c r="O116" i="34" s="1"/>
  <c r="L116" i="34"/>
  <c r="K116" i="34"/>
  <c r="H116" i="34"/>
  <c r="I116" i="34" s="1"/>
  <c r="E116" i="34"/>
  <c r="F116" i="34" s="1"/>
  <c r="O115" i="34"/>
  <c r="N115" i="34"/>
  <c r="L115" i="34"/>
  <c r="K115" i="34"/>
  <c r="H115" i="34"/>
  <c r="I115" i="34" s="1"/>
  <c r="E115" i="34"/>
  <c r="F115" i="34" s="1"/>
  <c r="N114" i="34"/>
  <c r="O114" i="34" s="1"/>
  <c r="L114" i="34"/>
  <c r="K114" i="34"/>
  <c r="H114" i="34"/>
  <c r="I114" i="34" s="1"/>
  <c r="E114" i="34"/>
  <c r="F114" i="34" s="1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E112" i="34"/>
  <c r="F112" i="34" s="1"/>
  <c r="O111" i="34"/>
  <c r="N111" i="34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F109" i="34"/>
  <c r="E109" i="34"/>
  <c r="O108" i="34"/>
  <c r="N108" i="34"/>
  <c r="L108" i="34"/>
  <c r="K108" i="34"/>
  <c r="H108" i="34"/>
  <c r="I108" i="34" s="1"/>
  <c r="E108" i="34"/>
  <c r="F108" i="34" s="1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E106" i="34"/>
  <c r="F106" i="34" s="1"/>
  <c r="N105" i="34"/>
  <c r="O105" i="34" s="1"/>
  <c r="K105" i="34"/>
  <c r="L105" i="34" s="1"/>
  <c r="H105" i="34"/>
  <c r="I105" i="34" s="1"/>
  <c r="F105" i="34"/>
  <c r="E105" i="34"/>
  <c r="O104" i="34"/>
  <c r="N104" i="34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O102" i="34"/>
  <c r="N102" i="34"/>
  <c r="L102" i="34"/>
  <c r="K102" i="34"/>
  <c r="H102" i="34"/>
  <c r="I102" i="34" s="1"/>
  <c r="E102" i="34"/>
  <c r="F102" i="34" s="1"/>
  <c r="N101" i="34"/>
  <c r="O101" i="34" s="1"/>
  <c r="L101" i="34"/>
  <c r="K101" i="34"/>
  <c r="H101" i="34"/>
  <c r="I101" i="34" s="1"/>
  <c r="E101" i="34"/>
  <c r="F101" i="34" s="1"/>
  <c r="O100" i="34"/>
  <c r="N100" i="34"/>
  <c r="L100" i="34"/>
  <c r="K100" i="34"/>
  <c r="H100" i="34"/>
  <c r="I100" i="34" s="1"/>
  <c r="F100" i="34"/>
  <c r="E100" i="34"/>
  <c r="N99" i="34"/>
  <c r="O99" i="34" s="1"/>
  <c r="K99" i="34"/>
  <c r="L99" i="34" s="1"/>
  <c r="H99" i="34"/>
  <c r="I99" i="34" s="1"/>
  <c r="F99" i="34"/>
  <c r="E99" i="34"/>
  <c r="O98" i="34"/>
  <c r="N98" i="34"/>
  <c r="L98" i="34"/>
  <c r="K98" i="34"/>
  <c r="H98" i="34"/>
  <c r="H118" i="34" s="1"/>
  <c r="E98" i="34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E88" i="34"/>
  <c r="F88" i="34" s="1"/>
  <c r="O87" i="34"/>
  <c r="N87" i="34"/>
  <c r="L87" i="34"/>
  <c r="K87" i="34"/>
  <c r="I87" i="34"/>
  <c r="H87" i="34"/>
  <c r="E87" i="34"/>
  <c r="F87" i="34" s="1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E85" i="34"/>
  <c r="F85" i="34" s="1"/>
  <c r="O84" i="34"/>
  <c r="N84" i="34"/>
  <c r="L84" i="34"/>
  <c r="K84" i="34"/>
  <c r="I84" i="34"/>
  <c r="H84" i="34"/>
  <c r="E84" i="34"/>
  <c r="F84" i="34" s="1"/>
  <c r="O83" i="34"/>
  <c r="N83" i="34"/>
  <c r="K83" i="34"/>
  <c r="L83" i="34" s="1"/>
  <c r="I83" i="34"/>
  <c r="H83" i="34"/>
  <c r="E83" i="34"/>
  <c r="F83" i="34" s="1"/>
  <c r="N82" i="34"/>
  <c r="O82" i="34" s="1"/>
  <c r="L82" i="34"/>
  <c r="K82" i="34"/>
  <c r="I82" i="34"/>
  <c r="H82" i="34"/>
  <c r="E82" i="34"/>
  <c r="F82" i="34" s="1"/>
  <c r="O81" i="34"/>
  <c r="N81" i="34"/>
  <c r="K81" i="34"/>
  <c r="L81" i="34" s="1"/>
  <c r="I81" i="34"/>
  <c r="H81" i="34"/>
  <c r="E81" i="34"/>
  <c r="F81" i="34" s="1"/>
  <c r="N80" i="34"/>
  <c r="O80" i="34" s="1"/>
  <c r="L80" i="34"/>
  <c r="K80" i="34"/>
  <c r="I80" i="34"/>
  <c r="H80" i="34"/>
  <c r="E80" i="34"/>
  <c r="F80" i="34" s="1"/>
  <c r="N79" i="34"/>
  <c r="O79" i="34" s="1"/>
  <c r="K79" i="34"/>
  <c r="L79" i="34" s="1"/>
  <c r="I79" i="34"/>
  <c r="H79" i="34"/>
  <c r="E79" i="34"/>
  <c r="F79" i="34" s="1"/>
  <c r="O78" i="34"/>
  <c r="N78" i="34"/>
  <c r="L78" i="34"/>
  <c r="K78" i="34"/>
  <c r="I78" i="34"/>
  <c r="H78" i="34"/>
  <c r="E78" i="34"/>
  <c r="F78" i="34" s="1"/>
  <c r="N77" i="34"/>
  <c r="O77" i="34" s="1"/>
  <c r="K77" i="34"/>
  <c r="L77" i="34" s="1"/>
  <c r="I77" i="34"/>
  <c r="H77" i="34"/>
  <c r="E77" i="34"/>
  <c r="F77" i="34" s="1"/>
  <c r="O76" i="34"/>
  <c r="N76" i="34"/>
  <c r="L76" i="34"/>
  <c r="K76" i="34"/>
  <c r="I76" i="34"/>
  <c r="H76" i="34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I74" i="34"/>
  <c r="H74" i="34"/>
  <c r="E74" i="34"/>
  <c r="F74" i="34" s="1"/>
  <c r="O73" i="34"/>
  <c r="N73" i="34"/>
  <c r="K73" i="34"/>
  <c r="L73" i="34" s="1"/>
  <c r="I73" i="34"/>
  <c r="H73" i="34"/>
  <c r="E73" i="34"/>
  <c r="F73" i="34" s="1"/>
  <c r="N72" i="34"/>
  <c r="O72" i="34" s="1"/>
  <c r="L72" i="34"/>
  <c r="K72" i="34"/>
  <c r="I72" i="34"/>
  <c r="H72" i="34"/>
  <c r="E72" i="34"/>
  <c r="F72" i="34" s="1"/>
  <c r="N71" i="34"/>
  <c r="K71" i="34"/>
  <c r="K91" i="34" s="1"/>
  <c r="I71" i="34"/>
  <c r="H71" i="34"/>
  <c r="H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N61" i="34"/>
  <c r="O61" i="34" s="1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E59" i="34"/>
  <c r="F59" i="34" s="1"/>
  <c r="N58" i="34"/>
  <c r="O58" i="34" s="1"/>
  <c r="K58" i="34"/>
  <c r="L58" i="34" s="1"/>
  <c r="H58" i="34"/>
  <c r="I58" i="34" s="1"/>
  <c r="E58" i="34"/>
  <c r="F58" i="34" s="1"/>
  <c r="O57" i="34"/>
  <c r="N57" i="34"/>
  <c r="K57" i="34"/>
  <c r="L57" i="34" s="1"/>
  <c r="H57" i="34"/>
  <c r="I57" i="34" s="1"/>
  <c r="F57" i="34"/>
  <c r="E57" i="34"/>
  <c r="N56" i="34"/>
  <c r="O56" i="34" s="1"/>
  <c r="L56" i="34"/>
  <c r="K56" i="34"/>
  <c r="H56" i="34"/>
  <c r="I56" i="34" s="1"/>
  <c r="E56" i="34"/>
  <c r="F56" i="34" s="1"/>
  <c r="O55" i="34"/>
  <c r="N55" i="34"/>
  <c r="K55" i="34"/>
  <c r="L55" i="34" s="1"/>
  <c r="H55" i="34"/>
  <c r="I55" i="34" s="1"/>
  <c r="E55" i="34"/>
  <c r="F55" i="34" s="1"/>
  <c r="O54" i="34"/>
  <c r="N54" i="34"/>
  <c r="L54" i="34"/>
  <c r="K54" i="34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F51" i="34"/>
  <c r="E51" i="34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H49" i="34"/>
  <c r="I49" i="34" s="1"/>
  <c r="F49" i="34"/>
  <c r="E49" i="34"/>
  <c r="O48" i="34"/>
  <c r="N48" i="34"/>
  <c r="K48" i="34"/>
  <c r="L48" i="34" s="1"/>
  <c r="H48" i="34"/>
  <c r="I48" i="34" s="1"/>
  <c r="E48" i="34"/>
  <c r="F48" i="34" s="1"/>
  <c r="O47" i="34"/>
  <c r="N47" i="34"/>
  <c r="K47" i="34"/>
  <c r="L47" i="34" s="1"/>
  <c r="H47" i="34"/>
  <c r="I47" i="34" s="1"/>
  <c r="E47" i="34"/>
  <c r="F47" i="34" s="1"/>
  <c r="O46" i="34"/>
  <c r="N46" i="34"/>
  <c r="K46" i="34"/>
  <c r="L46" i="34" s="1"/>
  <c r="H46" i="34"/>
  <c r="I46" i="34" s="1"/>
  <c r="E46" i="34"/>
  <c r="F46" i="34" s="1"/>
  <c r="N45" i="34"/>
  <c r="O45" i="34" s="1"/>
  <c r="K45" i="34"/>
  <c r="L45" i="34" s="1"/>
  <c r="H45" i="34"/>
  <c r="I45" i="34" s="1"/>
  <c r="F45" i="34"/>
  <c r="E45" i="34"/>
  <c r="O44" i="34"/>
  <c r="N44" i="34"/>
  <c r="L44" i="34"/>
  <c r="K44" i="34"/>
  <c r="H44" i="34"/>
  <c r="H64" i="34" s="1"/>
  <c r="E44" i="34"/>
  <c r="M42" i="34"/>
  <c r="J42" i="34"/>
  <c r="G42" i="34"/>
  <c r="D42" i="34"/>
  <c r="B42" i="34"/>
  <c r="M41" i="34"/>
  <c r="G41" i="34"/>
  <c r="O36" i="34"/>
  <c r="N36" i="34"/>
  <c r="M36" i="34"/>
  <c r="K36" i="34"/>
  <c r="J36" i="34"/>
  <c r="H36" i="34"/>
  <c r="G36" i="34"/>
  <c r="E36" i="34"/>
  <c r="D36" i="34"/>
  <c r="C36" i="34"/>
  <c r="B36" i="34"/>
  <c r="N35" i="34"/>
  <c r="M35" i="34"/>
  <c r="K35" i="34"/>
  <c r="J35" i="34"/>
  <c r="H35" i="34"/>
  <c r="G35" i="34"/>
  <c r="F35" i="34"/>
  <c r="E35" i="34"/>
  <c r="D35" i="34"/>
  <c r="C35" i="34"/>
  <c r="B35" i="34"/>
  <c r="N34" i="34"/>
  <c r="M34" i="34"/>
  <c r="K34" i="34"/>
  <c r="J34" i="34"/>
  <c r="H34" i="34"/>
  <c r="G34" i="34"/>
  <c r="F34" i="34"/>
  <c r="E34" i="34"/>
  <c r="D34" i="34"/>
  <c r="C34" i="34"/>
  <c r="B34" i="34"/>
  <c r="M33" i="34"/>
  <c r="L33" i="34"/>
  <c r="K33" i="34"/>
  <c r="J33" i="34"/>
  <c r="H33" i="34"/>
  <c r="G33" i="34"/>
  <c r="F33" i="34"/>
  <c r="E33" i="34"/>
  <c r="D33" i="34"/>
  <c r="C33" i="34"/>
  <c r="B33" i="34"/>
  <c r="N32" i="34"/>
  <c r="M32" i="34"/>
  <c r="L32" i="34"/>
  <c r="K32" i="34"/>
  <c r="J32" i="34"/>
  <c r="H32" i="34"/>
  <c r="G32" i="34"/>
  <c r="F32" i="34"/>
  <c r="E32" i="34"/>
  <c r="D32" i="34"/>
  <c r="C32" i="34"/>
  <c r="B32" i="34"/>
  <c r="N31" i="34"/>
  <c r="M31" i="34"/>
  <c r="L31" i="34"/>
  <c r="K31" i="34"/>
  <c r="J31" i="34"/>
  <c r="H31" i="34"/>
  <c r="G31" i="34"/>
  <c r="F31" i="34"/>
  <c r="E31" i="34"/>
  <c r="D31" i="34"/>
  <c r="C31" i="34"/>
  <c r="B31" i="34"/>
  <c r="N30" i="34"/>
  <c r="M30" i="34"/>
  <c r="K30" i="34"/>
  <c r="J30" i="34"/>
  <c r="H30" i="34"/>
  <c r="G30" i="34"/>
  <c r="E30" i="34"/>
  <c r="D30" i="34"/>
  <c r="C30" i="34"/>
  <c r="B30" i="34"/>
  <c r="N29" i="34"/>
  <c r="M29" i="34"/>
  <c r="K29" i="34"/>
  <c r="J29" i="34"/>
  <c r="H29" i="34"/>
  <c r="G29" i="34"/>
  <c r="F29" i="34"/>
  <c r="E29" i="34"/>
  <c r="D29" i="34"/>
  <c r="C29" i="34"/>
  <c r="B29" i="34"/>
  <c r="M28" i="34"/>
  <c r="L28" i="34"/>
  <c r="K28" i="34"/>
  <c r="J28" i="34"/>
  <c r="H28" i="34"/>
  <c r="G28" i="34"/>
  <c r="E28" i="34"/>
  <c r="D28" i="34"/>
  <c r="C28" i="34"/>
  <c r="B28" i="34"/>
  <c r="N27" i="34"/>
  <c r="M27" i="34"/>
  <c r="L27" i="34"/>
  <c r="K27" i="34"/>
  <c r="J27" i="34"/>
  <c r="H27" i="34"/>
  <c r="G27" i="34"/>
  <c r="F27" i="34"/>
  <c r="E27" i="34"/>
  <c r="D27" i="34"/>
  <c r="C27" i="34"/>
  <c r="B27" i="34"/>
  <c r="N26" i="34"/>
  <c r="M26" i="34"/>
  <c r="K26" i="34"/>
  <c r="J26" i="34"/>
  <c r="H26" i="34"/>
  <c r="G26" i="34"/>
  <c r="E26" i="34"/>
  <c r="D26" i="34"/>
  <c r="C26" i="34"/>
  <c r="B26" i="34"/>
  <c r="N25" i="34"/>
  <c r="M25" i="34"/>
  <c r="K25" i="34"/>
  <c r="J25" i="34"/>
  <c r="H25" i="34"/>
  <c r="G25" i="34"/>
  <c r="F25" i="34"/>
  <c r="E25" i="34"/>
  <c r="D25" i="34"/>
  <c r="C25" i="34"/>
  <c r="B25" i="34"/>
  <c r="N24" i="34"/>
  <c r="M24" i="34"/>
  <c r="K24" i="34"/>
  <c r="J24" i="34"/>
  <c r="H24" i="34"/>
  <c r="G24" i="34"/>
  <c r="E24" i="34"/>
  <c r="D24" i="34"/>
  <c r="C24" i="34"/>
  <c r="B24" i="34"/>
  <c r="N23" i="34"/>
  <c r="M23" i="34"/>
  <c r="L23" i="34"/>
  <c r="K23" i="34"/>
  <c r="J23" i="34"/>
  <c r="H23" i="34"/>
  <c r="G23" i="34"/>
  <c r="F23" i="34"/>
  <c r="E23" i="34"/>
  <c r="D23" i="34"/>
  <c r="C23" i="34"/>
  <c r="B23" i="34"/>
  <c r="N22" i="34"/>
  <c r="M22" i="34"/>
  <c r="K22" i="34"/>
  <c r="J22" i="34"/>
  <c r="H22" i="34"/>
  <c r="G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K20" i="34"/>
  <c r="J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H18" i="34"/>
  <c r="G18" i="34"/>
  <c r="E18" i="34"/>
  <c r="D18" i="34"/>
  <c r="C18" i="34"/>
  <c r="B18" i="34"/>
  <c r="N17" i="34"/>
  <c r="M17" i="34"/>
  <c r="L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L30" i="38" l="1"/>
  <c r="L37" i="38" s="1"/>
  <c r="H30" i="38"/>
  <c r="H37" i="38" s="1"/>
  <c r="O64" i="38"/>
  <c r="F118" i="38"/>
  <c r="L172" i="38"/>
  <c r="H91" i="38"/>
  <c r="O179" i="37"/>
  <c r="O199" i="37" s="1"/>
  <c r="O156" i="37"/>
  <c r="O33" i="37" s="1"/>
  <c r="O37" i="37" s="1"/>
  <c r="N172" i="37"/>
  <c r="O172" i="37"/>
  <c r="O145" i="37"/>
  <c r="N145" i="37"/>
  <c r="N118" i="37"/>
  <c r="O118" i="37"/>
  <c r="N64" i="37"/>
  <c r="O64" i="37"/>
  <c r="F37" i="38"/>
  <c r="N37" i="38"/>
  <c r="K37" i="38"/>
  <c r="O37" i="38"/>
  <c r="I37" i="38"/>
  <c r="E37" i="38"/>
  <c r="G5" i="38"/>
  <c r="G7" i="38"/>
  <c r="G3" i="38"/>
  <c r="G9" i="38"/>
  <c r="K172" i="37"/>
  <c r="L172" i="37"/>
  <c r="K145" i="37"/>
  <c r="L125" i="37"/>
  <c r="L145" i="37" s="1"/>
  <c r="K118" i="37"/>
  <c r="L118" i="37"/>
  <c r="L64" i="37"/>
  <c r="K64" i="37"/>
  <c r="G5" i="37" s="1"/>
  <c r="I152" i="37"/>
  <c r="I125" i="37"/>
  <c r="I145" i="37" s="1"/>
  <c r="I98" i="37"/>
  <c r="I118" i="37" s="1"/>
  <c r="H64" i="37"/>
  <c r="I64" i="37"/>
  <c r="F31" i="37"/>
  <c r="F37" i="37" s="1"/>
  <c r="F44" i="37"/>
  <c r="F64" i="37" s="1"/>
  <c r="N199" i="36"/>
  <c r="O179" i="36"/>
  <c r="O199" i="36" s="1"/>
  <c r="N172" i="36"/>
  <c r="O172" i="36"/>
  <c r="O118" i="36"/>
  <c r="N118" i="36"/>
  <c r="N33" i="36"/>
  <c r="N37" i="36" s="1"/>
  <c r="N91" i="36"/>
  <c r="O91" i="36"/>
  <c r="N64" i="36"/>
  <c r="O44" i="36"/>
  <c r="O62" i="36"/>
  <c r="O36" i="36" s="1"/>
  <c r="O37" i="36" s="1"/>
  <c r="N37" i="37"/>
  <c r="E37" i="37"/>
  <c r="G3" i="37"/>
  <c r="L37" i="37"/>
  <c r="K37" i="37"/>
  <c r="H37" i="37"/>
  <c r="G7" i="37"/>
  <c r="G9" i="37"/>
  <c r="K199" i="36"/>
  <c r="L179" i="36"/>
  <c r="L199" i="36" s="1"/>
  <c r="K172" i="36"/>
  <c r="L152" i="36"/>
  <c r="L172" i="36" s="1"/>
  <c r="K118" i="36"/>
  <c r="L98" i="36"/>
  <c r="L118" i="36" s="1"/>
  <c r="K34" i="36"/>
  <c r="K37" i="36" s="1"/>
  <c r="K91" i="36"/>
  <c r="L71" i="36"/>
  <c r="L91" i="36" s="1"/>
  <c r="L64" i="36"/>
  <c r="K64" i="36"/>
  <c r="I179" i="36"/>
  <c r="I199" i="36" s="1"/>
  <c r="I152" i="36"/>
  <c r="I172" i="36" s="1"/>
  <c r="I98" i="36"/>
  <c r="I118" i="36" s="1"/>
  <c r="I71" i="36"/>
  <c r="I91" i="36" s="1"/>
  <c r="G7" i="36" s="1"/>
  <c r="I64" i="36"/>
  <c r="H64" i="36"/>
  <c r="F71" i="36"/>
  <c r="F91" i="36" s="1"/>
  <c r="F44" i="36"/>
  <c r="F64" i="36" s="1"/>
  <c r="O179" i="35"/>
  <c r="O199" i="35" s="1"/>
  <c r="N172" i="35"/>
  <c r="O152" i="35"/>
  <c r="O172" i="35" s="1"/>
  <c r="N145" i="35"/>
  <c r="O125" i="35"/>
  <c r="O145" i="35" s="1"/>
  <c r="O98" i="35"/>
  <c r="O118" i="35" s="1"/>
  <c r="O71" i="35"/>
  <c r="O48" i="35"/>
  <c r="O23" i="35" s="1"/>
  <c r="O51" i="35"/>
  <c r="O29" i="35" s="1"/>
  <c r="N64" i="35"/>
  <c r="O44" i="35"/>
  <c r="I37" i="36"/>
  <c r="H37" i="36"/>
  <c r="F37" i="36"/>
  <c r="L37" i="36"/>
  <c r="E37" i="36"/>
  <c r="G3" i="36"/>
  <c r="G9" i="36"/>
  <c r="K199" i="35"/>
  <c r="L179" i="35"/>
  <c r="L199" i="35" s="1"/>
  <c r="K172" i="35"/>
  <c r="L172" i="35"/>
  <c r="L125" i="35"/>
  <c r="L145" i="35" s="1"/>
  <c r="K118" i="35"/>
  <c r="L98" i="35"/>
  <c r="L118" i="35" s="1"/>
  <c r="K28" i="35"/>
  <c r="K37" i="35" s="1"/>
  <c r="K91" i="35"/>
  <c r="L71" i="35"/>
  <c r="K64" i="35"/>
  <c r="L45" i="35"/>
  <c r="L19" i="35" s="1"/>
  <c r="L53" i="35"/>
  <c r="L36" i="35" s="1"/>
  <c r="L64" i="35"/>
  <c r="I179" i="35"/>
  <c r="I199" i="35" s="1"/>
  <c r="I152" i="35"/>
  <c r="I172" i="35" s="1"/>
  <c r="I145" i="35"/>
  <c r="H145" i="35"/>
  <c r="I118" i="35"/>
  <c r="H118" i="35"/>
  <c r="H91" i="35"/>
  <c r="I71" i="35"/>
  <c r="H29" i="35"/>
  <c r="H35" i="35"/>
  <c r="I44" i="35"/>
  <c r="I50" i="35"/>
  <c r="I27" i="35" s="1"/>
  <c r="I53" i="35"/>
  <c r="I36" i="35" s="1"/>
  <c r="F125" i="35"/>
  <c r="F145" i="35" s="1"/>
  <c r="F98" i="35"/>
  <c r="F118" i="35" s="1"/>
  <c r="F71" i="35"/>
  <c r="F75" i="35"/>
  <c r="F34" i="35" s="1"/>
  <c r="F64" i="35"/>
  <c r="O179" i="34"/>
  <c r="O199" i="34" s="1"/>
  <c r="N33" i="34"/>
  <c r="N37" i="34" s="1"/>
  <c r="N172" i="34"/>
  <c r="O163" i="34"/>
  <c r="O28" i="34" s="1"/>
  <c r="O152" i="34"/>
  <c r="N145" i="34"/>
  <c r="O125" i="34"/>
  <c r="O145" i="34" s="1"/>
  <c r="O118" i="34"/>
  <c r="N118" i="34"/>
  <c r="N91" i="34"/>
  <c r="O71" i="34"/>
  <c r="O91" i="34" s="1"/>
  <c r="O64" i="34"/>
  <c r="N64" i="34"/>
  <c r="G9" i="35"/>
  <c r="G3" i="35"/>
  <c r="N37" i="35"/>
  <c r="E37" i="35"/>
  <c r="L199" i="34"/>
  <c r="K199" i="34"/>
  <c r="K172" i="34"/>
  <c r="L172" i="34"/>
  <c r="L125" i="34"/>
  <c r="L145" i="34" s="1"/>
  <c r="L118" i="34"/>
  <c r="K118" i="34"/>
  <c r="L71" i="34"/>
  <c r="L91" i="34" s="1"/>
  <c r="L64" i="34"/>
  <c r="K64" i="34"/>
  <c r="E199" i="34"/>
  <c r="F179" i="34"/>
  <c r="F199" i="34" s="1"/>
  <c r="E172" i="34"/>
  <c r="F152" i="34"/>
  <c r="E118" i="34"/>
  <c r="F98" i="34"/>
  <c r="F118" i="34" s="1"/>
  <c r="E91" i="34"/>
  <c r="F71" i="34"/>
  <c r="F91" i="34" s="1"/>
  <c r="E145" i="34"/>
  <c r="F125" i="34"/>
  <c r="F145" i="34" s="1"/>
  <c r="E64" i="34"/>
  <c r="F44" i="34"/>
  <c r="F64" i="34" s="1"/>
  <c r="I179" i="34"/>
  <c r="I199" i="34" s="1"/>
  <c r="I152" i="34"/>
  <c r="I98" i="34"/>
  <c r="I118" i="34" s="1"/>
  <c r="I91" i="34"/>
  <c r="I44" i="34"/>
  <c r="I64" i="34" s="1"/>
  <c r="G5" i="34" s="1"/>
  <c r="O179" i="33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H37" i="34"/>
  <c r="L37" i="34"/>
  <c r="E37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O37" i="31" s="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8" l="1"/>
  <c r="I172" i="37"/>
  <c r="I31" i="37"/>
  <c r="I37" i="37" s="1"/>
  <c r="G11" i="37" s="1"/>
  <c r="O64" i="36"/>
  <c r="G5" i="36" s="1"/>
  <c r="O91" i="35"/>
  <c r="O24" i="35"/>
  <c r="O64" i="35"/>
  <c r="O17" i="35"/>
  <c r="G11" i="36"/>
  <c r="L91" i="35"/>
  <c r="L24" i="35"/>
  <c r="L37" i="35" s="1"/>
  <c r="H37" i="35"/>
  <c r="I91" i="35"/>
  <c r="I24" i="35"/>
  <c r="I64" i="35"/>
  <c r="G5" i="35" s="1"/>
  <c r="I17" i="35"/>
  <c r="F91" i="35"/>
  <c r="G7" i="35" s="1"/>
  <c r="F24" i="35"/>
  <c r="F37" i="35" s="1"/>
  <c r="O172" i="34"/>
  <c r="O17" i="34"/>
  <c r="O37" i="34" s="1"/>
  <c r="F172" i="34"/>
  <c r="F17" i="34"/>
  <c r="F37" i="34" s="1"/>
  <c r="I172" i="34"/>
  <c r="I17" i="34"/>
  <c r="I37" i="34" s="1"/>
  <c r="G11" i="34" s="1"/>
  <c r="O91" i="33"/>
  <c r="O17" i="33"/>
  <c r="O37" i="33" s="1"/>
  <c r="L91" i="33"/>
  <c r="L17" i="33"/>
  <c r="L37" i="33" s="1"/>
  <c r="I37" i="33"/>
  <c r="I91" i="33"/>
  <c r="F91" i="33"/>
  <c r="F17" i="33"/>
  <c r="F37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3" l="1"/>
  <c r="O37" i="35"/>
  <c r="I37" i="35"/>
  <c r="G7" i="33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35" l="1"/>
  <c r="G11" i="29"/>
  <c r="G11" i="27"/>
  <c r="G11" i="26"/>
  <c r="G11" i="24"/>
  <c r="G7" i="24"/>
  <c r="G9" i="6"/>
  <c r="G11" i="6"/>
  <c r="G5" i="6" l="1"/>
  <c r="I261" i="9"/>
  <c r="O75" i="3"/>
  <c r="O71" i="9"/>
  <c r="H85" i="9"/>
  <c r="E49" i="9"/>
  <c r="K23" i="5"/>
  <c r="K274" i="9"/>
  <c r="K125" i="9"/>
  <c r="C261" i="9"/>
  <c r="E239" i="9"/>
  <c r="I76" i="9"/>
  <c r="K183" i="9"/>
  <c r="H44" i="9"/>
  <c r="O201" i="9"/>
  <c r="H102" i="9"/>
  <c r="K255" i="9"/>
  <c r="E115" i="9"/>
  <c r="H67" i="9"/>
  <c r="C84" i="9"/>
  <c r="I77" i="9"/>
  <c r="F82" i="9"/>
  <c r="C259" i="9"/>
  <c r="C27" i="9"/>
  <c r="C52" i="9"/>
  <c r="L239" i="9"/>
  <c r="I231" i="9"/>
  <c r="K29" i="9"/>
  <c r="N31" i="9"/>
  <c r="E257" i="9"/>
  <c r="H74" i="9"/>
  <c r="H80" i="9"/>
  <c r="N266" i="9"/>
  <c r="O176" i="9"/>
  <c r="C153" i="9"/>
  <c r="I25" i="9"/>
  <c r="K180" i="9"/>
  <c r="H45" i="9"/>
  <c r="N139" i="9"/>
  <c r="F119" i="9"/>
  <c r="C136" i="9"/>
  <c r="N229" i="9"/>
  <c r="C175" i="9"/>
  <c r="E103" i="9"/>
  <c r="L63" i="9"/>
  <c r="E149" i="9"/>
  <c r="N277" i="9"/>
  <c r="K11" i="5"/>
  <c r="F156" i="9"/>
  <c r="L142" i="9"/>
  <c r="F193" i="9"/>
  <c r="K261" i="9"/>
  <c r="E237" i="9"/>
  <c r="K73" i="9"/>
  <c r="F37" i="9"/>
  <c r="H270" i="9"/>
  <c r="I65" i="9"/>
  <c r="E204" i="9"/>
  <c r="H189" i="9"/>
  <c r="H124" i="9"/>
  <c r="K76" i="9"/>
  <c r="O177" i="9"/>
  <c r="O231" i="9"/>
  <c r="N76" i="9"/>
  <c r="K221" i="9"/>
  <c r="E35" i="9"/>
  <c r="I239" i="9"/>
  <c r="E197" i="9"/>
  <c r="G44" i="3"/>
  <c r="N259" i="9"/>
  <c r="F30" i="9"/>
  <c r="E33" i="9"/>
  <c r="E262" i="9"/>
  <c r="H103" i="9"/>
  <c r="O50" i="9"/>
  <c r="N256" i="9"/>
  <c r="L279" i="9"/>
  <c r="L212" i="9"/>
  <c r="E159" i="9"/>
  <c r="F232" i="9"/>
  <c r="L236" i="9"/>
  <c r="O37" i="9"/>
  <c r="K161" i="9"/>
  <c r="H272" i="9"/>
  <c r="H235" i="9"/>
  <c r="L34" i="9"/>
  <c r="N150" i="9"/>
  <c r="F118" i="9"/>
  <c r="L198" i="9"/>
  <c r="E70" i="9"/>
  <c r="I136" i="9"/>
  <c r="L41" i="9"/>
  <c r="H266" i="9"/>
  <c r="L35" i="9"/>
  <c r="K61" i="9"/>
  <c r="K65" i="3"/>
  <c r="G41" i="3"/>
  <c r="C220" i="9"/>
  <c r="G68" i="3"/>
  <c r="L68" i="9"/>
  <c r="E195" i="9"/>
  <c r="O232" i="9"/>
  <c r="L123" i="9"/>
  <c r="H48" i="9"/>
  <c r="N87" i="9"/>
  <c r="O193" i="9"/>
  <c r="K128" i="9"/>
  <c r="C225" i="9"/>
  <c r="I41" i="9"/>
  <c r="O60" i="3"/>
  <c r="C121" i="9"/>
  <c r="I112" i="9"/>
  <c r="K18" i="3"/>
  <c r="O125" i="9"/>
  <c r="O276" i="9"/>
  <c r="L127" i="9"/>
  <c r="E251" i="9"/>
  <c r="E151" i="9"/>
  <c r="I24" i="9"/>
  <c r="E105" i="9"/>
  <c r="F85" i="9"/>
  <c r="K86" i="9"/>
  <c r="K62" i="9"/>
  <c r="N144" i="9"/>
  <c r="H179" i="9"/>
  <c r="E140" i="9"/>
  <c r="N235" i="9"/>
  <c r="H86" i="9"/>
  <c r="F185" i="9"/>
  <c r="I118" i="9"/>
  <c r="L187" i="9"/>
  <c r="N241" i="9"/>
  <c r="K139" i="9"/>
  <c r="E238" i="9"/>
  <c r="H274" i="9"/>
  <c r="L112" i="9"/>
  <c r="E73" i="9"/>
  <c r="K119" i="9"/>
  <c r="H50" i="9"/>
  <c r="F235" i="9"/>
  <c r="H201" i="9"/>
  <c r="O61" i="9"/>
  <c r="L223" i="9"/>
  <c r="F269" i="9"/>
  <c r="K19" i="5"/>
  <c r="G74" i="3"/>
  <c r="C177" i="9"/>
  <c r="L44" i="9"/>
  <c r="K229" i="9"/>
  <c r="E194" i="9"/>
  <c r="F241" i="9"/>
  <c r="E271" i="9"/>
  <c r="H75" i="9"/>
  <c r="K178" i="9"/>
  <c r="L278" i="9"/>
  <c r="I146" i="9"/>
  <c r="C229" i="9"/>
  <c r="F176" i="9"/>
  <c r="F229" i="9"/>
  <c r="C232" i="9"/>
  <c r="I254" i="9"/>
  <c r="L185" i="9"/>
  <c r="O137" i="9"/>
  <c r="H25" i="9"/>
  <c r="O103" i="9"/>
  <c r="E90" i="9"/>
  <c r="O58" i="3"/>
  <c r="F236" i="9"/>
  <c r="E37" i="9"/>
  <c r="N212" i="9"/>
  <c r="C101" i="9"/>
  <c r="E111" i="9"/>
  <c r="E218" i="9"/>
  <c r="N114" i="9"/>
  <c r="K236" i="9"/>
  <c r="E203" i="9"/>
  <c r="C24" i="9"/>
  <c r="N253" i="9"/>
  <c r="G61" i="3"/>
  <c r="I46" i="9"/>
  <c r="F194" i="9"/>
  <c r="N112" i="9"/>
  <c r="C110" i="9"/>
  <c r="I273" i="9"/>
  <c r="N126" i="9"/>
  <c r="E221" i="9"/>
  <c r="N63" i="9"/>
  <c r="L150" i="9"/>
  <c r="N79" i="9"/>
  <c r="O78" i="9"/>
  <c r="K21" i="5"/>
  <c r="N108" i="9"/>
  <c r="E157" i="9"/>
  <c r="L38" i="9"/>
  <c r="H77" i="9"/>
  <c r="H38" i="9"/>
  <c r="H217" i="9"/>
  <c r="C80" i="9"/>
  <c r="K42" i="3"/>
  <c r="C154" i="9"/>
  <c r="C140" i="9"/>
  <c r="E121" i="9"/>
  <c r="I67" i="9"/>
  <c r="I75" i="9"/>
  <c r="I142" i="9"/>
  <c r="K269" i="9"/>
  <c r="I73" i="9"/>
  <c r="E241" i="9"/>
  <c r="H278" i="9"/>
  <c r="K72" i="9"/>
  <c r="I115" i="9"/>
  <c r="C189" i="9"/>
  <c r="K46" i="3"/>
  <c r="K72" i="3"/>
  <c r="H224" i="9"/>
  <c r="O28" i="9"/>
  <c r="L175" i="9"/>
  <c r="H120" i="9"/>
  <c r="N179" i="9"/>
  <c r="K63" i="3"/>
  <c r="L78" i="9"/>
  <c r="L117" i="9"/>
  <c r="K110" i="9"/>
  <c r="C237" i="9"/>
  <c r="N152" i="9"/>
  <c r="F65" i="9"/>
  <c r="O72" i="3"/>
  <c r="H104" i="9"/>
  <c r="C35" i="9"/>
  <c r="N81" i="9"/>
  <c r="O39" i="3"/>
  <c r="F203" i="9"/>
  <c r="O76" i="9"/>
  <c r="F64" i="9"/>
  <c r="E26" i="9"/>
  <c r="F99" i="9"/>
  <c r="F180" i="9"/>
  <c r="C181" i="9"/>
  <c r="H238" i="9"/>
  <c r="C48" i="9"/>
  <c r="E45" i="9"/>
  <c r="L263" i="9"/>
  <c r="K7" i="3"/>
  <c r="O50" i="3"/>
  <c r="C148" i="9"/>
  <c r="O241" i="9"/>
  <c r="F111" i="9"/>
  <c r="I150" i="9"/>
  <c r="O35" i="3"/>
  <c r="E60" i="9"/>
  <c r="I149" i="9"/>
  <c r="K83" i="9"/>
  <c r="F220" i="9"/>
  <c r="L61" i="9"/>
  <c r="H239" i="9"/>
  <c r="L276" i="9"/>
  <c r="K278" i="9"/>
  <c r="K105" i="9"/>
  <c r="H65" i="9"/>
  <c r="K30" i="9"/>
  <c r="H174" i="9"/>
  <c r="F137" i="9"/>
  <c r="O36" i="3"/>
  <c r="K215" i="9"/>
  <c r="I228" i="9"/>
  <c r="I270" i="9"/>
  <c r="I34" i="9"/>
  <c r="K200" i="9"/>
  <c r="L144" i="9"/>
  <c r="L232" i="9"/>
  <c r="O260" i="9"/>
  <c r="G67" i="3"/>
  <c r="C77" i="9"/>
  <c r="N46" i="9"/>
  <c r="K230" i="9"/>
  <c r="N39" i="9"/>
  <c r="L151" i="9"/>
  <c r="O115" i="9"/>
  <c r="K10" i="5"/>
  <c r="E143" i="9"/>
  <c r="I36" i="9"/>
  <c r="N107" i="9"/>
  <c r="L264" i="9"/>
  <c r="K73" i="3"/>
  <c r="C239" i="9"/>
  <c r="F179" i="9"/>
  <c r="C61" i="9"/>
  <c r="K106" i="9"/>
  <c r="E104" i="9"/>
  <c r="I110" i="9"/>
  <c r="N161" i="9"/>
  <c r="E225" i="9"/>
  <c r="N163" i="9"/>
  <c r="E189" i="9"/>
  <c r="F161" i="9"/>
  <c r="N103" i="9"/>
  <c r="L153" i="9"/>
  <c r="C98" i="9"/>
  <c r="L258" i="9"/>
  <c r="K20" i="3"/>
  <c r="K186" i="9"/>
  <c r="K127" i="9"/>
  <c r="I234" i="9"/>
  <c r="C85" i="9"/>
  <c r="E274" i="9"/>
  <c r="C223" i="9"/>
  <c r="G75" i="3"/>
  <c r="F280" i="9"/>
  <c r="K45" i="9"/>
  <c r="F68" i="9"/>
  <c r="F86" i="9"/>
  <c r="O71" i="3"/>
  <c r="F125" i="9"/>
  <c r="H117" i="9"/>
  <c r="K70" i="9"/>
  <c r="E138" i="9"/>
  <c r="L27" i="9"/>
  <c r="L241" i="9"/>
  <c r="L154" i="9"/>
  <c r="I43" i="9"/>
  <c r="O32" i="3"/>
  <c r="N250" i="9"/>
  <c r="F124" i="9"/>
  <c r="K223" i="9"/>
  <c r="K118" i="9"/>
  <c r="H160" i="9"/>
  <c r="C157" i="9"/>
  <c r="O269" i="9"/>
  <c r="C224" i="9"/>
  <c r="O162" i="9"/>
  <c r="F198" i="9"/>
  <c r="N99" i="9"/>
  <c r="H22" i="9"/>
  <c r="C198" i="9"/>
  <c r="C144" i="9"/>
  <c r="L138" i="9"/>
  <c r="I212" i="9"/>
  <c r="L266" i="9"/>
  <c r="O25" i="9"/>
  <c r="E178" i="9"/>
  <c r="O107" i="9"/>
  <c r="C41" i="9"/>
  <c r="K275" i="9"/>
  <c r="O140" i="9"/>
  <c r="N78" i="9"/>
  <c r="I161" i="9"/>
  <c r="N122" i="9"/>
  <c r="H157" i="9"/>
  <c r="O198" i="9"/>
  <c r="L69" i="9"/>
  <c r="I87" i="9"/>
  <c r="O200" i="9"/>
  <c r="N202" i="9"/>
  <c r="H192" i="9"/>
  <c r="E233" i="9"/>
  <c r="I125" i="9"/>
  <c r="I153" i="9"/>
  <c r="E224" i="9"/>
  <c r="F100" i="9"/>
  <c r="I127" i="9"/>
  <c r="O274" i="9"/>
  <c r="H27" i="9"/>
  <c r="I271" i="9"/>
  <c r="L136" i="9"/>
  <c r="K111" i="9"/>
  <c r="L86" i="9"/>
  <c r="H232" i="9"/>
  <c r="O73" i="9"/>
  <c r="I219" i="9"/>
  <c r="C82" i="9"/>
  <c r="O238" i="9"/>
  <c r="H52" i="9"/>
  <c r="L218" i="9"/>
  <c r="L67" i="9"/>
  <c r="G43" i="3"/>
  <c r="I111" i="9"/>
  <c r="I221" i="9"/>
  <c r="E47" i="9"/>
  <c r="I278" i="9"/>
  <c r="C119" i="9"/>
  <c r="C90" i="9"/>
  <c r="K18" i="5"/>
  <c r="O158" i="9"/>
  <c r="C37" i="9"/>
  <c r="K49" i="3"/>
  <c r="K12" i="5"/>
  <c r="I268" i="9"/>
  <c r="N30" i="9"/>
  <c r="K19" i="3"/>
  <c r="E216" i="9"/>
  <c r="K20" i="5"/>
  <c r="O191" i="9"/>
  <c r="O79" i="9"/>
  <c r="C141" i="9"/>
  <c r="I47" i="9"/>
  <c r="F213" i="9"/>
  <c r="I48" i="9"/>
  <c r="K35" i="3"/>
  <c r="L77" i="9"/>
  <c r="E190" i="9"/>
  <c r="E161" i="9"/>
  <c r="E150" i="9"/>
  <c r="K50" i="9"/>
  <c r="N145" i="9"/>
  <c r="O43" i="3"/>
  <c r="K69" i="3"/>
  <c r="C31" i="9"/>
  <c r="O216" i="9"/>
  <c r="L39" i="9"/>
  <c r="E198" i="9"/>
  <c r="I82" i="9"/>
  <c r="L189" i="9"/>
  <c r="C87" i="9"/>
  <c r="I166" i="9"/>
  <c r="K70" i="3"/>
  <c r="N102" i="9"/>
  <c r="I185" i="9"/>
  <c r="O99" i="9"/>
  <c r="F122" i="9"/>
  <c r="K24" i="3"/>
  <c r="C222" i="9"/>
  <c r="N120" i="9"/>
  <c r="K75" i="9"/>
  <c r="H148" i="9"/>
  <c r="I138" i="9"/>
  <c r="L23" i="9"/>
  <c r="O86" i="9"/>
  <c r="F227" i="9"/>
  <c r="K136" i="9"/>
  <c r="N104" i="9"/>
  <c r="K202" i="9"/>
  <c r="H182" i="9"/>
  <c r="E146" i="9"/>
  <c r="O56" i="3"/>
  <c r="F175" i="9"/>
  <c r="F148" i="9"/>
  <c r="N182" i="9"/>
  <c r="O186" i="9"/>
  <c r="H40" i="9"/>
  <c r="E77" i="9"/>
  <c r="N28" i="9"/>
  <c r="I251" i="9"/>
  <c r="N193" i="9"/>
  <c r="F196" i="9"/>
  <c r="I227" i="9"/>
  <c r="C176" i="9"/>
  <c r="N236" i="9"/>
  <c r="H196" i="9"/>
  <c r="F154" i="9"/>
  <c r="N140" i="9"/>
  <c r="K147" i="9"/>
  <c r="K179" i="9"/>
  <c r="N219" i="9"/>
  <c r="F41" i="9"/>
  <c r="O271" i="9"/>
  <c r="C42" i="9"/>
  <c r="F48" i="9"/>
  <c r="N192" i="9"/>
  <c r="C199" i="9"/>
  <c r="O190" i="9"/>
  <c r="K37" i="9"/>
  <c r="H241" i="9"/>
  <c r="L191" i="9"/>
  <c r="L52" i="9"/>
  <c r="I276" i="9"/>
  <c r="E202" i="9"/>
  <c r="O277" i="9"/>
  <c r="C83" i="9"/>
  <c r="L114" i="9"/>
  <c r="K61" i="3"/>
  <c r="C40" i="9"/>
  <c r="C39" i="9"/>
  <c r="F216" i="9"/>
  <c r="K264" i="9"/>
  <c r="F128" i="9"/>
  <c r="O77" i="9"/>
  <c r="E118" i="9"/>
  <c r="O251" i="9"/>
  <c r="E51" i="9"/>
  <c r="F71" i="9"/>
  <c r="I250" i="9"/>
  <c r="E147" i="9"/>
  <c r="N70" i="9"/>
  <c r="C71" i="9"/>
  <c r="C51" i="9"/>
  <c r="O234" i="9"/>
  <c r="K51" i="9"/>
  <c r="G32" i="3"/>
  <c r="C151" i="9"/>
  <c r="O145" i="9"/>
  <c r="I217" i="9"/>
  <c r="O146" i="9"/>
  <c r="O126" i="9"/>
  <c r="E62" i="9"/>
  <c r="K6" i="5"/>
  <c r="H136" i="9"/>
  <c r="K60" i="3"/>
  <c r="O63" i="3"/>
  <c r="I178" i="9"/>
  <c r="K231" i="9"/>
  <c r="G69" i="3"/>
  <c r="F279" i="9"/>
  <c r="N85" i="9"/>
  <c r="N83" i="9"/>
  <c r="K37" i="3"/>
  <c r="K87" i="9"/>
  <c r="C258" i="9"/>
  <c r="O136" i="9"/>
  <c r="N164" i="9"/>
  <c r="G37" i="3"/>
  <c r="H276" i="9"/>
  <c r="I184" i="9"/>
  <c r="E142" i="9"/>
  <c r="C163" i="9"/>
  <c r="C202" i="9"/>
  <c r="K48" i="3"/>
  <c r="I80" i="9"/>
  <c r="H151" i="9"/>
  <c r="K256" i="9"/>
  <c r="L83" i="9"/>
  <c r="K28" i="9"/>
  <c r="K224" i="9"/>
  <c r="L257" i="9"/>
  <c r="I214" i="9"/>
  <c r="C276" i="9"/>
  <c r="O184" i="9"/>
  <c r="C81" i="9"/>
  <c r="H111" i="9"/>
  <c r="G46" i="3"/>
  <c r="K266" i="9"/>
  <c r="E220" i="9"/>
  <c r="L64" i="9"/>
  <c r="O48" i="3"/>
  <c r="N178" i="9"/>
  <c r="K201" i="9"/>
  <c r="H261" i="9"/>
  <c r="F145" i="9"/>
  <c r="K151" i="9"/>
  <c r="I224" i="9"/>
  <c r="F182" i="9"/>
  <c r="C230" i="9"/>
  <c r="L159" i="9"/>
  <c r="E100" i="9"/>
  <c r="N117" i="9"/>
  <c r="L202" i="9"/>
  <c r="H82" i="9"/>
  <c r="C162" i="9"/>
  <c r="H221" i="9"/>
  <c r="O44" i="3"/>
  <c r="F192" i="9"/>
  <c r="E153" i="9"/>
  <c r="H183" i="9"/>
  <c r="N273" i="9"/>
  <c r="F276" i="9"/>
  <c r="E215" i="9"/>
  <c r="O192" i="9"/>
  <c r="H180" i="9"/>
  <c r="N43" i="9"/>
  <c r="N68" i="9"/>
  <c r="N146" i="9"/>
  <c r="I193" i="9"/>
  <c r="H200" i="9"/>
  <c r="O202" i="9"/>
  <c r="E41" i="9"/>
  <c r="O252" i="9"/>
  <c r="C201" i="9"/>
  <c r="N174" i="9"/>
  <c r="L113" i="9"/>
  <c r="K77" i="9"/>
  <c r="C203" i="9"/>
  <c r="I196" i="9"/>
  <c r="I120" i="9"/>
  <c r="L80" i="9"/>
  <c r="C267" i="9"/>
  <c r="O98" i="9"/>
  <c r="C67" i="9"/>
  <c r="I61" i="9"/>
  <c r="H149" i="9"/>
  <c r="H30" i="9"/>
  <c r="N80" i="9"/>
  <c r="H113" i="9"/>
  <c r="H145" i="9"/>
  <c r="F223" i="9"/>
  <c r="O74" i="3"/>
  <c r="K145" i="9"/>
  <c r="N34" i="9"/>
  <c r="N62" i="9"/>
  <c r="N158" i="9"/>
  <c r="F120" i="9"/>
  <c r="N45" i="9"/>
  <c r="K25" i="9"/>
  <c r="L157" i="9"/>
  <c r="L253" i="9"/>
  <c r="I200" i="9"/>
  <c r="F47" i="9"/>
  <c r="K190" i="9"/>
  <c r="N142" i="9"/>
  <c r="F166" i="9"/>
  <c r="I116" i="9"/>
  <c r="N265" i="9"/>
  <c r="H263" i="9"/>
  <c r="F106" i="9"/>
  <c r="E82" i="9"/>
  <c r="E48" i="9"/>
  <c r="E139" i="9"/>
  <c r="G31" i="3"/>
  <c r="N227" i="9"/>
  <c r="F109" i="9"/>
  <c r="H275" i="9"/>
  <c r="F226" i="9"/>
  <c r="H269" i="9"/>
  <c r="K265" i="9"/>
  <c r="O165" i="9"/>
  <c r="K38" i="9"/>
  <c r="F139" i="9"/>
  <c r="K6" i="3"/>
  <c r="H70" i="9"/>
  <c r="O181" i="9"/>
  <c r="C280" i="9"/>
  <c r="E31" i="9"/>
  <c r="E65" i="9"/>
  <c r="N48" i="9"/>
  <c r="G39" i="3"/>
  <c r="O188" i="9"/>
  <c r="O272" i="9"/>
  <c r="K68" i="3"/>
  <c r="I280" i="9"/>
  <c r="F270" i="9"/>
  <c r="F103" i="9"/>
  <c r="N113" i="9"/>
  <c r="E68" i="9"/>
  <c r="K160" i="9"/>
  <c r="O122" i="9"/>
  <c r="N224" i="9"/>
  <c r="N263" i="9"/>
  <c r="O47" i="3"/>
  <c r="K120" i="9"/>
  <c r="E123" i="9"/>
  <c r="L89" i="9"/>
  <c r="G49" i="3"/>
  <c r="N195" i="9"/>
  <c r="O41" i="3"/>
  <c r="L162" i="9"/>
  <c r="L254" i="9"/>
  <c r="F260" i="9"/>
  <c r="N221" i="9"/>
  <c r="K252" i="9"/>
  <c r="O39" i="9"/>
  <c r="H153" i="9"/>
  <c r="O42" i="3"/>
  <c r="C159" i="9"/>
  <c r="L220" i="9"/>
  <c r="O256" i="9"/>
  <c r="G73" i="3"/>
  <c r="E212" i="9"/>
  <c r="E174" i="9"/>
  <c r="I164" i="9"/>
  <c r="K17" i="3"/>
  <c r="O24" i="9"/>
  <c r="H233" i="9"/>
  <c r="O63" i="9"/>
  <c r="K13" i="3"/>
  <c r="H231" i="9"/>
  <c r="O34" i="9"/>
  <c r="G35" i="3"/>
  <c r="K117" i="9"/>
  <c r="E191" i="9"/>
  <c r="I257" i="9"/>
  <c r="H83" i="9"/>
  <c r="K113" i="9"/>
  <c r="F87" i="9"/>
  <c r="K165" i="9"/>
  <c r="L31" i="9"/>
  <c r="H39" i="9"/>
  <c r="H218" i="9"/>
  <c r="I165" i="9"/>
  <c r="L43" i="9"/>
  <c r="I124" i="9"/>
  <c r="H142" i="9"/>
  <c r="C117" i="9"/>
  <c r="O123" i="9"/>
  <c r="N217" i="9"/>
  <c r="K137" i="9"/>
  <c r="E180" i="9"/>
  <c r="L200" i="9"/>
  <c r="F157" i="9"/>
  <c r="K192" i="9"/>
  <c r="C47" i="9"/>
  <c r="K16" i="5"/>
  <c r="C89" i="9"/>
  <c r="H122" i="9"/>
  <c r="K182" i="9"/>
  <c r="H156" i="9"/>
  <c r="K14" i="5"/>
  <c r="E83" i="9"/>
  <c r="K12" i="3"/>
  <c r="K153" i="9"/>
  <c r="I63" i="9"/>
  <c r="O138" i="9"/>
  <c r="F66" i="9"/>
  <c r="E27" i="9"/>
  <c r="N33" i="9"/>
  <c r="H229" i="9"/>
  <c r="E28" i="9"/>
  <c r="K79" i="9"/>
  <c r="F262" i="9"/>
  <c r="O229" i="9"/>
  <c r="N64" i="9"/>
  <c r="O67" i="9"/>
  <c r="I256" i="9"/>
  <c r="H256" i="9"/>
  <c r="F197" i="9"/>
  <c r="H90" i="9"/>
  <c r="E232" i="9"/>
  <c r="O196" i="9"/>
  <c r="H227" i="9"/>
  <c r="H204" i="9"/>
  <c r="E44" i="9"/>
  <c r="C69" i="9"/>
  <c r="E160" i="9"/>
  <c r="K196" i="9"/>
  <c r="K90" i="9"/>
  <c r="C78" i="9"/>
  <c r="K144" i="9"/>
  <c r="E124" i="9"/>
  <c r="K242" i="9"/>
  <c r="L73" i="9"/>
  <c r="O182" i="9"/>
  <c r="K126" i="9"/>
  <c r="E199" i="9"/>
  <c r="I117" i="9"/>
  <c r="K34" i="9"/>
  <c r="L216" i="9"/>
  <c r="G64" i="3"/>
  <c r="K41" i="9"/>
  <c r="C120" i="9"/>
  <c r="C68" i="9"/>
  <c r="E181" i="9"/>
  <c r="F199" i="9"/>
  <c r="H164" i="9"/>
  <c r="F75" i="9"/>
  <c r="E87" i="9"/>
  <c r="E155" i="9"/>
  <c r="O22" i="9"/>
  <c r="I39" i="9"/>
  <c r="C279" i="9"/>
  <c r="N73" i="9"/>
  <c r="F35" i="9"/>
  <c r="L238" i="9"/>
  <c r="O189" i="9"/>
  <c r="H194" i="9"/>
  <c r="H84" i="9"/>
  <c r="L214" i="9"/>
  <c r="N190" i="9"/>
  <c r="N61" i="9"/>
  <c r="I49" i="9"/>
  <c r="K31" i="9"/>
  <c r="H29" i="9"/>
  <c r="H219" i="9"/>
  <c r="O224" i="9"/>
  <c r="N225" i="9"/>
  <c r="E234" i="9"/>
  <c r="N51" i="9"/>
  <c r="K143" i="9"/>
  <c r="F84" i="9"/>
  <c r="L122" i="9"/>
  <c r="F184" i="9"/>
  <c r="O23" i="9"/>
  <c r="F50" i="9"/>
  <c r="L109" i="9"/>
  <c r="F187" i="9"/>
  <c r="O278" i="9"/>
  <c r="K102" i="9"/>
  <c r="O204" i="9"/>
  <c r="K216" i="9"/>
  <c r="I182" i="9"/>
  <c r="K258" i="9"/>
  <c r="F108" i="9"/>
  <c r="L70" i="9"/>
  <c r="N44" i="9"/>
  <c r="K15" i="3"/>
  <c r="C50" i="9"/>
  <c r="F252" i="9"/>
  <c r="K84" i="9"/>
  <c r="K268" i="9"/>
  <c r="K112" i="9"/>
  <c r="C103" i="9"/>
  <c r="F239" i="9"/>
  <c r="N121" i="9"/>
  <c r="H23" i="9"/>
  <c r="F136" i="9"/>
  <c r="I140" i="9"/>
  <c r="H253" i="9"/>
  <c r="H47" i="9"/>
  <c r="F67" i="9"/>
  <c r="C25" i="9"/>
  <c r="I264" i="9"/>
  <c r="O199" i="9"/>
  <c r="K123" i="9"/>
  <c r="O183" i="9"/>
  <c r="N216" i="9"/>
  <c r="N86" i="9"/>
  <c r="N100" i="9"/>
  <c r="E152" i="9"/>
  <c r="F78" i="9"/>
  <c r="K67" i="3"/>
  <c r="H146" i="9"/>
  <c r="L201" i="9"/>
  <c r="C139" i="9"/>
  <c r="F115" i="9"/>
  <c r="K195" i="9"/>
  <c r="I154" i="9"/>
  <c r="O70" i="3"/>
  <c r="K176" i="9"/>
  <c r="N257" i="9"/>
  <c r="H106" i="9"/>
  <c r="L111" i="9"/>
  <c r="L47" i="9"/>
  <c r="O257" i="9"/>
  <c r="N232" i="9"/>
  <c r="L33" i="9"/>
  <c r="O113" i="9"/>
  <c r="F201" i="9"/>
  <c r="C215" i="9"/>
  <c r="C260" i="9"/>
  <c r="H139" i="9"/>
  <c r="L36" i="9"/>
  <c r="K222" i="9"/>
  <c r="N60" i="9"/>
  <c r="E270" i="9"/>
  <c r="C271" i="9"/>
  <c r="F259" i="9"/>
  <c r="I188" i="9"/>
  <c r="K272" i="9"/>
  <c r="K99" i="9"/>
  <c r="L234" i="9"/>
  <c r="K233" i="9"/>
  <c r="F174" i="9"/>
  <c r="N177" i="9"/>
  <c r="I51" i="9"/>
  <c r="C32" i="9"/>
  <c r="N200" i="9"/>
  <c r="H118" i="9"/>
  <c r="C253" i="9"/>
  <c r="F228" i="9"/>
  <c r="C275" i="9"/>
  <c r="E38" i="9"/>
  <c r="G34" i="3"/>
  <c r="O240" i="9"/>
  <c r="C277" i="9"/>
  <c r="E40" i="9"/>
  <c r="K8" i="5"/>
  <c r="O242" i="9"/>
  <c r="N187" i="9"/>
  <c r="K38" i="3"/>
  <c r="K81" i="9"/>
  <c r="C195" i="9"/>
  <c r="L177" i="9"/>
  <c r="O258" i="9"/>
  <c r="E188" i="9"/>
  <c r="I201" i="9"/>
  <c r="O48" i="9"/>
  <c r="O164" i="9"/>
  <c r="F146" i="9"/>
  <c r="E29" i="9"/>
  <c r="K149" i="9"/>
  <c r="L178" i="9"/>
  <c r="L141" i="9"/>
  <c r="E98" i="9"/>
  <c r="L269" i="9"/>
  <c r="E226" i="9"/>
  <c r="H119" i="9"/>
  <c r="H123" i="9"/>
  <c r="L115" i="9"/>
  <c r="N176" i="9"/>
  <c r="K14" i="3"/>
  <c r="N268" i="9"/>
  <c r="I30" i="9"/>
  <c r="K159" i="9"/>
  <c r="F215" i="9"/>
  <c r="C263" i="9"/>
  <c r="L195" i="9"/>
  <c r="H191" i="9"/>
  <c r="O197" i="9"/>
  <c r="N50" i="9"/>
  <c r="N218" i="9"/>
  <c r="K267" i="9"/>
  <c r="N220" i="9"/>
  <c r="F190" i="9"/>
  <c r="O89" i="9"/>
  <c r="N198" i="9"/>
  <c r="L145" i="9"/>
  <c r="N149" i="9"/>
  <c r="O61" i="3"/>
  <c r="F183" i="9"/>
  <c r="H213" i="9"/>
  <c r="I52" i="9"/>
  <c r="I202" i="9"/>
  <c r="K45" i="3"/>
  <c r="I242" i="9"/>
  <c r="F28" i="9"/>
  <c r="I50" i="9"/>
  <c r="K271" i="9"/>
  <c r="N90" i="9"/>
  <c r="H212" i="9"/>
  <c r="N184" i="9"/>
  <c r="O141" i="9"/>
  <c r="C125" i="9"/>
  <c r="N74" i="9"/>
  <c r="N181" i="9"/>
  <c r="O32" i="9"/>
  <c r="H198" i="9"/>
  <c r="K148" i="9"/>
  <c r="K11" i="3"/>
  <c r="N98" i="9"/>
  <c r="H271" i="9"/>
  <c r="E213" i="9"/>
  <c r="H195" i="9"/>
  <c r="L147" i="9"/>
  <c r="O239" i="9"/>
  <c r="I37" i="9"/>
  <c r="K23" i="9"/>
  <c r="F224" i="9"/>
  <c r="N254" i="9"/>
  <c r="I145" i="9"/>
  <c r="L261" i="9"/>
  <c r="C66" i="9"/>
  <c r="I195" i="9"/>
  <c r="H78" i="9"/>
  <c r="N215" i="9"/>
  <c r="K35" i="9"/>
  <c r="F39" i="9"/>
  <c r="E266" i="9"/>
  <c r="H105" i="9"/>
  <c r="C73" i="9"/>
  <c r="O38" i="3"/>
  <c r="N49" i="9"/>
  <c r="N35" i="9"/>
  <c r="I83" i="9"/>
  <c r="K204" i="9"/>
  <c r="K7" i="5"/>
  <c r="L46" i="9"/>
  <c r="C62" i="9"/>
  <c r="C44" i="9"/>
  <c r="K226" i="9"/>
  <c r="I104" i="9"/>
  <c r="F267" i="9"/>
  <c r="K9" i="3"/>
  <c r="C122" i="9"/>
  <c r="E279" i="9"/>
  <c r="O275" i="9"/>
  <c r="I275" i="9"/>
  <c r="H43" i="9"/>
  <c r="I230" i="9"/>
  <c r="F80" i="9"/>
  <c r="H108" i="9"/>
  <c r="I32" i="9"/>
  <c r="O59" i="3"/>
  <c r="O236" i="9"/>
  <c r="N128" i="9"/>
  <c r="F107" i="9"/>
  <c r="E71" i="9"/>
  <c r="K280" i="9"/>
  <c r="N153" i="9"/>
  <c r="O33" i="9"/>
  <c r="L260" i="9"/>
  <c r="G33" i="3"/>
  <c r="C147" i="9"/>
  <c r="C226" i="9"/>
  <c r="I109" i="9"/>
  <c r="K122" i="9"/>
  <c r="N110" i="9"/>
  <c r="E269" i="9"/>
  <c r="C182" i="9"/>
  <c r="L148" i="9"/>
  <c r="O253" i="9"/>
  <c r="E193" i="9"/>
  <c r="C123" i="9"/>
  <c r="L280" i="9"/>
  <c r="K57" i="3"/>
  <c r="N180" i="9"/>
  <c r="I159" i="9"/>
  <c r="F31" i="9"/>
  <c r="H100" i="9"/>
  <c r="K220" i="9"/>
  <c r="L29" i="9"/>
  <c r="I197" i="9"/>
  <c r="N166" i="9"/>
  <c r="O66" i="3"/>
  <c r="C194" i="9"/>
  <c r="F225" i="9"/>
  <c r="E85" i="9"/>
  <c r="I103" i="9"/>
  <c r="I198" i="9"/>
  <c r="C250" i="9"/>
  <c r="K33" i="3"/>
  <c r="F113" i="9"/>
  <c r="K58" i="3"/>
  <c r="E231" i="9"/>
  <c r="O65" i="3"/>
  <c r="K263" i="9"/>
  <c r="C75" i="9"/>
  <c r="L62" i="9"/>
  <c r="C34" i="9"/>
  <c r="O26" i="9"/>
  <c r="O114" i="9"/>
  <c r="O194" i="9"/>
  <c r="H61" i="9"/>
  <c r="I152" i="9"/>
  <c r="O124" i="9"/>
  <c r="N230" i="9"/>
  <c r="C228" i="9"/>
  <c r="K65" i="9"/>
  <c r="N89" i="9"/>
  <c r="N75" i="9"/>
  <c r="E183" i="9"/>
  <c r="H66" i="9"/>
  <c r="E75" i="9"/>
  <c r="F49" i="9"/>
  <c r="L193" i="9"/>
  <c r="K188" i="9"/>
  <c r="L155" i="9"/>
  <c r="F116" i="9"/>
  <c r="C262" i="9"/>
  <c r="O43" i="9"/>
  <c r="K36" i="9"/>
  <c r="I38" i="9"/>
  <c r="K259" i="9"/>
  <c r="O51" i="9"/>
  <c r="H163" i="9"/>
  <c r="H89" i="9"/>
  <c r="F162" i="9"/>
  <c r="C254" i="9"/>
  <c r="K64" i="9"/>
  <c r="E64" i="9"/>
  <c r="F265" i="9"/>
  <c r="O227" i="9"/>
  <c r="K31" i="3"/>
  <c r="I64" i="9"/>
  <c r="K214" i="9"/>
  <c r="H107" i="9"/>
  <c r="H114" i="9"/>
  <c r="H193" i="9"/>
  <c r="I101" i="9"/>
  <c r="O127" i="9"/>
  <c r="K23" i="3"/>
  <c r="E99" i="9"/>
  <c r="F263" i="9"/>
  <c r="F105" i="9"/>
  <c r="F25" i="9"/>
  <c r="E200" i="9"/>
  <c r="O163" i="9"/>
  <c r="K237" i="9"/>
  <c r="G42" i="3"/>
  <c r="G70" i="3"/>
  <c r="O31" i="3"/>
  <c r="L158" i="9"/>
  <c r="I107" i="9"/>
  <c r="F214" i="9"/>
  <c r="K124" i="9"/>
  <c r="C116" i="9"/>
  <c r="N156" i="9"/>
  <c r="G45" i="3"/>
  <c r="L45" i="9"/>
  <c r="N278" i="9"/>
  <c r="G38" i="3"/>
  <c r="E43" i="9"/>
  <c r="I60" i="9"/>
  <c r="L174" i="9"/>
  <c r="C106" i="9"/>
  <c r="E201" i="9"/>
  <c r="O60" i="9"/>
  <c r="K270" i="9"/>
  <c r="L219" i="9"/>
  <c r="H60" i="9"/>
  <c r="C109" i="9"/>
  <c r="N237" i="9"/>
  <c r="K228" i="9"/>
  <c r="F188" i="9"/>
  <c r="O83" i="9"/>
  <c r="H262" i="9"/>
  <c r="E280" i="9"/>
  <c r="C142" i="9"/>
  <c r="F200" i="9"/>
  <c r="I272" i="9"/>
  <c r="N47" i="9"/>
  <c r="H32" i="9"/>
  <c r="F238" i="9"/>
  <c r="H186" i="9"/>
  <c r="F69" i="9"/>
  <c r="H72" i="9"/>
  <c r="F257" i="9"/>
  <c r="O175" i="9"/>
  <c r="H155" i="9"/>
  <c r="E175" i="9"/>
  <c r="H228" i="9"/>
  <c r="C174" i="9"/>
  <c r="F24" i="9"/>
  <c r="E166" i="9"/>
  <c r="I123" i="9"/>
  <c r="I233" i="9"/>
  <c r="I66" i="9"/>
  <c r="O250" i="9"/>
  <c r="H79" i="9"/>
  <c r="C252" i="9"/>
  <c r="C187" i="9"/>
  <c r="N261" i="9"/>
  <c r="O40" i="3"/>
  <c r="L192" i="9"/>
  <c r="N183" i="9"/>
  <c r="H259" i="9"/>
  <c r="E42" i="9"/>
  <c r="L275" i="9"/>
  <c r="L242" i="9"/>
  <c r="F46" i="9"/>
  <c r="O149" i="9"/>
  <c r="I240" i="9"/>
  <c r="N77" i="9"/>
  <c r="E196" i="9"/>
  <c r="H109" i="9"/>
  <c r="F240" i="9"/>
  <c r="K251" i="9"/>
  <c r="O68" i="9"/>
  <c r="K47" i="9"/>
  <c r="H154" i="9"/>
  <c r="E272" i="9"/>
  <c r="H88" i="9"/>
  <c r="I33" i="9"/>
  <c r="H34" i="9"/>
  <c r="I44" i="9"/>
  <c r="H41" i="9"/>
  <c r="O72" i="9"/>
  <c r="C112" i="9"/>
  <c r="I35" i="9"/>
  <c r="L265" i="9"/>
  <c r="H150" i="9"/>
  <c r="F155" i="9"/>
  <c r="F90" i="9"/>
  <c r="E137" i="9"/>
  <c r="O120" i="9"/>
  <c r="K25" i="3"/>
  <c r="C143" i="9"/>
  <c r="F149" i="9"/>
  <c r="E277" i="9"/>
  <c r="O152" i="9"/>
  <c r="H255" i="9"/>
  <c r="L237" i="9"/>
  <c r="I215" i="9"/>
  <c r="F147" i="9"/>
  <c r="I98" i="9"/>
  <c r="O36" i="9"/>
  <c r="L229" i="9"/>
  <c r="K42" i="9"/>
  <c r="K24" i="9"/>
  <c r="C124" i="9"/>
  <c r="C180" i="9"/>
  <c r="L143" i="9"/>
  <c r="K41" i="3"/>
  <c r="I176" i="9"/>
  <c r="O31" i="9"/>
  <c r="K88" i="9"/>
  <c r="K174" i="9"/>
  <c r="C70" i="9"/>
  <c r="K219" i="9"/>
  <c r="C150" i="9"/>
  <c r="C102" i="9"/>
  <c r="I157" i="9"/>
  <c r="L183" i="9"/>
  <c r="E61" i="9"/>
  <c r="F101" i="9"/>
  <c r="O52" i="9"/>
  <c r="H240" i="9"/>
  <c r="K140" i="9"/>
  <c r="C197" i="9"/>
  <c r="K67" i="9"/>
  <c r="N137" i="9"/>
  <c r="C128" i="9"/>
  <c r="L66" i="9"/>
  <c r="L88" i="9"/>
  <c r="O65" i="9"/>
  <c r="C196" i="9"/>
  <c r="N22" i="9"/>
  <c r="F177" i="9"/>
  <c r="I128" i="9"/>
  <c r="I139" i="9"/>
  <c r="E184" i="9"/>
  <c r="N280" i="9"/>
  <c r="G66" i="3"/>
  <c r="K43" i="3"/>
  <c r="L128" i="9"/>
  <c r="E217" i="9"/>
  <c r="E242" i="9"/>
  <c r="I162" i="9"/>
  <c r="E72" i="9"/>
  <c r="C118" i="9"/>
  <c r="K235" i="9"/>
  <c r="L176" i="9"/>
  <c r="L79" i="9"/>
  <c r="K241" i="9"/>
  <c r="C29" i="9"/>
  <c r="O151" i="9"/>
  <c r="K74" i="3"/>
  <c r="O85" i="9"/>
  <c r="F140" i="9"/>
  <c r="N29" i="9"/>
  <c r="K138" i="9"/>
  <c r="C241" i="9"/>
  <c r="F230" i="9"/>
  <c r="O255" i="9"/>
  <c r="N101" i="9"/>
  <c r="E24" i="9"/>
  <c r="K238" i="9"/>
  <c r="F102" i="9"/>
  <c r="N175" i="9"/>
  <c r="L100" i="9"/>
  <c r="K141" i="9"/>
  <c r="L65" i="9"/>
  <c r="O42" i="9"/>
  <c r="K157" i="9"/>
  <c r="O81" i="9"/>
  <c r="K98" i="9"/>
  <c r="O218" i="9"/>
  <c r="E229" i="9"/>
  <c r="O217" i="9"/>
  <c r="C270" i="9"/>
  <c r="I192" i="9"/>
  <c r="L102" i="9"/>
  <c r="H252" i="9"/>
  <c r="L82" i="9"/>
  <c r="N36" i="9"/>
  <c r="I22" i="9"/>
  <c r="I223" i="9"/>
  <c r="N264" i="9"/>
  <c r="H265" i="9"/>
  <c r="O144" i="9"/>
  <c r="H222" i="9"/>
  <c r="F34" i="9"/>
  <c r="E176" i="9"/>
  <c r="C264" i="9"/>
  <c r="L221" i="9"/>
  <c r="L250" i="9"/>
  <c r="H158" i="9"/>
  <c r="C155" i="9"/>
  <c r="H101" i="9"/>
  <c r="O214" i="9"/>
  <c r="N157" i="9"/>
  <c r="N279" i="9"/>
  <c r="O49" i="9"/>
  <c r="L140" i="9"/>
  <c r="E250" i="9"/>
  <c r="E158" i="9"/>
  <c r="H279" i="9"/>
  <c r="O45" i="3"/>
  <c r="K44" i="9"/>
  <c r="O105" i="9"/>
  <c r="E125" i="9"/>
  <c r="L40" i="9"/>
  <c r="L228" i="9"/>
  <c r="H143" i="9"/>
  <c r="L197" i="9"/>
  <c r="L274" i="9"/>
  <c r="H159" i="9"/>
  <c r="F273" i="9"/>
  <c r="I222" i="9"/>
  <c r="K69" i="9"/>
  <c r="N127" i="9"/>
  <c r="O139" i="9"/>
  <c r="I119" i="9"/>
  <c r="C126" i="9"/>
  <c r="N189" i="9"/>
  <c r="C256" i="9"/>
  <c r="L119" i="9"/>
  <c r="K40" i="9"/>
  <c r="O90" i="9"/>
  <c r="C213" i="9"/>
  <c r="L32" i="9"/>
  <c r="L87" i="9"/>
  <c r="L24" i="9"/>
  <c r="C273" i="9"/>
  <c r="H138" i="9"/>
  <c r="K185" i="9"/>
  <c r="C192" i="9"/>
  <c r="K26" i="9"/>
  <c r="C146" i="9"/>
  <c r="I189" i="9"/>
  <c r="O187" i="9"/>
  <c r="I23" i="9"/>
  <c r="H176" i="9"/>
  <c r="K257" i="9"/>
  <c r="C221" i="9"/>
  <c r="E106" i="9"/>
  <c r="L105" i="9"/>
  <c r="H258" i="9"/>
  <c r="F142" i="9"/>
  <c r="I183" i="9"/>
  <c r="E235" i="9"/>
  <c r="C36" i="9"/>
  <c r="N42" i="9"/>
  <c r="F32" i="9"/>
  <c r="O230" i="9"/>
  <c r="F63" i="9"/>
  <c r="H99" i="9"/>
  <c r="H46" i="9"/>
  <c r="F275" i="9"/>
  <c r="H125" i="9"/>
  <c r="O178" i="9"/>
  <c r="K260" i="9"/>
  <c r="O64" i="3"/>
  <c r="N82" i="9"/>
  <c r="O112" i="9"/>
  <c r="K9" i="5"/>
  <c r="O280" i="9"/>
  <c r="I42" i="9"/>
  <c r="E136" i="9"/>
  <c r="F73" i="9"/>
  <c r="N26" i="9"/>
  <c r="L235" i="9"/>
  <c r="N238" i="9"/>
  <c r="I88" i="9"/>
  <c r="O160" i="9"/>
  <c r="F60" i="9"/>
  <c r="I180" i="9"/>
  <c r="L106" i="9"/>
  <c r="K52" i="9"/>
  <c r="O219" i="9"/>
  <c r="C257" i="9"/>
  <c r="F242" i="9"/>
  <c r="C161" i="9"/>
  <c r="L103" i="9"/>
  <c r="F222" i="9"/>
  <c r="H236" i="9"/>
  <c r="E67" i="9"/>
  <c r="F258" i="9"/>
  <c r="N65" i="9"/>
  <c r="L222" i="9"/>
  <c r="L181" i="9"/>
  <c r="H98" i="9"/>
  <c r="K250" i="9"/>
  <c r="L186" i="9"/>
  <c r="C79" i="9"/>
  <c r="K74" i="9"/>
  <c r="C104" i="9"/>
  <c r="O153" i="9"/>
  <c r="F61" i="9"/>
  <c r="I252" i="9"/>
  <c r="C88" i="9"/>
  <c r="L51" i="9"/>
  <c r="K262" i="9"/>
  <c r="O102" i="9"/>
  <c r="O161" i="9"/>
  <c r="L146" i="9"/>
  <c r="I194" i="9"/>
  <c r="N155" i="9"/>
  <c r="C242" i="9"/>
  <c r="O220" i="9"/>
  <c r="L161" i="9"/>
  <c r="K56" i="3"/>
  <c r="O84" i="9"/>
  <c r="O185" i="9"/>
  <c r="L182" i="9"/>
  <c r="N251" i="9"/>
  <c r="I99" i="9"/>
  <c r="K68" i="9"/>
  <c r="E89" i="9"/>
  <c r="F178" i="9"/>
  <c r="N185" i="9"/>
  <c r="F138" i="9"/>
  <c r="O44" i="9"/>
  <c r="I226" i="9"/>
  <c r="I232" i="9"/>
  <c r="N269" i="9"/>
  <c r="H185" i="9"/>
  <c r="N271" i="9"/>
  <c r="K66" i="3"/>
  <c r="C218" i="9"/>
  <c r="K71" i="3"/>
  <c r="C204" i="9"/>
  <c r="O33" i="3"/>
  <c r="I62" i="9"/>
  <c r="I274" i="9"/>
  <c r="K49" i="9"/>
  <c r="F151" i="9"/>
  <c r="O128" i="9"/>
  <c r="N124" i="9"/>
  <c r="K107" i="9"/>
  <c r="E223" i="9"/>
  <c r="H24" i="9"/>
  <c r="E258" i="9"/>
  <c r="L259" i="9"/>
  <c r="I253" i="9"/>
  <c r="E112" i="9"/>
  <c r="C127" i="9"/>
  <c r="O108" i="9"/>
  <c r="H175" i="9"/>
  <c r="O118" i="9"/>
  <c r="K13" i="5"/>
  <c r="F88" i="9"/>
  <c r="O74" i="9"/>
  <c r="H199" i="9"/>
  <c r="E116" i="9"/>
  <c r="O73" i="3"/>
  <c r="K225" i="9"/>
  <c r="N276" i="9"/>
  <c r="H178" i="9"/>
  <c r="F62" i="9"/>
  <c r="I258" i="9"/>
  <c r="H116" i="9"/>
  <c r="L110" i="9"/>
  <c r="L160" i="9"/>
  <c r="F272" i="9"/>
  <c r="F165" i="9"/>
  <c r="E179" i="9"/>
  <c r="N136" i="9"/>
  <c r="E182" i="9"/>
  <c r="H165" i="9"/>
  <c r="N147" i="9"/>
  <c r="K62" i="3"/>
  <c r="C113" i="9"/>
  <c r="N24" i="9"/>
  <c r="E268" i="9"/>
  <c r="I74" i="9"/>
  <c r="N25" i="9"/>
  <c r="F33" i="9"/>
  <c r="O268" i="9"/>
  <c r="O35" i="9"/>
  <c r="L60" i="9"/>
  <c r="F29" i="9"/>
  <c r="O226" i="9"/>
  <c r="F43" i="9"/>
  <c r="K232" i="9"/>
  <c r="I156" i="9"/>
  <c r="O82" i="9"/>
  <c r="N118" i="9"/>
  <c r="I199" i="9"/>
  <c r="O119" i="9"/>
  <c r="C233" i="9"/>
  <c r="H33" i="9"/>
  <c r="O64" i="9"/>
  <c r="K80" i="9"/>
  <c r="I72" i="9"/>
  <c r="E108" i="9"/>
  <c r="N213" i="9"/>
  <c r="F89" i="9"/>
  <c r="H87" i="9"/>
  <c r="K164" i="9"/>
  <c r="G40" i="3"/>
  <c r="I216" i="9"/>
  <c r="E253" i="9"/>
  <c r="F274" i="9"/>
  <c r="F143" i="9"/>
  <c r="L42" i="9"/>
  <c r="O69" i="3"/>
  <c r="H203" i="9"/>
  <c r="E120" i="9"/>
  <c r="F152" i="9"/>
  <c r="E219" i="9"/>
  <c r="I147" i="9"/>
  <c r="C166" i="9"/>
  <c r="E192" i="9"/>
  <c r="C152" i="9"/>
  <c r="E114" i="9"/>
  <c r="O263" i="9"/>
  <c r="K59" i="3"/>
  <c r="E163" i="9"/>
  <c r="H254" i="9"/>
  <c r="O222" i="9"/>
  <c r="K197" i="9"/>
  <c r="H147" i="9"/>
  <c r="H161" i="9"/>
  <c r="C278" i="9"/>
  <c r="L74" i="9"/>
  <c r="L165" i="9"/>
  <c r="H225" i="9"/>
  <c r="I114" i="9"/>
  <c r="L180" i="9"/>
  <c r="K239" i="9"/>
  <c r="K150" i="9"/>
  <c r="O62" i="9"/>
  <c r="K191" i="9"/>
  <c r="H273" i="9"/>
  <c r="O156" i="9"/>
  <c r="L230" i="9"/>
  <c r="L225" i="9"/>
  <c r="N226" i="9"/>
  <c r="K63" i="9"/>
  <c r="H28" i="9"/>
  <c r="F23" i="9"/>
  <c r="O40" i="9"/>
  <c r="I277" i="9"/>
  <c r="L149" i="9"/>
  <c r="L271" i="9"/>
  <c r="C45" i="9"/>
  <c r="C231" i="9"/>
  <c r="F104" i="9"/>
  <c r="N223" i="9"/>
  <c r="F76" i="9"/>
  <c r="O213" i="9"/>
  <c r="C137" i="9"/>
  <c r="I213" i="9"/>
  <c r="E128" i="9"/>
  <c r="N148" i="9"/>
  <c r="E102" i="9"/>
  <c r="L262" i="9"/>
  <c r="L50" i="9"/>
  <c r="E101" i="9"/>
  <c r="I204" i="9"/>
  <c r="F271" i="9"/>
  <c r="I148" i="9"/>
  <c r="H37" i="9"/>
  <c r="F231" i="9"/>
  <c r="I85" i="9"/>
  <c r="L226" i="9"/>
  <c r="K64" i="3"/>
  <c r="N191" i="9"/>
  <c r="E255" i="9"/>
  <c r="O266" i="9"/>
  <c r="N272" i="9"/>
  <c r="C156" i="9"/>
  <c r="L156" i="9"/>
  <c r="G58" i="3"/>
  <c r="N41" i="9"/>
  <c r="I121" i="9"/>
  <c r="O121" i="9"/>
  <c r="K47" i="3"/>
  <c r="F127" i="9"/>
  <c r="L85" i="9"/>
  <c r="F218" i="9"/>
  <c r="N40" i="9"/>
  <c r="O80" i="9"/>
  <c r="I163" i="9"/>
  <c r="F163" i="9"/>
  <c r="I259" i="9"/>
  <c r="E276" i="9"/>
  <c r="O41" i="9"/>
  <c r="E126" i="9"/>
  <c r="L116" i="9"/>
  <c r="C43" i="9"/>
  <c r="F233" i="9"/>
  <c r="L233" i="9"/>
  <c r="L75" i="9"/>
  <c r="L203" i="9"/>
  <c r="L188" i="9"/>
  <c r="F126" i="9"/>
  <c r="G50" i="3"/>
  <c r="C265" i="9"/>
  <c r="K48" i="9"/>
  <c r="E52" i="9"/>
  <c r="L256" i="9"/>
  <c r="H63" i="9"/>
  <c r="C63" i="9"/>
  <c r="C193" i="9"/>
  <c r="L124" i="9"/>
  <c r="L90" i="9"/>
  <c r="N242" i="9"/>
  <c r="O225" i="9"/>
  <c r="C99" i="9"/>
  <c r="H26" i="9"/>
  <c r="E107" i="9"/>
  <c r="F81" i="9"/>
  <c r="E81" i="9"/>
  <c r="K184" i="9"/>
  <c r="N32" i="9"/>
  <c r="C76" i="9"/>
  <c r="F159" i="9"/>
  <c r="G59" i="3"/>
  <c r="L224" i="9"/>
  <c r="O157" i="9"/>
  <c r="H81" i="9"/>
  <c r="I255" i="9"/>
  <c r="H214" i="9"/>
  <c r="K163" i="9"/>
  <c r="H250" i="9"/>
  <c r="F141" i="9"/>
  <c r="L277" i="9"/>
  <c r="C105" i="9"/>
  <c r="O270" i="9"/>
  <c r="H216" i="9"/>
  <c r="H127" i="9"/>
  <c r="N88" i="9"/>
  <c r="E119" i="9"/>
  <c r="F221" i="9"/>
  <c r="O155" i="9"/>
  <c r="E36" i="9"/>
  <c r="C212" i="9"/>
  <c r="H64" i="9"/>
  <c r="N72" i="9"/>
  <c r="L163" i="9"/>
  <c r="K66" i="9"/>
  <c r="N27" i="9"/>
  <c r="G56" i="3"/>
  <c r="I238" i="9"/>
  <c r="F72" i="9"/>
  <c r="N116" i="9"/>
  <c r="K240" i="9"/>
  <c r="E86" i="9"/>
  <c r="I175" i="9"/>
  <c r="I265" i="9"/>
  <c r="E273" i="9"/>
  <c r="H264" i="9"/>
  <c r="C183" i="9"/>
  <c r="E127" i="9"/>
  <c r="O264" i="9"/>
  <c r="K253" i="9"/>
  <c r="C186" i="9"/>
  <c r="N67" i="9"/>
  <c r="H202" i="9"/>
  <c r="K21" i="3"/>
  <c r="I179" i="9"/>
  <c r="N111" i="9"/>
  <c r="O67" i="3"/>
  <c r="H71" i="9"/>
  <c r="N240" i="9"/>
  <c r="N258" i="9"/>
  <c r="C46" i="9"/>
  <c r="I174" i="9"/>
  <c r="O109" i="9"/>
  <c r="N71" i="9"/>
  <c r="I86" i="9"/>
  <c r="G65" i="3"/>
  <c r="H220" i="9"/>
  <c r="K15" i="5"/>
  <c r="O66" i="9"/>
  <c r="F237" i="9"/>
  <c r="L84" i="9"/>
  <c r="F266" i="9"/>
  <c r="F153" i="9"/>
  <c r="F74" i="9"/>
  <c r="I279" i="9"/>
  <c r="O57" i="3"/>
  <c r="O87" i="9"/>
  <c r="K121" i="9"/>
  <c r="K217" i="9"/>
  <c r="F256" i="9"/>
  <c r="O174" i="9"/>
  <c r="H141" i="9"/>
  <c r="C217" i="9"/>
  <c r="F278" i="9"/>
  <c r="N154" i="9"/>
  <c r="N267" i="9"/>
  <c r="K24" i="5"/>
  <c r="E222" i="9"/>
  <c r="O267" i="9"/>
  <c r="H267" i="9"/>
  <c r="C238" i="9"/>
  <c r="O110" i="9"/>
  <c r="I108" i="9"/>
  <c r="N38" i="9"/>
  <c r="H110" i="9"/>
  <c r="L190" i="9"/>
  <c r="H162" i="9"/>
  <c r="H51" i="9"/>
  <c r="H197" i="9"/>
  <c r="F83" i="9"/>
  <c r="F186" i="9"/>
  <c r="E113" i="9"/>
  <c r="N255" i="9"/>
  <c r="H144" i="9"/>
  <c r="F219" i="9"/>
  <c r="H35" i="9"/>
  <c r="O212" i="9"/>
  <c r="C179" i="9"/>
  <c r="H128" i="9"/>
  <c r="I100" i="9"/>
  <c r="E228" i="9"/>
  <c r="K212" i="9"/>
  <c r="E263" i="9"/>
  <c r="O254" i="9"/>
  <c r="N37" i="9"/>
  <c r="N138" i="9"/>
  <c r="L30" i="9"/>
  <c r="C164" i="9"/>
  <c r="K199" i="9"/>
  <c r="L98" i="9"/>
  <c r="K36" i="3"/>
  <c r="E265" i="9"/>
  <c r="K162" i="9"/>
  <c r="O46" i="9"/>
  <c r="I203" i="9"/>
  <c r="H184" i="9"/>
  <c r="F204" i="9"/>
  <c r="O46" i="3"/>
  <c r="N141" i="9"/>
  <c r="N159" i="9"/>
  <c r="L204" i="9"/>
  <c r="I113" i="9"/>
  <c r="C26" i="9"/>
  <c r="L194" i="9"/>
  <c r="E267" i="9"/>
  <c r="I241" i="9"/>
  <c r="I260" i="9"/>
  <c r="H242" i="9"/>
  <c r="F217" i="9"/>
  <c r="F114" i="9"/>
  <c r="L72" i="9"/>
  <c r="F45" i="9"/>
  <c r="L28" i="9"/>
  <c r="I70" i="9"/>
  <c r="F77" i="9"/>
  <c r="F195" i="9"/>
  <c r="F123" i="9"/>
  <c r="N275" i="9"/>
  <c r="E254" i="9"/>
  <c r="F27" i="9"/>
  <c r="H277" i="9"/>
  <c r="O180" i="9"/>
  <c r="N199" i="9"/>
  <c r="I28" i="9"/>
  <c r="F70" i="9"/>
  <c r="F42" i="9"/>
  <c r="H260" i="9"/>
  <c r="N222" i="9"/>
  <c r="N69" i="9"/>
  <c r="G72" i="3"/>
  <c r="I137" i="9"/>
  <c r="G48" i="3"/>
  <c r="L196" i="9"/>
  <c r="I105" i="9"/>
  <c r="E88" i="9"/>
  <c r="C235" i="9"/>
  <c r="C269" i="9"/>
  <c r="I266" i="9"/>
  <c r="N260" i="9"/>
  <c r="C190" i="9"/>
  <c r="E165" i="9"/>
  <c r="K193" i="9"/>
  <c r="I262" i="9"/>
  <c r="K27" i="9"/>
  <c r="E109" i="9"/>
  <c r="K85" i="9"/>
  <c r="L71" i="9"/>
  <c r="O237" i="9"/>
  <c r="I68" i="9"/>
  <c r="F250" i="9"/>
  <c r="K166" i="9"/>
  <c r="F160" i="9"/>
  <c r="K17" i="5"/>
  <c r="N188" i="9"/>
  <c r="E141" i="9"/>
  <c r="K142" i="9"/>
  <c r="F253" i="9"/>
  <c r="K103" i="9"/>
  <c r="K8" i="3"/>
  <c r="O106" i="9"/>
  <c r="H188" i="9"/>
  <c r="E80" i="9"/>
  <c r="E63" i="9"/>
  <c r="L37" i="9"/>
  <c r="E264" i="9"/>
  <c r="N201" i="9"/>
  <c r="C165" i="9"/>
  <c r="I269" i="9"/>
  <c r="K154" i="9"/>
  <c r="E78" i="9"/>
  <c r="C145" i="9"/>
  <c r="F202" i="9"/>
  <c r="I229" i="9"/>
  <c r="F40" i="9"/>
  <c r="E162" i="9"/>
  <c r="K78" i="9"/>
  <c r="I190" i="9"/>
  <c r="E187" i="9"/>
  <c r="H126" i="9"/>
  <c r="O143" i="9"/>
  <c r="K89" i="9"/>
  <c r="C108" i="9"/>
  <c r="C74" i="9"/>
  <c r="L199" i="9"/>
  <c r="K109" i="9"/>
  <c r="O273" i="9"/>
  <c r="L227" i="9"/>
  <c r="L49" i="9"/>
  <c r="H268" i="9"/>
  <c r="L101" i="9"/>
  <c r="O215" i="9"/>
  <c r="I102" i="9"/>
  <c r="O100" i="9"/>
  <c r="L252" i="9"/>
  <c r="I27" i="9"/>
  <c r="N165" i="9"/>
  <c r="K82" i="9"/>
  <c r="F158" i="9"/>
  <c r="N143" i="9"/>
  <c r="O30" i="9"/>
  <c r="O221" i="9"/>
  <c r="K194" i="9"/>
  <c r="G63" i="3"/>
  <c r="N123" i="9"/>
  <c r="E46" i="9"/>
  <c r="H257" i="9"/>
  <c r="N151" i="9"/>
  <c r="G36" i="3"/>
  <c r="H73" i="9"/>
  <c r="C33" i="9"/>
  <c r="F26" i="9"/>
  <c r="K146" i="9"/>
  <c r="O279" i="9"/>
  <c r="E79" i="9"/>
  <c r="E30" i="9"/>
  <c r="K101" i="9"/>
  <c r="K213" i="9"/>
  <c r="H226" i="9"/>
  <c r="G60" i="3"/>
  <c r="C178" i="9"/>
  <c r="O62" i="3"/>
  <c r="E259" i="9"/>
  <c r="F191" i="9"/>
  <c r="E148" i="9"/>
  <c r="E110" i="9"/>
  <c r="E22" i="9"/>
  <c r="K22" i="3"/>
  <c r="O37" i="3"/>
  <c r="L231" i="9"/>
  <c r="I31" i="9"/>
  <c r="E144" i="9"/>
  <c r="E50" i="9"/>
  <c r="I40" i="9"/>
  <c r="O27" i="9"/>
  <c r="L120" i="9"/>
  <c r="I45" i="9"/>
  <c r="L217" i="9"/>
  <c r="O45" i="9"/>
  <c r="C266" i="9"/>
  <c r="I218" i="9"/>
  <c r="I160" i="9"/>
  <c r="N233" i="9"/>
  <c r="C107" i="9"/>
  <c r="N66" i="9"/>
  <c r="E25" i="9"/>
  <c r="F164" i="9"/>
  <c r="K32" i="3"/>
  <c r="O47" i="9"/>
  <c r="K100" i="9"/>
  <c r="K273" i="9"/>
  <c r="O101" i="9"/>
  <c r="C268" i="9"/>
  <c r="L164" i="9"/>
  <c r="I90" i="9"/>
  <c r="L166" i="9"/>
  <c r="N52" i="9"/>
  <c r="F264" i="9"/>
  <c r="L48" i="9"/>
  <c r="F79" i="9"/>
  <c r="K108" i="9"/>
  <c r="E23" i="9"/>
  <c r="K16" i="3"/>
  <c r="K218" i="9"/>
  <c r="C274" i="9"/>
  <c r="K114" i="9"/>
  <c r="I267" i="9"/>
  <c r="L26" i="9"/>
  <c r="N194" i="9"/>
  <c r="N228" i="9"/>
  <c r="H68" i="9"/>
  <c r="K177" i="9"/>
  <c r="L272" i="9"/>
  <c r="C255" i="9"/>
  <c r="F110" i="9"/>
  <c r="N274" i="9"/>
  <c r="F36" i="9"/>
  <c r="K279" i="9"/>
  <c r="O228" i="9"/>
  <c r="I81" i="9"/>
  <c r="I225" i="9"/>
  <c r="C188" i="9"/>
  <c r="N106" i="9"/>
  <c r="I89" i="9"/>
  <c r="H137" i="9"/>
  <c r="C160" i="9"/>
  <c r="L240" i="9"/>
  <c r="N109" i="9"/>
  <c r="I141" i="9"/>
  <c r="G57" i="3"/>
  <c r="K75" i="3"/>
  <c r="K71" i="9"/>
  <c r="C219" i="9"/>
  <c r="N270" i="9"/>
  <c r="E177" i="9"/>
  <c r="H36" i="9"/>
  <c r="N115" i="9"/>
  <c r="L99" i="9"/>
  <c r="C60" i="9"/>
  <c r="L121" i="9"/>
  <c r="E84" i="9"/>
  <c r="K189" i="9"/>
  <c r="C49" i="9"/>
  <c r="L25" i="9"/>
  <c r="O117" i="9"/>
  <c r="E122" i="9"/>
  <c r="F261" i="9"/>
  <c r="O166" i="9"/>
  <c r="I235" i="9"/>
  <c r="C272" i="9"/>
  <c r="K44" i="3"/>
  <c r="C138" i="9"/>
  <c r="C111" i="9"/>
  <c r="E256" i="9"/>
  <c r="C149" i="9"/>
  <c r="K158" i="9"/>
  <c r="F44" i="9"/>
  <c r="O116" i="9"/>
  <c r="E39" i="9"/>
  <c r="N119" i="9"/>
  <c r="I236" i="9"/>
  <c r="F22" i="9"/>
  <c r="F212" i="9"/>
  <c r="C30" i="9"/>
  <c r="C191" i="9"/>
  <c r="E278" i="9"/>
  <c r="K227" i="9"/>
  <c r="E34" i="9"/>
  <c r="I151" i="9"/>
  <c r="C236" i="9"/>
  <c r="F277" i="9"/>
  <c r="F51" i="9"/>
  <c r="N231" i="9"/>
  <c r="O148" i="9"/>
  <c r="E252" i="9"/>
  <c r="F144" i="9"/>
  <c r="O88" i="9"/>
  <c r="N196" i="9"/>
  <c r="H62" i="9"/>
  <c r="G47" i="3"/>
  <c r="G71" i="3"/>
  <c r="H251" i="9"/>
  <c r="E186" i="9"/>
  <c r="O68" i="3"/>
  <c r="K32" i="9"/>
  <c r="I79" i="9"/>
  <c r="F38" i="9"/>
  <c r="I26" i="9"/>
  <c r="E154" i="9"/>
  <c r="I143" i="9"/>
  <c r="O265" i="9"/>
  <c r="E185" i="9"/>
  <c r="C240" i="9"/>
  <c r="K39" i="9"/>
  <c r="O154" i="9"/>
  <c r="H187" i="9"/>
  <c r="O159" i="9"/>
  <c r="E156" i="9"/>
  <c r="O179" i="9"/>
  <c r="K60" i="9"/>
  <c r="H69" i="9"/>
  <c r="L125" i="9"/>
  <c r="F268" i="9"/>
  <c r="I71" i="9"/>
  <c r="I84" i="9"/>
  <c r="I187" i="9"/>
  <c r="H181" i="9"/>
  <c r="H230" i="9"/>
  <c r="K10" i="3"/>
  <c r="C65" i="9"/>
  <c r="H49" i="9"/>
  <c r="O49" i="3"/>
  <c r="L152" i="9"/>
  <c r="E66" i="9"/>
  <c r="E227" i="9"/>
  <c r="K181" i="9"/>
  <c r="K33" i="9"/>
  <c r="N162" i="9"/>
  <c r="E117" i="9"/>
  <c r="E69" i="9"/>
  <c r="C200" i="9"/>
  <c r="C158" i="9"/>
  <c r="K50" i="3"/>
  <c r="N204" i="9"/>
  <c r="C22" i="9"/>
  <c r="K25" i="5"/>
  <c r="H42" i="9"/>
  <c r="E260" i="9"/>
  <c r="E145" i="9"/>
  <c r="L139" i="9"/>
  <c r="O29" i="9"/>
  <c r="N252" i="9"/>
  <c r="C216" i="9"/>
  <c r="K156" i="9"/>
  <c r="L137" i="9"/>
  <c r="H215" i="9"/>
  <c r="L126" i="9"/>
  <c r="G62" i="3"/>
  <c r="N84" i="9"/>
  <c r="I220" i="9"/>
  <c r="L213" i="9"/>
  <c r="E230" i="9"/>
  <c r="L270" i="9"/>
  <c r="H112" i="9"/>
  <c r="N186" i="9"/>
  <c r="K116" i="9"/>
  <c r="N105" i="9"/>
  <c r="I263" i="9"/>
  <c r="K175" i="9"/>
  <c r="C28" i="9"/>
  <c r="K254" i="9"/>
  <c r="C114" i="9"/>
  <c r="L118" i="9"/>
  <c r="K203" i="9"/>
  <c r="H121" i="9"/>
  <c r="E275" i="9"/>
  <c r="C184" i="9"/>
  <c r="C64" i="9"/>
  <c r="H140" i="9"/>
  <c r="F117" i="9"/>
  <c r="I106" i="9"/>
  <c r="H190" i="9"/>
  <c r="O233" i="9"/>
  <c r="K40" i="3"/>
  <c r="C185" i="9"/>
  <c r="O147" i="9"/>
  <c r="L81" i="9"/>
  <c r="I186" i="9"/>
  <c r="I126" i="9"/>
  <c r="I191" i="9"/>
  <c r="F121" i="9"/>
  <c r="O38" i="9"/>
  <c r="O261" i="9"/>
  <c r="O203" i="9"/>
  <c r="O104" i="9"/>
  <c r="N125" i="9"/>
  <c r="C38" i="9"/>
  <c r="E236" i="9"/>
  <c r="N234" i="9"/>
  <c r="E214" i="9"/>
  <c r="K155" i="9"/>
  <c r="K104" i="9"/>
  <c r="K277" i="9"/>
  <c r="E74" i="9"/>
  <c r="F251" i="9"/>
  <c r="L184" i="9"/>
  <c r="I144" i="9"/>
  <c r="L267" i="9"/>
  <c r="F255" i="9"/>
  <c r="H115" i="9"/>
  <c r="H280" i="9"/>
  <c r="H237" i="9"/>
  <c r="K22" i="9"/>
  <c r="H166" i="9"/>
  <c r="E164" i="9"/>
  <c r="L107" i="9"/>
  <c r="I181" i="9"/>
  <c r="F150" i="9"/>
  <c r="K46" i="9"/>
  <c r="N203" i="9"/>
  <c r="N197" i="9"/>
  <c r="N262" i="9"/>
  <c r="E261" i="9"/>
  <c r="K234" i="9"/>
  <c r="I155" i="9"/>
  <c r="E32" i="9"/>
  <c r="K34" i="3"/>
  <c r="L268" i="9"/>
  <c r="F98" i="9"/>
  <c r="K39" i="3"/>
  <c r="L76" i="9"/>
  <c r="F189" i="9"/>
  <c r="O34" i="3"/>
  <c r="O262" i="9"/>
  <c r="H177" i="9"/>
  <c r="N160" i="9"/>
  <c r="K43" i="9"/>
  <c r="F234" i="9"/>
  <c r="O142" i="9"/>
  <c r="O111" i="9"/>
  <c r="O75" i="9"/>
  <c r="O223" i="9"/>
  <c r="K115" i="9"/>
  <c r="F254" i="9"/>
  <c r="I29" i="9"/>
  <c r="O259" i="9"/>
  <c r="L215" i="9"/>
  <c r="L251" i="9"/>
  <c r="O150" i="9"/>
  <c r="C214" i="9"/>
  <c r="F52" i="9"/>
  <c r="C234" i="9"/>
  <c r="I237" i="9"/>
  <c r="O70" i="9"/>
  <c r="L104" i="9"/>
  <c r="I78" i="9"/>
  <c r="C100" i="9"/>
  <c r="I69" i="9"/>
  <c r="K152" i="9"/>
  <c r="E240" i="9"/>
  <c r="L255" i="9"/>
  <c r="H223" i="9"/>
  <c r="I158" i="9"/>
  <c r="L22" i="9"/>
  <c r="L179" i="9"/>
  <c r="I177" i="9"/>
  <c r="C72" i="9"/>
  <c r="H152" i="9"/>
  <c r="C23" i="9"/>
  <c r="K22" i="5"/>
  <c r="N239" i="9"/>
  <c r="K276" i="9"/>
  <c r="O195" i="9"/>
  <c r="F112" i="9"/>
  <c r="K198" i="9"/>
  <c r="C86" i="9"/>
  <c r="H31" i="9"/>
  <c r="N214" i="9"/>
  <c r="K187" i="9"/>
  <c r="E76" i="9"/>
  <c r="I122" i="9"/>
  <c r="C115" i="9"/>
  <c r="C227" i="9"/>
  <c r="N23" i="9"/>
  <c r="O235" i="9"/>
  <c r="F181" i="9"/>
  <c r="L273" i="9"/>
  <c r="H234" i="9"/>
  <c r="L108" i="9"/>
  <c r="C251" i="9"/>
  <c r="O69" i="9"/>
  <c r="H76" i="9"/>
  <c r="G251" i="9" l="1"/>
  <c r="J251" i="9"/>
  <c r="D251" i="9"/>
  <c r="M251" i="9"/>
  <c r="J227" i="9"/>
  <c r="G227" i="9"/>
  <c r="D227" i="9"/>
  <c r="M227" i="9"/>
  <c r="G115" i="9"/>
  <c r="D115" i="9"/>
  <c r="M115" i="9"/>
  <c r="J115" i="9"/>
  <c r="G86" i="9"/>
  <c r="D86" i="9"/>
  <c r="M86" i="9"/>
  <c r="J86" i="9"/>
  <c r="L22" i="5"/>
  <c r="M22" i="5"/>
  <c r="N22" i="5"/>
  <c r="D23" i="9"/>
  <c r="G23" i="9"/>
  <c r="M23" i="9"/>
  <c r="J23" i="9"/>
  <c r="J72" i="9"/>
  <c r="D72" i="9"/>
  <c r="M72" i="9"/>
  <c r="G72" i="9"/>
  <c r="L54" i="9"/>
  <c r="K54" i="9" s="1"/>
  <c r="J16" i="9" s="1"/>
  <c r="M100" i="9"/>
  <c r="G100" i="9"/>
  <c r="D100" i="9"/>
  <c r="J100" i="9"/>
  <c r="G234" i="9"/>
  <c r="M234" i="9"/>
  <c r="J234" i="9"/>
  <c r="D234" i="9"/>
  <c r="D214" i="9"/>
  <c r="J214" i="9"/>
  <c r="M214" i="9"/>
  <c r="G214" i="9"/>
  <c r="R34" i="3"/>
  <c r="P34" i="3"/>
  <c r="Q34" i="3"/>
  <c r="N39" i="3"/>
  <c r="L39" i="3"/>
  <c r="M39" i="3"/>
  <c r="F130" i="9"/>
  <c r="E130" i="9" s="1"/>
  <c r="D6" i="9" s="1"/>
  <c r="N34" i="3"/>
  <c r="M34" i="3"/>
  <c r="L34" i="3"/>
  <c r="G38" i="9"/>
  <c r="D38" i="9"/>
  <c r="M38" i="9"/>
  <c r="J38" i="9"/>
  <c r="G185" i="9"/>
  <c r="D185" i="9"/>
  <c r="J185" i="9"/>
  <c r="M185" i="9"/>
  <c r="N40" i="3"/>
  <c r="L40" i="3"/>
  <c r="M40" i="3"/>
  <c r="D64" i="9"/>
  <c r="G64" i="9"/>
  <c r="J64" i="9"/>
  <c r="M64" i="9"/>
  <c r="J184" i="9"/>
  <c r="D184" i="9"/>
  <c r="M184" i="9"/>
  <c r="G184" i="9"/>
  <c r="D114" i="9"/>
  <c r="J114" i="9"/>
  <c r="M114" i="9"/>
  <c r="G114" i="9"/>
  <c r="M28" i="9"/>
  <c r="J28" i="9"/>
  <c r="D28" i="9"/>
  <c r="G28" i="9"/>
  <c r="I62" i="3"/>
  <c r="J62" i="3"/>
  <c r="H62" i="3"/>
  <c r="M216" i="9"/>
  <c r="G216" i="9"/>
  <c r="D216" i="9"/>
  <c r="J216" i="9"/>
  <c r="L25" i="5"/>
  <c r="M25" i="5"/>
  <c r="N25" i="5"/>
  <c r="M22" i="9"/>
  <c r="G22" i="9"/>
  <c r="C54" i="9"/>
  <c r="D22" i="9"/>
  <c r="J22" i="9"/>
  <c r="M50" i="3"/>
  <c r="N50" i="3"/>
  <c r="L50" i="3"/>
  <c r="J158" i="9"/>
  <c r="D158" i="9"/>
  <c r="G158" i="9"/>
  <c r="M158" i="9"/>
  <c r="J200" i="9"/>
  <c r="D200" i="9"/>
  <c r="G200" i="9"/>
  <c r="M200" i="9"/>
  <c r="P49" i="3"/>
  <c r="Q49" i="3"/>
  <c r="R49" i="3"/>
  <c r="M65" i="9"/>
  <c r="D65" i="9"/>
  <c r="J65" i="9"/>
  <c r="G65" i="9"/>
  <c r="M10" i="3"/>
  <c r="N10" i="3"/>
  <c r="L10" i="3"/>
  <c r="D240" i="9"/>
  <c r="M240" i="9"/>
  <c r="J240" i="9"/>
  <c r="G240" i="9"/>
  <c r="Q68" i="3"/>
  <c r="P68" i="3"/>
  <c r="R68" i="3"/>
  <c r="J71" i="3"/>
  <c r="I71" i="3"/>
  <c r="H71" i="3"/>
  <c r="H47" i="3"/>
  <c r="J47" i="3"/>
  <c r="I47" i="3"/>
  <c r="D236" i="9"/>
  <c r="M236" i="9"/>
  <c r="G236" i="9"/>
  <c r="J236" i="9"/>
  <c r="M191" i="9"/>
  <c r="D191" i="9"/>
  <c r="J191" i="9"/>
  <c r="G191" i="9"/>
  <c r="G30" i="9"/>
  <c r="D30" i="9"/>
  <c r="M30" i="9"/>
  <c r="J30" i="9"/>
  <c r="F244" i="9"/>
  <c r="E244" i="9" s="1"/>
  <c r="D10" i="9" s="1"/>
  <c r="F54" i="9"/>
  <c r="D149" i="9"/>
  <c r="J149" i="9"/>
  <c r="M149" i="9"/>
  <c r="G149" i="9"/>
  <c r="D111" i="9"/>
  <c r="J111" i="9"/>
  <c r="M111" i="9"/>
  <c r="G111" i="9"/>
  <c r="G138" i="9"/>
  <c r="M138" i="9"/>
  <c r="D138" i="9"/>
  <c r="J138" i="9"/>
  <c r="L44" i="3"/>
  <c r="M44" i="3"/>
  <c r="N44" i="3"/>
  <c r="G272" i="9"/>
  <c r="M272" i="9"/>
  <c r="J272" i="9"/>
  <c r="D272" i="9"/>
  <c r="G49" i="9"/>
  <c r="M49" i="9"/>
  <c r="J49" i="9"/>
  <c r="D49" i="9"/>
  <c r="C92" i="9"/>
  <c r="J60" i="9"/>
  <c r="D60" i="9"/>
  <c r="M60" i="9"/>
  <c r="G60" i="9"/>
  <c r="J219" i="9"/>
  <c r="D219" i="9"/>
  <c r="G219" i="9"/>
  <c r="M219" i="9"/>
  <c r="N75" i="3"/>
  <c r="L75" i="3"/>
  <c r="M75" i="3"/>
  <c r="J57" i="3"/>
  <c r="I57" i="3"/>
  <c r="H57" i="3"/>
  <c r="J160" i="9"/>
  <c r="M160" i="9"/>
  <c r="G160" i="9"/>
  <c r="D160" i="9"/>
  <c r="D188" i="9"/>
  <c r="M188" i="9"/>
  <c r="G188" i="9"/>
  <c r="J188" i="9"/>
  <c r="M255" i="9"/>
  <c r="D255" i="9"/>
  <c r="J255" i="9"/>
  <c r="G255" i="9"/>
  <c r="G274" i="9"/>
  <c r="J274" i="9"/>
  <c r="D274" i="9"/>
  <c r="M274" i="9"/>
  <c r="M16" i="3"/>
  <c r="L16" i="3"/>
  <c r="N16" i="3"/>
  <c r="G268" i="9"/>
  <c r="M268" i="9"/>
  <c r="J268" i="9"/>
  <c r="D268" i="9"/>
  <c r="L32" i="3"/>
  <c r="M32" i="3"/>
  <c r="N32" i="3"/>
  <c r="M107" i="9"/>
  <c r="J107" i="9"/>
  <c r="D107" i="9"/>
  <c r="G107" i="9"/>
  <c r="J266" i="9"/>
  <c r="M266" i="9"/>
  <c r="D266" i="9"/>
  <c r="G266" i="9"/>
  <c r="Q37" i="3"/>
  <c r="R37" i="3"/>
  <c r="P37" i="3"/>
  <c r="M22" i="3"/>
  <c r="L22" i="3"/>
  <c r="N22" i="3"/>
  <c r="R62" i="3"/>
  <c r="P62" i="3"/>
  <c r="Q62" i="3"/>
  <c r="J178" i="9"/>
  <c r="D178" i="9"/>
  <c r="M178" i="9"/>
  <c r="G178" i="9"/>
  <c r="I60" i="3"/>
  <c r="J60" i="3"/>
  <c r="H60" i="3"/>
  <c r="M33" i="9"/>
  <c r="G33" i="9"/>
  <c r="D33" i="9"/>
  <c r="J33" i="9"/>
  <c r="J36" i="3"/>
  <c r="I36" i="3"/>
  <c r="H36" i="3"/>
  <c r="J63" i="3"/>
  <c r="H63" i="3"/>
  <c r="I63" i="3"/>
  <c r="G74" i="9"/>
  <c r="D74" i="9"/>
  <c r="M74" i="9"/>
  <c r="J74" i="9"/>
  <c r="D108" i="9"/>
  <c r="M108" i="9"/>
  <c r="G108" i="9"/>
  <c r="J108" i="9"/>
  <c r="G145" i="9"/>
  <c r="D145" i="9"/>
  <c r="J145" i="9"/>
  <c r="M145" i="9"/>
  <c r="G165" i="9"/>
  <c r="M165" i="9"/>
  <c r="J165" i="9"/>
  <c r="D165" i="9"/>
  <c r="N8" i="3"/>
  <c r="L8" i="3"/>
  <c r="M8" i="3"/>
  <c r="L17" i="5"/>
  <c r="M17" i="5"/>
  <c r="N17" i="5"/>
  <c r="F282" i="9"/>
  <c r="E282" i="9" s="1"/>
  <c r="D14" i="9" s="1"/>
  <c r="J190" i="9"/>
  <c r="M190" i="9"/>
  <c r="D190" i="9"/>
  <c r="G190" i="9"/>
  <c r="M269" i="9"/>
  <c r="G269" i="9"/>
  <c r="J269" i="9"/>
  <c r="D269" i="9"/>
  <c r="J235" i="9"/>
  <c r="G235" i="9"/>
  <c r="M235" i="9"/>
  <c r="D235" i="9"/>
  <c r="J48" i="3"/>
  <c r="I48" i="3"/>
  <c r="H48" i="3"/>
  <c r="H72" i="3"/>
  <c r="J72" i="3"/>
  <c r="I72" i="3"/>
  <c r="G26" i="9"/>
  <c r="J26" i="9"/>
  <c r="M26" i="9"/>
  <c r="D26" i="9"/>
  <c r="Q46" i="3"/>
  <c r="P46" i="3"/>
  <c r="R46" i="3"/>
  <c r="N36" i="3"/>
  <c r="M36" i="3"/>
  <c r="L36" i="3"/>
  <c r="L130" i="9"/>
  <c r="K130" i="9" s="1"/>
  <c r="J6" i="9" s="1"/>
  <c r="D164" i="9"/>
  <c r="G164" i="9"/>
  <c r="J164" i="9"/>
  <c r="M164" i="9"/>
  <c r="M179" i="9"/>
  <c r="J179" i="9"/>
  <c r="D179" i="9"/>
  <c r="G179" i="9"/>
  <c r="O244" i="9"/>
  <c r="N244" i="9" s="1"/>
  <c r="M10" i="9" s="1"/>
  <c r="G238" i="9"/>
  <c r="M238" i="9"/>
  <c r="J238" i="9"/>
  <c r="D238" i="9"/>
  <c r="L24" i="5"/>
  <c r="M24" i="5"/>
  <c r="N24" i="5"/>
  <c r="J217" i="9"/>
  <c r="D217" i="9"/>
  <c r="G217" i="9"/>
  <c r="M217" i="9"/>
  <c r="O206" i="9"/>
  <c r="N206" i="9" s="1"/>
  <c r="M8" i="9" s="1"/>
  <c r="Q57" i="3"/>
  <c r="R57" i="3"/>
  <c r="P57" i="3"/>
  <c r="L15" i="5"/>
  <c r="N15" i="5"/>
  <c r="M15" i="5"/>
  <c r="I65" i="3"/>
  <c r="H65" i="3"/>
  <c r="J65" i="3"/>
  <c r="I206" i="9"/>
  <c r="H206" i="9" s="1"/>
  <c r="G8" i="9" s="1"/>
  <c r="D46" i="9"/>
  <c r="J46" i="9"/>
  <c r="G46" i="9"/>
  <c r="M46" i="9"/>
  <c r="P67" i="3"/>
  <c r="R67" i="3"/>
  <c r="Q67" i="3"/>
  <c r="L21" i="3"/>
  <c r="M21" i="3"/>
  <c r="N21" i="3"/>
  <c r="M186" i="9"/>
  <c r="D186" i="9"/>
  <c r="G186" i="9"/>
  <c r="J186" i="9"/>
  <c r="D183" i="9"/>
  <c r="M183" i="9"/>
  <c r="G183" i="9"/>
  <c r="J183" i="9"/>
  <c r="H56" i="3"/>
  <c r="I56" i="3"/>
  <c r="J56" i="3"/>
  <c r="D212" i="9"/>
  <c r="J212" i="9"/>
  <c r="M212" i="9"/>
  <c r="G212" i="9"/>
  <c r="C244" i="9"/>
  <c r="J105" i="9"/>
  <c r="M105" i="9"/>
  <c r="G105" i="9"/>
  <c r="D105" i="9"/>
  <c r="J59" i="3"/>
  <c r="H59" i="3"/>
  <c r="I59" i="3"/>
  <c r="M76" i="9"/>
  <c r="J76" i="9"/>
  <c r="G76" i="9"/>
  <c r="D76" i="9"/>
  <c r="M99" i="9"/>
  <c r="G99" i="9"/>
  <c r="D99" i="9"/>
  <c r="J99" i="9"/>
  <c r="J193" i="9"/>
  <c r="M193" i="9"/>
  <c r="D193" i="9"/>
  <c r="G193" i="9"/>
  <c r="D63" i="9"/>
  <c r="G63" i="9"/>
  <c r="M63" i="9"/>
  <c r="J63" i="9"/>
  <c r="M265" i="9"/>
  <c r="D265" i="9"/>
  <c r="J265" i="9"/>
  <c r="G265" i="9"/>
  <c r="H50" i="3"/>
  <c r="J50" i="3"/>
  <c r="I50" i="3"/>
  <c r="D43" i="9"/>
  <c r="G43" i="9"/>
  <c r="M43" i="9"/>
  <c r="J43" i="9"/>
  <c r="M47" i="3"/>
  <c r="L47" i="3"/>
  <c r="N47" i="3"/>
  <c r="J58" i="3"/>
  <c r="I58" i="3"/>
  <c r="H58" i="3"/>
  <c r="G156" i="9"/>
  <c r="J156" i="9"/>
  <c r="M156" i="9"/>
  <c r="D156" i="9"/>
  <c r="N64" i="3"/>
  <c r="L64" i="3"/>
  <c r="M64" i="3"/>
  <c r="G137" i="9"/>
  <c r="J137" i="9"/>
  <c r="D137" i="9"/>
  <c r="M137" i="9"/>
  <c r="M231" i="9"/>
  <c r="G231" i="9"/>
  <c r="D231" i="9"/>
  <c r="J231" i="9"/>
  <c r="M45" i="9"/>
  <c r="J45" i="9"/>
  <c r="D45" i="9"/>
  <c r="G45" i="9"/>
  <c r="D278" i="9"/>
  <c r="M278" i="9"/>
  <c r="J278" i="9"/>
  <c r="G278" i="9"/>
  <c r="M59" i="3"/>
  <c r="N59" i="3"/>
  <c r="L59" i="3"/>
  <c r="J152" i="9"/>
  <c r="D152" i="9"/>
  <c r="G152" i="9"/>
  <c r="M152" i="9"/>
  <c r="J166" i="9"/>
  <c r="D166" i="9"/>
  <c r="M166" i="9"/>
  <c r="G166" i="9"/>
  <c r="P69" i="3"/>
  <c r="Q69" i="3"/>
  <c r="R69" i="3"/>
  <c r="I40" i="3"/>
  <c r="H40" i="3"/>
  <c r="J40" i="3"/>
  <c r="D233" i="9"/>
  <c r="G233" i="9"/>
  <c r="M233" i="9"/>
  <c r="J233" i="9"/>
  <c r="L92" i="9"/>
  <c r="K92" i="9" s="1"/>
  <c r="J4" i="9" s="1"/>
  <c r="G113" i="9"/>
  <c r="J113" i="9"/>
  <c r="M113" i="9"/>
  <c r="D113" i="9"/>
  <c r="N62" i="3"/>
  <c r="M62" i="3"/>
  <c r="L62" i="3"/>
  <c r="P73" i="3"/>
  <c r="Q73" i="3"/>
  <c r="R73" i="3"/>
  <c r="L13" i="5"/>
  <c r="M13" i="5"/>
  <c r="N13" i="5"/>
  <c r="D127" i="9"/>
  <c r="M127" i="9"/>
  <c r="G127" i="9"/>
  <c r="J127" i="9"/>
  <c r="R33" i="3"/>
  <c r="Q33" i="3"/>
  <c r="P33" i="3"/>
  <c r="D204" i="9"/>
  <c r="M204" i="9"/>
  <c r="G204" i="9"/>
  <c r="J204" i="9"/>
  <c r="N71" i="3"/>
  <c r="M71" i="3"/>
  <c r="L71" i="3"/>
  <c r="D218" i="9"/>
  <c r="G218" i="9"/>
  <c r="M218" i="9"/>
  <c r="J218" i="9"/>
  <c r="L66" i="3"/>
  <c r="N66" i="3"/>
  <c r="M66" i="3"/>
  <c r="N56" i="3"/>
  <c r="M56" i="3"/>
  <c r="L56" i="3"/>
  <c r="G242" i="9"/>
  <c r="J242" i="9"/>
  <c r="M242" i="9"/>
  <c r="D242" i="9"/>
  <c r="D88" i="9"/>
  <c r="G88" i="9"/>
  <c r="J88" i="9"/>
  <c r="M88" i="9"/>
  <c r="M104" i="9"/>
  <c r="D104" i="9"/>
  <c r="G104" i="9"/>
  <c r="J104" i="9"/>
  <c r="D79" i="9"/>
  <c r="G79" i="9"/>
  <c r="M79" i="9"/>
  <c r="J79" i="9"/>
  <c r="D161" i="9"/>
  <c r="M161" i="9"/>
  <c r="J161" i="9"/>
  <c r="G161" i="9"/>
  <c r="G257" i="9"/>
  <c r="D257" i="9"/>
  <c r="M257" i="9"/>
  <c r="J257" i="9"/>
  <c r="F92" i="9"/>
  <c r="E92" i="9" s="1"/>
  <c r="D4" i="9" s="1"/>
  <c r="N9" i="5"/>
  <c r="L9" i="5"/>
  <c r="M9" i="5"/>
  <c r="Q64" i="3"/>
  <c r="P64" i="3"/>
  <c r="R64" i="3"/>
  <c r="M36" i="9"/>
  <c r="G36" i="9"/>
  <c r="D36" i="9"/>
  <c r="J36" i="9"/>
  <c r="G221" i="9"/>
  <c r="M221" i="9"/>
  <c r="J221" i="9"/>
  <c r="D221" i="9"/>
  <c r="G146" i="9"/>
  <c r="D146" i="9"/>
  <c r="J146" i="9"/>
  <c r="M146" i="9"/>
  <c r="M192" i="9"/>
  <c r="J192" i="9"/>
  <c r="D192" i="9"/>
  <c r="G192" i="9"/>
  <c r="J273" i="9"/>
  <c r="G273" i="9"/>
  <c r="M273" i="9"/>
  <c r="D273" i="9"/>
  <c r="G213" i="9"/>
  <c r="D213" i="9"/>
  <c r="M213" i="9"/>
  <c r="J213" i="9"/>
  <c r="M256" i="9"/>
  <c r="G256" i="9"/>
  <c r="D256" i="9"/>
  <c r="J256" i="9"/>
  <c r="D126" i="9"/>
  <c r="J126" i="9"/>
  <c r="G126" i="9"/>
  <c r="M126" i="9"/>
  <c r="Q45" i="3"/>
  <c r="R45" i="3"/>
  <c r="P45" i="3"/>
  <c r="G155" i="9"/>
  <c r="M155" i="9"/>
  <c r="J155" i="9"/>
  <c r="D155" i="9"/>
  <c r="L282" i="9"/>
  <c r="K282" i="9" s="1"/>
  <c r="J14" i="9" s="1"/>
  <c r="M264" i="9"/>
  <c r="G264" i="9"/>
  <c r="J264" i="9"/>
  <c r="D264" i="9"/>
  <c r="I54" i="9"/>
  <c r="H54" i="9" s="1"/>
  <c r="G16" i="9" s="1"/>
  <c r="J270" i="9"/>
  <c r="D270" i="9"/>
  <c r="G270" i="9"/>
  <c r="M270" i="9"/>
  <c r="D241" i="9"/>
  <c r="J241" i="9"/>
  <c r="G241" i="9"/>
  <c r="M241" i="9"/>
  <c r="N74" i="3"/>
  <c r="L74" i="3"/>
  <c r="M74" i="3"/>
  <c r="M29" i="9"/>
  <c r="G29" i="9"/>
  <c r="D29" i="9"/>
  <c r="J29" i="9"/>
  <c r="D118" i="9"/>
  <c r="J118" i="9"/>
  <c r="M118" i="9"/>
  <c r="G118" i="9"/>
  <c r="M43" i="3"/>
  <c r="N43" i="3"/>
  <c r="L43" i="3"/>
  <c r="J66" i="3"/>
  <c r="I66" i="3"/>
  <c r="H66" i="3"/>
  <c r="D196" i="9"/>
  <c r="J196" i="9"/>
  <c r="M196" i="9"/>
  <c r="G196" i="9"/>
  <c r="M128" i="9"/>
  <c r="D128" i="9"/>
  <c r="G128" i="9"/>
  <c r="J128" i="9"/>
  <c r="J197" i="9"/>
  <c r="M197" i="9"/>
  <c r="G197" i="9"/>
  <c r="D197" i="9"/>
  <c r="J102" i="9"/>
  <c r="M102" i="9"/>
  <c r="G102" i="9"/>
  <c r="D102" i="9"/>
  <c r="D150" i="9"/>
  <c r="G150" i="9"/>
  <c r="M150" i="9"/>
  <c r="J150" i="9"/>
  <c r="M70" i="9"/>
  <c r="D70" i="9"/>
  <c r="J70" i="9"/>
  <c r="G70" i="9"/>
  <c r="M41" i="3"/>
  <c r="N41" i="3"/>
  <c r="L41" i="3"/>
  <c r="D180" i="9"/>
  <c r="G180" i="9"/>
  <c r="J180" i="9"/>
  <c r="M180" i="9"/>
  <c r="G124" i="9"/>
  <c r="J124" i="9"/>
  <c r="M124" i="9"/>
  <c r="D124" i="9"/>
  <c r="I130" i="9"/>
  <c r="H130" i="9" s="1"/>
  <c r="G6" i="9" s="1"/>
  <c r="D143" i="9"/>
  <c r="J143" i="9"/>
  <c r="G143" i="9"/>
  <c r="M143" i="9"/>
  <c r="N25" i="3"/>
  <c r="L25" i="3"/>
  <c r="M25" i="3"/>
  <c r="G112" i="9"/>
  <c r="D112" i="9"/>
  <c r="M112" i="9"/>
  <c r="J112" i="9"/>
  <c r="Q40" i="3"/>
  <c r="P40" i="3"/>
  <c r="R40" i="3"/>
  <c r="J187" i="9"/>
  <c r="D187" i="9"/>
  <c r="M187" i="9"/>
  <c r="G187" i="9"/>
  <c r="D252" i="9"/>
  <c r="M252" i="9"/>
  <c r="G252" i="9"/>
  <c r="J252" i="9"/>
  <c r="O282" i="9"/>
  <c r="N282" i="9" s="1"/>
  <c r="M14" i="9" s="1"/>
  <c r="M174" i="9"/>
  <c r="D174" i="9"/>
  <c r="J174" i="9"/>
  <c r="G174" i="9"/>
  <c r="C206" i="9"/>
  <c r="D142" i="9"/>
  <c r="J142" i="9"/>
  <c r="G142" i="9"/>
  <c r="M142" i="9"/>
  <c r="M109" i="9"/>
  <c r="G109" i="9"/>
  <c r="D109" i="9"/>
  <c r="J109" i="9"/>
  <c r="O92" i="9"/>
  <c r="N92" i="9" s="1"/>
  <c r="M4" i="9" s="1"/>
  <c r="G106" i="9"/>
  <c r="J106" i="9"/>
  <c r="D106" i="9"/>
  <c r="M106" i="9"/>
  <c r="L206" i="9"/>
  <c r="K206" i="9" s="1"/>
  <c r="J8" i="9" s="1"/>
  <c r="I92" i="9"/>
  <c r="H92" i="9" s="1"/>
  <c r="G4" i="9" s="1"/>
  <c r="I38" i="3"/>
  <c r="J38" i="3"/>
  <c r="H38" i="3"/>
  <c r="J45" i="3"/>
  <c r="I45" i="3"/>
  <c r="H45" i="3"/>
  <c r="J116" i="9"/>
  <c r="M116" i="9"/>
  <c r="D116" i="9"/>
  <c r="G116" i="9"/>
  <c r="P31" i="3"/>
  <c r="R31" i="3"/>
  <c r="Q31" i="3"/>
  <c r="J70" i="3"/>
  <c r="I70" i="3"/>
  <c r="H70" i="3"/>
  <c r="H42" i="3"/>
  <c r="I42" i="3"/>
  <c r="J42" i="3"/>
  <c r="N23" i="3"/>
  <c r="M23" i="3"/>
  <c r="L23" i="3"/>
  <c r="M31" i="3"/>
  <c r="N31" i="3"/>
  <c r="L31" i="3"/>
  <c r="M254" i="9"/>
  <c r="J254" i="9"/>
  <c r="G254" i="9"/>
  <c r="D254" i="9"/>
  <c r="G262" i="9"/>
  <c r="J262" i="9"/>
  <c r="M262" i="9"/>
  <c r="D262" i="9"/>
  <c r="G228" i="9"/>
  <c r="M228" i="9"/>
  <c r="D228" i="9"/>
  <c r="J228" i="9"/>
  <c r="J34" i="9"/>
  <c r="M34" i="9"/>
  <c r="D34" i="9"/>
  <c r="G34" i="9"/>
  <c r="M75" i="9"/>
  <c r="D75" i="9"/>
  <c r="J75" i="9"/>
  <c r="G75" i="9"/>
  <c r="Q65" i="3"/>
  <c r="P65" i="3"/>
  <c r="R65" i="3"/>
  <c r="L58" i="3"/>
  <c r="N58" i="3"/>
  <c r="M58" i="3"/>
  <c r="N33" i="3"/>
  <c r="M33" i="3"/>
  <c r="L33" i="3"/>
  <c r="M250" i="9"/>
  <c r="J250" i="9"/>
  <c r="D250" i="9"/>
  <c r="C282" i="9"/>
  <c r="G250" i="9"/>
  <c r="J194" i="9"/>
  <c r="M194" i="9"/>
  <c r="G194" i="9"/>
  <c r="D194" i="9"/>
  <c r="R66" i="3"/>
  <c r="Q66" i="3"/>
  <c r="P66" i="3"/>
  <c r="N57" i="3"/>
  <c r="M57" i="3"/>
  <c r="L57" i="3"/>
  <c r="G123" i="9"/>
  <c r="M123" i="9"/>
  <c r="J123" i="9"/>
  <c r="D123" i="9"/>
  <c r="G182" i="9"/>
  <c r="D182" i="9"/>
  <c r="M182" i="9"/>
  <c r="J182" i="9"/>
  <c r="M226" i="9"/>
  <c r="J226" i="9"/>
  <c r="G226" i="9"/>
  <c r="D226" i="9"/>
  <c r="G147" i="9"/>
  <c r="J147" i="9"/>
  <c r="D147" i="9"/>
  <c r="M147" i="9"/>
  <c r="I33" i="3"/>
  <c r="H33" i="3"/>
  <c r="J33" i="3"/>
  <c r="R59" i="3"/>
  <c r="P59" i="3"/>
  <c r="Q59" i="3"/>
  <c r="D122" i="9"/>
  <c r="J122" i="9"/>
  <c r="G122" i="9"/>
  <c r="M122" i="9"/>
  <c r="L9" i="3"/>
  <c r="M9" i="3"/>
  <c r="N9" i="3"/>
  <c r="M44" i="9"/>
  <c r="J44" i="9"/>
  <c r="D44" i="9"/>
  <c r="G44" i="9"/>
  <c r="D62" i="9"/>
  <c r="G62" i="9"/>
  <c r="M62" i="9"/>
  <c r="J62" i="9"/>
  <c r="M7" i="5"/>
  <c r="L7" i="5"/>
  <c r="N7" i="5"/>
  <c r="Q38" i="3"/>
  <c r="P38" i="3"/>
  <c r="R38" i="3"/>
  <c r="J73" i="9"/>
  <c r="D73" i="9"/>
  <c r="M73" i="9"/>
  <c r="G73" i="9"/>
  <c r="M66" i="9"/>
  <c r="J66" i="9"/>
  <c r="D66" i="9"/>
  <c r="G66" i="9"/>
  <c r="L11" i="3"/>
  <c r="M11" i="3"/>
  <c r="N11" i="3"/>
  <c r="M125" i="9"/>
  <c r="G125" i="9"/>
  <c r="D125" i="9"/>
  <c r="J125" i="9"/>
  <c r="M45" i="3"/>
  <c r="L45" i="3"/>
  <c r="N45" i="3"/>
  <c r="R61" i="3"/>
  <c r="Q61" i="3"/>
  <c r="P61" i="3"/>
  <c r="M263" i="9"/>
  <c r="G263" i="9"/>
  <c r="J263" i="9"/>
  <c r="D263" i="9"/>
  <c r="N14" i="3"/>
  <c r="L14" i="3"/>
  <c r="M14" i="3"/>
  <c r="M195" i="9"/>
  <c r="D195" i="9"/>
  <c r="J195" i="9"/>
  <c r="G195" i="9"/>
  <c r="M38" i="3"/>
  <c r="L38" i="3"/>
  <c r="N38" i="3"/>
  <c r="N8" i="5"/>
  <c r="M8" i="5"/>
  <c r="L8" i="5"/>
  <c r="D277" i="9"/>
  <c r="G277" i="9"/>
  <c r="J277" i="9"/>
  <c r="M277" i="9"/>
  <c r="H34" i="3"/>
  <c r="I34" i="3"/>
  <c r="J34" i="3"/>
  <c r="M275" i="9"/>
  <c r="J275" i="9"/>
  <c r="G275" i="9"/>
  <c r="D275" i="9"/>
  <c r="M253" i="9"/>
  <c r="J253" i="9"/>
  <c r="D253" i="9"/>
  <c r="G253" i="9"/>
  <c r="M32" i="9"/>
  <c r="G32" i="9"/>
  <c r="J32" i="9"/>
  <c r="D32" i="9"/>
  <c r="F206" i="9"/>
  <c r="E206" i="9" s="1"/>
  <c r="D8" i="9" s="1"/>
  <c r="G271" i="9"/>
  <c r="J271" i="9"/>
  <c r="D271" i="9"/>
  <c r="M271" i="9"/>
  <c r="G260" i="9"/>
  <c r="J260" i="9"/>
  <c r="D260" i="9"/>
  <c r="M260" i="9"/>
  <c r="G215" i="9"/>
  <c r="M215" i="9"/>
  <c r="D215" i="9"/>
  <c r="J215" i="9"/>
  <c r="Q70" i="3"/>
  <c r="R70" i="3"/>
  <c r="P70" i="3"/>
  <c r="G139" i="9"/>
  <c r="D139" i="9"/>
  <c r="M139" i="9"/>
  <c r="J139" i="9"/>
  <c r="N67" i="3"/>
  <c r="L67" i="3"/>
  <c r="M67" i="3"/>
  <c r="M25" i="9"/>
  <c r="J25" i="9"/>
  <c r="G25" i="9"/>
  <c r="D25" i="9"/>
  <c r="F168" i="9"/>
  <c r="E168" i="9" s="1"/>
  <c r="D12" i="9" s="1"/>
  <c r="D103" i="9"/>
  <c r="M103" i="9"/>
  <c r="G103" i="9"/>
  <c r="J103" i="9"/>
  <c r="G50" i="9"/>
  <c r="J50" i="9"/>
  <c r="D50" i="9"/>
  <c r="M50" i="9"/>
  <c r="M15" i="3"/>
  <c r="L15" i="3"/>
  <c r="N15" i="3"/>
  <c r="D279" i="9"/>
  <c r="J279" i="9"/>
  <c r="G279" i="9"/>
  <c r="M279" i="9"/>
  <c r="O54" i="9"/>
  <c r="N54" i="9" s="1"/>
  <c r="M16" i="9" s="1"/>
  <c r="M68" i="9"/>
  <c r="J68" i="9"/>
  <c r="D68" i="9"/>
  <c r="G68" i="9"/>
  <c r="G120" i="9"/>
  <c r="D120" i="9"/>
  <c r="J120" i="9"/>
  <c r="M120" i="9"/>
  <c r="H64" i="3"/>
  <c r="I64" i="3"/>
  <c r="J64" i="3"/>
  <c r="M78" i="9"/>
  <c r="D78" i="9"/>
  <c r="G78" i="9"/>
  <c r="J78" i="9"/>
  <c r="J69" i="9"/>
  <c r="G69" i="9"/>
  <c r="D69" i="9"/>
  <c r="M69" i="9"/>
  <c r="N12" i="3"/>
  <c r="M12" i="3"/>
  <c r="L12" i="3"/>
  <c r="L14" i="5"/>
  <c r="N14" i="5"/>
  <c r="M14" i="5"/>
  <c r="D89" i="9"/>
  <c r="M89" i="9"/>
  <c r="J89" i="9"/>
  <c r="G89" i="9"/>
  <c r="M16" i="5"/>
  <c r="N16" i="5"/>
  <c r="L16" i="5"/>
  <c r="J47" i="9"/>
  <c r="M47" i="9"/>
  <c r="G47" i="9"/>
  <c r="D47" i="9"/>
  <c r="D117" i="9"/>
  <c r="M117" i="9"/>
  <c r="J117" i="9"/>
  <c r="G117" i="9"/>
  <c r="I35" i="3"/>
  <c r="J35" i="3"/>
  <c r="H35" i="3"/>
  <c r="M13" i="3"/>
  <c r="L13" i="3"/>
  <c r="N13" i="3"/>
  <c r="N17" i="3"/>
  <c r="L17" i="3"/>
  <c r="M17" i="3"/>
  <c r="H73" i="3"/>
  <c r="I73" i="3"/>
  <c r="J73" i="3"/>
  <c r="M159" i="9"/>
  <c r="J159" i="9"/>
  <c r="G159" i="9"/>
  <c r="D159" i="9"/>
  <c r="P42" i="3"/>
  <c r="R42" i="3"/>
  <c r="Q42" i="3"/>
  <c r="P41" i="3"/>
  <c r="R41" i="3"/>
  <c r="Q41" i="3"/>
  <c r="I49" i="3"/>
  <c r="H49" i="3"/>
  <c r="J49" i="3"/>
  <c r="Q47" i="3"/>
  <c r="R47" i="3"/>
  <c r="P47" i="3"/>
  <c r="M68" i="3"/>
  <c r="N68" i="3"/>
  <c r="L68" i="3"/>
  <c r="I39" i="3"/>
  <c r="J39" i="3"/>
  <c r="H39" i="3"/>
  <c r="G280" i="9"/>
  <c r="D280" i="9"/>
  <c r="J280" i="9"/>
  <c r="M280" i="9"/>
  <c r="N6" i="3"/>
  <c r="M6" i="3"/>
  <c r="L6" i="3"/>
  <c r="H31" i="3"/>
  <c r="I31" i="3"/>
  <c r="J31" i="3"/>
  <c r="Q74" i="3"/>
  <c r="P74" i="3"/>
  <c r="R74" i="3"/>
  <c r="M67" i="9"/>
  <c r="J67" i="9"/>
  <c r="G67" i="9"/>
  <c r="D67" i="9"/>
  <c r="O130" i="9"/>
  <c r="N130" i="9" s="1"/>
  <c r="M6" i="9" s="1"/>
  <c r="G267" i="9"/>
  <c r="J267" i="9"/>
  <c r="M267" i="9"/>
  <c r="D267" i="9"/>
  <c r="J203" i="9"/>
  <c r="D203" i="9"/>
  <c r="M203" i="9"/>
  <c r="G203" i="9"/>
  <c r="D201" i="9"/>
  <c r="J201" i="9"/>
  <c r="M201" i="9"/>
  <c r="G201" i="9"/>
  <c r="Q44" i="3"/>
  <c r="P44" i="3"/>
  <c r="R44" i="3"/>
  <c r="D162" i="9"/>
  <c r="J162" i="9"/>
  <c r="M162" i="9"/>
  <c r="G162" i="9"/>
  <c r="J230" i="9"/>
  <c r="D230" i="9"/>
  <c r="G230" i="9"/>
  <c r="M230" i="9"/>
  <c r="P48" i="3"/>
  <c r="Q48" i="3"/>
  <c r="R48" i="3"/>
  <c r="H46" i="3"/>
  <c r="J46" i="3"/>
  <c r="I46" i="3"/>
  <c r="G81" i="9"/>
  <c r="D81" i="9"/>
  <c r="M81" i="9"/>
  <c r="J81" i="9"/>
  <c r="J276" i="9"/>
  <c r="M276" i="9"/>
  <c r="D276" i="9"/>
  <c r="G276" i="9"/>
  <c r="N48" i="3"/>
  <c r="L48" i="3"/>
  <c r="M48" i="3"/>
  <c r="M202" i="9"/>
  <c r="D202" i="9"/>
  <c r="J202" i="9"/>
  <c r="G202" i="9"/>
  <c r="D163" i="9"/>
  <c r="J163" i="9"/>
  <c r="M163" i="9"/>
  <c r="G163" i="9"/>
  <c r="H37" i="3"/>
  <c r="I37" i="3"/>
  <c r="J37" i="3"/>
  <c r="O168" i="9"/>
  <c r="N168" i="9" s="1"/>
  <c r="M12" i="9" s="1"/>
  <c r="G258" i="9"/>
  <c r="J258" i="9"/>
  <c r="M258" i="9"/>
  <c r="D258" i="9"/>
  <c r="M37" i="3"/>
  <c r="L37" i="3"/>
  <c r="N37" i="3"/>
  <c r="H69" i="3"/>
  <c r="J69" i="3"/>
  <c r="I69" i="3"/>
  <c r="P63" i="3"/>
  <c r="Q63" i="3"/>
  <c r="R63" i="3"/>
  <c r="N60" i="3"/>
  <c r="L60" i="3"/>
  <c r="M60" i="3"/>
  <c r="M6" i="5"/>
  <c r="L6" i="5"/>
  <c r="N6" i="5"/>
  <c r="J151" i="9"/>
  <c r="D151" i="9"/>
  <c r="M151" i="9"/>
  <c r="G151" i="9"/>
  <c r="I32" i="3"/>
  <c r="J32" i="3"/>
  <c r="H32" i="3"/>
  <c r="M51" i="9"/>
  <c r="D51" i="9"/>
  <c r="J51" i="9"/>
  <c r="G51" i="9"/>
  <c r="D71" i="9"/>
  <c r="G71" i="9"/>
  <c r="M71" i="9"/>
  <c r="J71" i="9"/>
  <c r="I282" i="9"/>
  <c r="H282" i="9" s="1"/>
  <c r="G14" i="9" s="1"/>
  <c r="G39" i="9"/>
  <c r="M39" i="9"/>
  <c r="D39" i="9"/>
  <c r="J39" i="9"/>
  <c r="J40" i="9"/>
  <c r="D40" i="9"/>
  <c r="G40" i="9"/>
  <c r="M40" i="9"/>
  <c r="N61" i="3"/>
  <c r="L61" i="3"/>
  <c r="M61" i="3"/>
  <c r="G83" i="9"/>
  <c r="J83" i="9"/>
  <c r="M83" i="9"/>
  <c r="D83" i="9"/>
  <c r="J199" i="9"/>
  <c r="D199" i="9"/>
  <c r="G199" i="9"/>
  <c r="M199" i="9"/>
  <c r="J42" i="9"/>
  <c r="G42" i="9"/>
  <c r="D42" i="9"/>
  <c r="M42" i="9"/>
  <c r="M176" i="9"/>
  <c r="D176" i="9"/>
  <c r="G176" i="9"/>
  <c r="J176" i="9"/>
  <c r="P56" i="3"/>
  <c r="Q56" i="3"/>
  <c r="R56" i="3"/>
  <c r="D222" i="9"/>
  <c r="G222" i="9"/>
  <c r="M222" i="9"/>
  <c r="J222" i="9"/>
  <c r="N24" i="3"/>
  <c r="M24" i="3"/>
  <c r="L24" i="3"/>
  <c r="L70" i="3"/>
  <c r="N70" i="3"/>
  <c r="M70" i="3"/>
  <c r="J87" i="9"/>
  <c r="G87" i="9"/>
  <c r="D87" i="9"/>
  <c r="M87" i="9"/>
  <c r="D31" i="9"/>
  <c r="M31" i="9"/>
  <c r="J31" i="9"/>
  <c r="G31" i="9"/>
  <c r="M69" i="3"/>
  <c r="N69" i="3"/>
  <c r="L69" i="3"/>
  <c r="R43" i="3"/>
  <c r="P43" i="3"/>
  <c r="Q43" i="3"/>
  <c r="M35" i="3"/>
  <c r="N35" i="3"/>
  <c r="L35" i="3"/>
  <c r="G141" i="9"/>
  <c r="J141" i="9"/>
  <c r="M141" i="9"/>
  <c r="D141" i="9"/>
  <c r="M20" i="5"/>
  <c r="N20" i="5"/>
  <c r="L20" i="5"/>
  <c r="M19" i="3"/>
  <c r="L19" i="3"/>
  <c r="N19" i="3"/>
  <c r="M12" i="5"/>
  <c r="N12" i="5"/>
  <c r="L12" i="5"/>
  <c r="M49" i="3"/>
  <c r="N49" i="3"/>
  <c r="L49" i="3"/>
  <c r="D37" i="9"/>
  <c r="M37" i="9"/>
  <c r="G37" i="9"/>
  <c r="J37" i="9"/>
  <c r="L18" i="5"/>
  <c r="M18" i="5"/>
  <c r="N18" i="5"/>
  <c r="D90" i="9"/>
  <c r="G90" i="9"/>
  <c r="M90" i="9"/>
  <c r="J90" i="9"/>
  <c r="D119" i="9"/>
  <c r="G119" i="9"/>
  <c r="M119" i="9"/>
  <c r="J119" i="9"/>
  <c r="J43" i="3"/>
  <c r="I43" i="3"/>
  <c r="H43" i="3"/>
  <c r="J82" i="9"/>
  <c r="D82" i="9"/>
  <c r="G82" i="9"/>
  <c r="M82" i="9"/>
  <c r="L168" i="9"/>
  <c r="K168" i="9" s="1"/>
  <c r="J12" i="9" s="1"/>
  <c r="J41" i="9"/>
  <c r="M41" i="9"/>
  <c r="G41" i="9"/>
  <c r="D41" i="9"/>
  <c r="I244" i="9"/>
  <c r="H244" i="9" s="1"/>
  <c r="G10" i="9" s="1"/>
  <c r="G144" i="9"/>
  <c r="D144" i="9"/>
  <c r="J144" i="9"/>
  <c r="M144" i="9"/>
  <c r="J198" i="9"/>
  <c r="G198" i="9"/>
  <c r="M198" i="9"/>
  <c r="D198" i="9"/>
  <c r="J224" i="9"/>
  <c r="G224" i="9"/>
  <c r="M224" i="9"/>
  <c r="D224" i="9"/>
  <c r="M157" i="9"/>
  <c r="D157" i="9"/>
  <c r="G157" i="9"/>
  <c r="J157" i="9"/>
  <c r="P32" i="3"/>
  <c r="R32" i="3"/>
  <c r="Q32" i="3"/>
  <c r="Q71" i="3"/>
  <c r="R71" i="3"/>
  <c r="P71" i="3"/>
  <c r="H75" i="3"/>
  <c r="I75" i="3"/>
  <c r="J75" i="3"/>
  <c r="G223" i="9"/>
  <c r="M223" i="9"/>
  <c r="J223" i="9"/>
  <c r="D223" i="9"/>
  <c r="G85" i="9"/>
  <c r="M85" i="9"/>
  <c r="J85" i="9"/>
  <c r="D85" i="9"/>
  <c r="M20" i="3"/>
  <c r="N20" i="3"/>
  <c r="L20" i="3"/>
  <c r="D98" i="9"/>
  <c r="M98" i="9"/>
  <c r="G98" i="9"/>
  <c r="J98" i="9"/>
  <c r="C130" i="9"/>
  <c r="M61" i="9"/>
  <c r="D61" i="9"/>
  <c r="J61" i="9"/>
  <c r="G61" i="9"/>
  <c r="G239" i="9"/>
  <c r="M239" i="9"/>
  <c r="D239" i="9"/>
  <c r="J239" i="9"/>
  <c r="L73" i="3"/>
  <c r="N73" i="3"/>
  <c r="M73" i="3"/>
  <c r="M10" i="5"/>
  <c r="N10" i="5"/>
  <c r="L10" i="5"/>
  <c r="G77" i="9"/>
  <c r="D77" i="9"/>
  <c r="M77" i="9"/>
  <c r="J77" i="9"/>
  <c r="H67" i="3"/>
  <c r="J67" i="3"/>
  <c r="I67" i="3"/>
  <c r="P36" i="3"/>
  <c r="R36" i="3"/>
  <c r="Q36" i="3"/>
  <c r="P35" i="3"/>
  <c r="R35" i="3"/>
  <c r="Q35" i="3"/>
  <c r="D148" i="9"/>
  <c r="J148" i="9"/>
  <c r="G148" i="9"/>
  <c r="M148" i="9"/>
  <c r="Q50" i="3"/>
  <c r="R50" i="3"/>
  <c r="P50" i="3"/>
  <c r="M7" i="3"/>
  <c r="N7" i="3"/>
  <c r="L7" i="3"/>
  <c r="J48" i="9"/>
  <c r="M48" i="9"/>
  <c r="D48" i="9"/>
  <c r="G48" i="9"/>
  <c r="G181" i="9"/>
  <c r="D181" i="9"/>
  <c r="J181" i="9"/>
  <c r="M181" i="9"/>
  <c r="Q39" i="3"/>
  <c r="R39" i="3"/>
  <c r="P39" i="3"/>
  <c r="J35" i="9"/>
  <c r="G35" i="9"/>
  <c r="M35" i="9"/>
  <c r="D35" i="9"/>
  <c r="Q72" i="3"/>
  <c r="R72" i="3"/>
  <c r="P72" i="3"/>
  <c r="J237" i="9"/>
  <c r="G237" i="9"/>
  <c r="M237" i="9"/>
  <c r="D237" i="9"/>
  <c r="M63" i="3"/>
  <c r="L63" i="3"/>
  <c r="N63" i="3"/>
  <c r="N72" i="3"/>
  <c r="L72" i="3"/>
  <c r="M72" i="3"/>
  <c r="M46" i="3"/>
  <c r="N46" i="3"/>
  <c r="L46" i="3"/>
  <c r="J189" i="9"/>
  <c r="D189" i="9"/>
  <c r="M189" i="9"/>
  <c r="G189" i="9"/>
  <c r="D140" i="9"/>
  <c r="J140" i="9"/>
  <c r="M140" i="9"/>
  <c r="G140" i="9"/>
  <c r="J154" i="9"/>
  <c r="D154" i="9"/>
  <c r="M154" i="9"/>
  <c r="G154" i="9"/>
  <c r="N42" i="3"/>
  <c r="L42" i="3"/>
  <c r="M42" i="3"/>
  <c r="G80" i="9"/>
  <c r="J80" i="9"/>
  <c r="D80" i="9"/>
  <c r="M80" i="9"/>
  <c r="L21" i="5"/>
  <c r="M21" i="5"/>
  <c r="N21" i="5"/>
  <c r="D110" i="9"/>
  <c r="J110" i="9"/>
  <c r="M110" i="9"/>
  <c r="G110" i="9"/>
  <c r="H61" i="3"/>
  <c r="I61" i="3"/>
  <c r="J61" i="3"/>
  <c r="D24" i="9"/>
  <c r="M24" i="9"/>
  <c r="J24" i="9"/>
  <c r="G24" i="9"/>
  <c r="G101" i="9"/>
  <c r="M101" i="9"/>
  <c r="J101" i="9"/>
  <c r="D101" i="9"/>
  <c r="P58" i="3"/>
  <c r="Q58" i="3"/>
  <c r="R58" i="3"/>
  <c r="J232" i="9"/>
  <c r="G232" i="9"/>
  <c r="D232" i="9"/>
  <c r="M232" i="9"/>
  <c r="M229" i="9"/>
  <c r="J229" i="9"/>
  <c r="G229" i="9"/>
  <c r="D229" i="9"/>
  <c r="D177" i="9"/>
  <c r="G177" i="9"/>
  <c r="M177" i="9"/>
  <c r="J177" i="9"/>
  <c r="I74" i="3"/>
  <c r="J74" i="3"/>
  <c r="H74" i="3"/>
  <c r="M19" i="5"/>
  <c r="L19" i="5"/>
  <c r="N19" i="5"/>
  <c r="N18" i="3"/>
  <c r="M18" i="3"/>
  <c r="L18" i="3"/>
  <c r="G121" i="9"/>
  <c r="J121" i="9"/>
  <c r="D121" i="9"/>
  <c r="M121" i="9"/>
  <c r="Q60" i="3"/>
  <c r="R60" i="3"/>
  <c r="P60" i="3"/>
  <c r="D225" i="9"/>
  <c r="G225" i="9"/>
  <c r="J225" i="9"/>
  <c r="M225" i="9"/>
  <c r="H68" i="3"/>
  <c r="J68" i="3"/>
  <c r="I68" i="3"/>
  <c r="G220" i="9"/>
  <c r="D220" i="9"/>
  <c r="M220" i="9"/>
  <c r="J220" i="9"/>
  <c r="I41" i="3"/>
  <c r="J41" i="3"/>
  <c r="H41" i="3"/>
  <c r="N65" i="3"/>
  <c r="L65" i="3"/>
  <c r="M65" i="3"/>
  <c r="I168" i="9"/>
  <c r="H168" i="9" s="1"/>
  <c r="G12" i="9" s="1"/>
  <c r="L244" i="9"/>
  <c r="K244" i="9" s="1"/>
  <c r="J10" i="9" s="1"/>
  <c r="H44" i="3"/>
  <c r="J44" i="3"/>
  <c r="I44" i="3"/>
  <c r="N11" i="5"/>
  <c r="M11" i="5"/>
  <c r="L11" i="5"/>
  <c r="J175" i="9"/>
  <c r="G175" i="9"/>
  <c r="D175" i="9"/>
  <c r="M175" i="9"/>
  <c r="J136" i="9"/>
  <c r="C168" i="9"/>
  <c r="D136" i="9"/>
  <c r="M136" i="9"/>
  <c r="G136" i="9"/>
  <c r="J153" i="9"/>
  <c r="G153" i="9"/>
  <c r="M153" i="9"/>
  <c r="D153" i="9"/>
  <c r="M52" i="9"/>
  <c r="D52" i="9"/>
  <c r="G52" i="9"/>
  <c r="J52" i="9"/>
  <c r="G27" i="9"/>
  <c r="M27" i="9"/>
  <c r="J27" i="9"/>
  <c r="D27" i="9"/>
  <c r="J259" i="9"/>
  <c r="D259" i="9"/>
  <c r="G259" i="9"/>
  <c r="M259" i="9"/>
  <c r="D84" i="9"/>
  <c r="J84" i="9"/>
  <c r="M84" i="9"/>
  <c r="G84" i="9"/>
  <c r="D261" i="9"/>
  <c r="J261" i="9"/>
  <c r="M261" i="9"/>
  <c r="G261" i="9"/>
  <c r="L23" i="5"/>
  <c r="N23" i="5"/>
  <c r="M23" i="5"/>
  <c r="Q75" i="3"/>
  <c r="P75" i="3"/>
  <c r="R75" i="3"/>
  <c r="G168" i="9" l="1"/>
  <c r="J168" i="9"/>
  <c r="J282" i="9"/>
  <c r="G206" i="9"/>
  <c r="M244" i="9"/>
  <c r="M168" i="9"/>
  <c r="M130" i="9"/>
  <c r="G282" i="9"/>
  <c r="M282" i="9"/>
  <c r="J206" i="9"/>
  <c r="J244" i="9"/>
  <c r="G92" i="9"/>
  <c r="E54" i="9"/>
  <c r="D16" i="9" s="1"/>
  <c r="B12" i="9" s="1"/>
  <c r="B11" i="9"/>
  <c r="J54" i="9"/>
  <c r="M54" i="9"/>
  <c r="D168" i="9"/>
  <c r="D130" i="9"/>
  <c r="D206" i="9"/>
  <c r="D244" i="9"/>
  <c r="M92" i="9"/>
  <c r="D54" i="9"/>
  <c r="J130" i="9"/>
  <c r="D282" i="9"/>
  <c r="M206" i="9"/>
  <c r="G244" i="9"/>
  <c r="D92" i="9"/>
  <c r="G130" i="9"/>
  <c r="J92" i="9"/>
  <c r="G54" i="9"/>
  <c r="B10" i="9" l="1"/>
  <c r="B4" i="9"/>
  <c r="B6" i="9"/>
  <c r="B5" i="9"/>
  <c r="B15" i="9"/>
  <c r="B14" i="9"/>
  <c r="B9" i="9"/>
  <c r="B16" i="9"/>
  <c r="B13" i="9"/>
  <c r="B8" i="9"/>
  <c r="B7" i="9"/>
  <c r="B3" i="9"/>
</calcChain>
</file>

<file path=xl/sharedStrings.xml><?xml version="1.0" encoding="utf-8"?>
<sst xmlns="http://schemas.openxmlformats.org/spreadsheetml/2006/main" count="6933" uniqueCount="408">
  <si>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</si>
  <si>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</si>
  <si>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</si>
  <si>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</si>
  <si>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</si>
  <si>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</si>
  <si>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</si>
  <si>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</si>
  <si>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</si>
  <si>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</si>
  <si>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</si>
  <si>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</si>
  <si>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</si>
  <si>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</si>
  <si>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</si>
  <si>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</si>
  <si>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</si>
  <si>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</si>
  <si>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</si>
  <si>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</si>
  <si>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</si>
  <si>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</si>
  <si>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</si>
  <si>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</si>
  <si>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</si>
  <si>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</si>
  <si>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</si>
  <si>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</si>
  <si>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</si>
  <si>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</si>
  <si>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</si>
  <si>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</si>
  <si>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</si>
  <si>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</si>
  <si>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</si>
  <si>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</si>
  <si>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</si>
  <si>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</si>
  <si>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</si>
  <si>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</si>
  <si>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</si>
  <si>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</si>
  <si>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</si>
  <si>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</si>
  <si>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</si>
  <si>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</si>
  <si>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</si>
  <si>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</si>
  <si>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</si>
  <si>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</si>
  <si>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</si>
  <si>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</si>
  <si>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</si>
  <si>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</si>
  <si>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</si>
  <si>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</si>
  <si>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</si>
  <si>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</si>
  <si>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</si>
  <si>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</si>
  <si>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</si>
  <si>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</si>
  <si>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</si>
  <si>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</si>
  <si>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</si>
  <si>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</si>
  <si>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</si>
  <si>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</si>
  <si>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</si>
  <si>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</si>
  <si>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</si>
  <si>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</si>
  <si>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</si>
  <si>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</si>
  <si>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</si>
  <si>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</si>
  <si>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</si>
  <si>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</si>
  <si>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</si>
  <si>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</si>
  <si>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</si>
  <si>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</si>
  <si>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</si>
  <si>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</si>
  <si>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</si>
  <si>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</si>
  <si>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</si>
  <si>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</si>
  <si>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</si>
  <si>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</si>
  <si>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</si>
  <si>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</si>
  <si>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</si>
  <si>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</si>
  <si>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</si>
  <si>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</si>
  <si>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</si>
  <si>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</si>
  <si>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</si>
  <si>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</si>
  <si>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</si>
  <si>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</si>
  <si>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</si>
  <si>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</si>
  <si>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</si>
  <si>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</si>
  <si>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</si>
  <si>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</si>
  <si>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</si>
  <si>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</si>
  <si>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</si>
  <si>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</si>
  <si>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</si>
  <si>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</si>
  <si>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</si>
  <si>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</si>
  <si>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</si>
  <si>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</si>
  <si>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</si>
  <si>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</si>
  <si>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</si>
  <si>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</si>
  <si>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</si>
  <si>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</si>
  <si>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</si>
  <si>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</si>
  <si>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</si>
  <si>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</si>
  <si>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</si>
  <si>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</si>
  <si>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</si>
  <si>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</si>
  <si>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</si>
  <si>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</si>
  <si>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</si>
  <si>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</si>
  <si>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</si>
  <si>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</si>
  <si>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</si>
  <si>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</si>
  <si>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</si>
  <si>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</si>
  <si>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</si>
  <si>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</si>
  <si>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</si>
  <si>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</si>
  <si>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</si>
  <si>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</si>
  <si>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</si>
  <si>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</si>
  <si>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</si>
  <si>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</si>
  <si>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</si>
  <si>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</si>
  <si>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</si>
  <si>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</si>
  <si>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</si>
  <si>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</si>
  <si>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</si>
  <si>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</si>
  <si>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</si>
  <si>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</si>
  <si>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</si>
  <si>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</si>
  <si>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</si>
  <si>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</si>
  <si>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</si>
  <si>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</si>
  <si>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</si>
  <si>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</si>
  <si>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</si>
  <si>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</si>
  <si>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</si>
  <si>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</si>
  <si>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</si>
  <si>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</si>
  <si>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</si>
  <si>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</si>
  <si>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</si>
  <si>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</si>
  <si>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</si>
  <si>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</si>
  <si>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</si>
  <si>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</si>
  <si>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</si>
  <si>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</si>
  <si>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</si>
  <si>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</si>
  <si>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</si>
  <si>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</si>
  <si>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</si>
  <si>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</si>
  <si>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</si>
  <si>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</si>
  <si>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</si>
  <si>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</si>
  <si>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</si>
  <si>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</si>
  <si>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</si>
  <si>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</si>
  <si>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</si>
  <si>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</si>
  <si>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</si>
  <si>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</si>
  <si>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</si>
  <si>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</si>
  <si>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</si>
  <si>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</si>
  <si>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</si>
  <si>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</si>
  <si>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</si>
  <si>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</si>
  <si>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</si>
  <si>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</si>
  <si>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</si>
  <si>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</si>
  <si>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</si>
  <si>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</si>
  <si>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</si>
  <si>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</si>
  <si>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</si>
  <si>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</si>
  <si>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</si>
  <si>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</si>
  <si>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</si>
  <si>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</si>
  <si>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</si>
  <si>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</si>
  <si>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</si>
  <si>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</si>
  <si>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</si>
  <si>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</si>
  <si>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</si>
  <si>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</si>
  <si>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</si>
  <si>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</si>
  <si>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</si>
  <si>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</si>
  <si>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</si>
  <si>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</si>
  <si>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</si>
  <si>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</si>
  <si>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</si>
  <si>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</si>
  <si>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</si>
  <si>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</si>
  <si>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</si>
  <si>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</si>
  <si>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</si>
  <si>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</si>
  <si>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</si>
  <si>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</si>
  <si>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</si>
  <si>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</si>
  <si>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</si>
  <si>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</si>
  <si>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</si>
  <si>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</si>
  <si>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</si>
  <si>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</si>
  <si>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</si>
  <si>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</si>
  <si>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</si>
  <si>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</si>
  <si>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</si>
  <si>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</si>
  <si>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</si>
  <si>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</si>
  <si>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</si>
  <si>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</si>
  <si>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</si>
  <si>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</si>
  <si>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</si>
  <si>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</si>
  <si>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</si>
  <si>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</si>
  <si>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</si>
  <si>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</si>
  <si>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</si>
  <si>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</si>
  <si>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</si>
  <si>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</si>
  <si>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</si>
  <si>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</si>
  <si>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</si>
  <si>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</si>
  <si>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</si>
  <si>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</si>
  <si>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</si>
  <si>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</si>
  <si>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</si>
  <si>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</si>
  <si>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</si>
  <si>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</si>
  <si>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</si>
  <si>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</si>
  <si>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</si>
  <si>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</si>
  <si>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</si>
  <si>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</si>
  <si>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</si>
  <si>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</si>
  <si>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</si>
  <si>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</si>
  <si>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</si>
  <si>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</si>
  <si>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</si>
  <si>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</si>
  <si>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</si>
  <si>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</si>
  <si>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</si>
  <si>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</si>
  <si>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</si>
  <si>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</si>
  <si>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</si>
  <si>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</si>
  <si>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</si>
  <si>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</si>
  <si>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</si>
  <si>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</si>
  <si>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</si>
  <si>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</si>
  <si>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</si>
  <si>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</si>
  <si>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</si>
  <si>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</si>
  <si>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</si>
  <si>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</si>
  <si>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</si>
  <si>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</si>
  <si>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</si>
  <si>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</si>
  <si>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</si>
  <si>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</si>
  <si>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</si>
  <si>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</si>
  <si>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</si>
  <si>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</si>
  <si>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</si>
  <si>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</si>
  <si>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</si>
  <si>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</si>
  <si>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</si>
  <si>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</si>
  <si>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</si>
  <si>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</si>
  <si>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</si>
  <si>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</si>
  <si>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</si>
  <si>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</si>
  <si>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</si>
  <si>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</si>
  <si>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</si>
  <si>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</si>
  <si>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</si>
  <si>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</si>
  <si>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</si>
  <si>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</si>
  <si>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</si>
  <si>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</si>
  <si>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</si>
  <si>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</si>
  <si>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</si>
  <si>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</si>
  <si>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</si>
  <si>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</si>
  <si>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</si>
  <si>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</si>
  <si>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</si>
  <si>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</si>
  <si>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</si>
  <si>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</si>
  <si>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</si>
  <si>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</si>
  <si>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</si>
  <si>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</si>
  <si>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</si>
  <si>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</si>
  <si>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</si>
  <si>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</si>
  <si>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</si>
  <si>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</si>
  <si>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</si>
  <si>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</si>
  <si>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</si>
  <si>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</si>
  <si>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</si>
  <si>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</si>
  <si>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</si>
  <si>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</si>
  <si>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</si>
  <si>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</si>
  <si>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</si>
  <si>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</si>
  <si>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</si>
  <si>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</si>
  <si>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</si>
  <si>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</si>
  <si>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</si>
  <si>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</si>
  <si>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</si>
  <si>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</si>
  <si>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</si>
  <si>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엔도르</t>
    <phoneticPr fontId="1" type="noConversion"/>
  </si>
  <si>
    <t>2021.05.14</t>
    <phoneticPr fontId="1" type="noConversion"/>
  </si>
  <si>
    <t>플레이댑</t>
    <phoneticPr fontId="1" type="noConversion"/>
  </si>
  <si>
    <t>2021.05.15</t>
    <phoneticPr fontId="1" type="noConversion"/>
  </si>
  <si>
    <t>솔브케어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</si>
</sst>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32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29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BA90721-CF4F-45A1-BB88-ACC3119BF6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6F41397C-05E9-41BA-BF57-A43BD22847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3A6B25C3-8749-4751-B898-C6F3F6BA3F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FE651664-A2D3-4CA1-911A-3B121A676F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3EEC9BC3-5264-41B1-B094-8473714E7D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2C438901-C999-4CAF-A7E0-B0750CF1D2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BEE38CA0-8888-4AB2-8380-E1E60F2104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20E1CDC6-EA9B-42B8-AA34-CBDAC2A491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72D71AA6-8417-47E7-A22B-0E5A39A75B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387F11FD-A02D-4E7B-B553-C8F1377E89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F6180DD5-B130-4B20-AEDF-4D48A79895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C4CB094D-9D99-4C9B-A4C1-2CC6C0EF5F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A5F966A-474F-436E-8E16-CEB41D26FC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B1800A75-9C46-400A-A3C5-627B1A4DDE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A54AF8EE-29C4-486E-B372-B268D1BAD3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BD0302D5-1D1D-4D30-9F3D-53D4039990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7F3F8979-FFA3-40AC-9897-1E4AD47A1F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17E2F4E5-8861-45B9-A11B-ADC25FDD8A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E4A40730-C761-41E8-A001-9EE6EE7063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C38E8B1-F817-4F64-86D9-26E005A12B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156047F1-AFE3-4A08-A79D-EC5801B5DB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284285BC-80B5-409E-94A2-FE912D66BA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285A931F-70A4-4426-AC33-2A89D0AD74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2CF7DC43-3ACA-495D-ABC4-9BF6C92BE4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5B5908E4-1153-42EB-B603-E6B03D55D2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6BEFAA95-02B6-4776-BE98-7028A549F1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EC505769-9E0A-4A0B-A18D-C9C8CA08B9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5DC9AFC8-34AE-4B61-984A-6AAC07C488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9C7810B4-F4BB-423C-9CA3-490E1F69AE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EE57B1D6-A601-44B5-8D46-65055F1492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2555BCB-D785-4D68-AA4B-379F369A57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652E3857-A39B-4659-90DF-5B88426765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CEA31C6E-7DFE-487F-94E4-1C7E2D9083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36199CF3-2035-4D09-8D8D-254EE90C1E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DE7BAEE-93C1-4457-AEBB-DAA0541C05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5381D106-56C7-4B58-A662-F639D7E174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D97F5EA4-4F79-4CAA-BBB6-67C655F55C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A4A1AF3D-C8FE-402F-B6F8-2FEB160421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503DC9BB-F9DA-43E9-A864-07C4490D33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F276251D-C5C5-4BE9-89FA-B9483A5639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A2A66D45-92D9-4EA1-B5F6-BA0336308F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37FF4D4-D79A-4F34-8BDE-0E3DEA119C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6A0568BC-D607-4315-BBE5-DDA9AD4502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D01A0140-6C17-4E58-8C26-C203427AB3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A11AD3B7-22DD-4EB0-BF83-9689A5B519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90C08765-D3AC-4634-BB1F-D6C44EE11B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5F661F3C-ED19-4E62-A4AB-5A50F9B1C9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7B54C155-30A9-40CB-8B57-55397CA3D5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E0C24268-3C3F-4C79-A8F2-5413A43F35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A541A87A-CDC7-4AF8-BEAE-C740BEF2B4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BE9AB9A3-2D8B-4B17-951F-121A90EEA2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12E0924A-84C6-437C-85DC-4A7E169185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52660C5C-E893-4F18-9E84-D37777A70C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A148E0DF-7A21-46C8-B292-BA55C77DA6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34DFCCFE-F518-4E20-865C-C1D4C7EE22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2D88E5A3-F600-45E8-BAD5-24EE981F24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1E0006AA-8FDD-459A-B05F-BD1744B2D9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357CC71F-0922-41DB-AC0E-94323A4304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5ED92D91-9E36-4C56-8E9B-ADE3FC269E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FB036AF7-D089-4A70-AE82-A5852E1EA0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76BC4B82-A46C-4AC3-8CB4-C567B513D0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382343BF-0901-4883-A66E-27916FA1C9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ED851695-F2A9-4236-B7CB-5ECBF476E4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BB18E17-F988-4BA3-BA1A-E03033C9B2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8332F08-6B0E-4F9B-B5D8-665B193777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210F3A45-0205-428F-B087-3BB2F7E29F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ABFB8794-F758-44D4-9187-94509EA051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BEC8C817-8A89-423F-826F-D5AB0AD9AC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56055BB6-ACBE-45D6-BD2B-D67C92A1CD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70FCC9E8-25F7-472B-957E-1CDC50E1E0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AC7F1636-C902-4C66-BBF9-6AB2A305F2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EFBABB2D-D1CF-4D1B-85E0-A4C19BEED4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EAC2A6B9-55F0-4448-BF54-E5D76CA17F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BEA0C961-D604-4B33-99F8-D282FB11EA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3FF5E7B-1E2D-44CD-926B-1AD8E255D8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50FA425B-8E6F-43D6-BFB7-EA1CE4D463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75EAC3B9-9646-4601-B3BB-58CACF368C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3A8A66E5-112E-4C77-BF20-EC92B9DE74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EAF5FE60-292A-4009-A241-C6455D9064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A3AE5050-2A1A-4EF0-857C-E5CB94350D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BBBD4B1C-DC70-4065-992E-C29E711F8F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54C908E1-26DC-45AA-867A-09C34728C8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F4D8558F-6D46-4016-9B79-37A2DCF581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CDB99C2E-CC89-449F-BBC3-E1453DEC62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FB926100-BE7E-4905-BB0C-BBCCD8FF0D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4ED0892D-E74A-413F-98D4-D164C5F070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1D22F855-B993-4181-A19A-E5CEB5EDBA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78EB197C-C988-49DB-85D9-46419A6FA6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A4F04723-F46A-457E-8C74-1046CF34C5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CFEFE63D-6018-45C4-9686-C20D91C56B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40B59DA3-94D2-4C82-8D9D-0B19940D20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B0A5DB23-AA53-4DDE-8AFC-9A7F4C41D6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5C762F0D-78A5-4190-8F7B-1E3F446575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C36D86CC-83F0-4816-B72D-185E021324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A6F4573-FEA3-4DE0-8089-0485397EA3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B802ED08-9DC7-4906-8D0A-6A732D3439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35628E64-5414-4949-B173-925185E38D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82BD58B9-DA29-4E96-8275-2571C052A5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367F7A9C-043A-47F7-ABF3-C0A2481CE9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64B52410-E7BF-45B7-9E38-2428BF2BF3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954F2F6A-2F7F-40DD-870C-123642C225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10406E08-C0A1-4599-B712-EC13F4784B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D5D452DA-BEE3-4FB7-BD97-81166A4D8F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B3B09FA4-F109-41F9-960D-A56B435DBE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A07832F4-F1D0-4E81-B5E5-9662C06441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AF0F701F-BACD-48C3-B566-8713417A23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D3D0F344-37F9-4FD1-8FDB-6BC46E7855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7F0F0594-E676-4135-BD8C-4903869BC8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7C6E36D-11E2-4F22-87DE-608873173B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FA0340A9-F5C9-41EC-855F-7232B6B5A8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12E84458-28AC-4BCA-AC43-8BB5A7A834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6F3DAB8-49CB-425D-98F8-EAE242776C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E09B2E52-54E9-4B00-8548-5C101D706F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87A45C9-5693-44DE-A5BB-BA58F7AA96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3EE4A882-9A79-40A2-B876-C709BCC7E7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73181E42-EBE5-4B6F-A4E7-18B6EA9E50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D9F35FF1-4575-4AA7-9A25-7C49FB1CC7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ED3A0AA3-960F-4E0C-832B-7BF86B56A0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95D446A4-E9BA-4401-8198-0CE746BD98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F06C1B35-EF38-4FCC-AA86-F4B75CA465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B3D3C497-0778-404C-A0E8-500B1C3189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80808F53-2C5F-4D2D-9B7E-DCA4DAB977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D73B50CC-DC2F-4B19-82F7-9F15275484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28F516D1-0D39-48D2-AA8C-7FD504FB90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4A4758EB-B5A8-45A2-818C-AEA0FBA4CB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8563478A-9FC1-4658-A823-31C227DFF4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9CC7E490-7FC4-4494-A3B1-C0E5A1FD4E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AFA8B3B6-BBDF-446B-B17F-26E5FAFB5B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37890ADE-8BC9-46EC-9B6A-6F68DBB37F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1BE86ADF-5D8C-47FC-AFA6-B377F14C53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1760B2E4-8EBF-4CC7-AD9B-B2D9923026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FCF0059A-FEDA-4083-B7CF-C1A172F28B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14423AD9-E0DD-4CF7-8373-C7EAAC47A0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899D6DE6-734D-4C16-8AA9-8622A61C49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EAD978B8-8538-4282-A4D5-34B17EEA37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6A8E35D0-F151-4EDF-876C-E3503D6108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7012B86D-6787-403D-B0A4-5274544132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4C7EF88D-54E6-4676-843B-E129A25611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67A4B589-6A6F-4310-B4B9-CEB9B30C9F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6E25AD1A-1094-4547-B4A4-7C22B87939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44287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" t="s">
        <v>3</v>
      </c>
      <c r="B2" s="247" t="s">
        <v>4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5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4" t="s">
        <v>7</v>
      </c>
      <c r="B3" s="253" t="s">
        <v>8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7"/>
      <c r="I3" s="258"/>
      <c r="J3" s="4" t="s">
        <v>7</v>
      </c>
      <c r="K3" s="253" t="s">
        <v>9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53" t="s">
        <v>12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13</v>
      </c>
      <c r="L4" s="254"/>
      <c r="M4" s="254"/>
      <c r="N4" s="254"/>
      <c r="O4" s="255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53" t="s">
        <v>16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7"/>
      <c r="I5" s="258"/>
      <c r="J5" s="4" t="s">
        <v>15</v>
      </c>
      <c r="K5" s="253" t="s">
        <v>17</v>
      </c>
      <c r="L5" s="254"/>
      <c r="M5" s="254"/>
      <c r="N5" s="254"/>
      <c r="O5" s="255"/>
    </row>
    <row r="6" spans="1:19">
      <c r="A6" s="4" t="s">
        <v>18</v>
      </c>
      <c r="B6" s="253" t="s">
        <v>19</v>
      </c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20</v>
      </c>
      <c r="L6" s="254"/>
      <c r="M6" s="254"/>
      <c r="N6" s="254"/>
      <c r="O6" s="255"/>
    </row>
    <row r="7" spans="1:19" ht="17.25" thickBot="1">
      <c r="A7" s="4" t="s">
        <v>21</v>
      </c>
      <c r="B7" s="253" t="s">
        <v>22</v>
      </c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7"/>
      <c r="I7" s="258"/>
      <c r="J7" s="4" t="s">
        <v>21</v>
      </c>
      <c r="K7" s="253" t="s">
        <v>23</v>
      </c>
      <c r="L7" s="254"/>
      <c r="M7" s="254"/>
      <c r="N7" s="254"/>
      <c r="O7" s="255"/>
    </row>
    <row r="8" spans="1:19" ht="17.25" thickBot="1">
      <c r="A8" s="4" t="s">
        <v>24</v>
      </c>
      <c r="B8" s="253" t="s">
        <v>25</v>
      </c>
      <c r="C8" s="254"/>
      <c r="D8" s="254"/>
      <c r="E8" s="254"/>
      <c r="F8" s="255"/>
      <c r="G8" s="250" t="s">
        <v>285</v>
      </c>
      <c r="H8" s="251"/>
      <c r="I8" s="252"/>
      <c r="J8" s="4" t="s">
        <v>24</v>
      </c>
      <c r="K8" s="253" t="s">
        <v>26</v>
      </c>
      <c r="L8" s="254"/>
      <c r="M8" s="254"/>
      <c r="N8" s="254"/>
      <c r="O8" s="255"/>
      <c r="Q8" s="241" t="s">
        <v>27</v>
      </c>
      <c r="R8" s="243"/>
    </row>
    <row r="9" spans="1:19" ht="17.25" thickBot="1">
      <c r="A9" s="4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7"/>
      <c r="I9" s="258"/>
      <c r="J9" s="4" t="s">
        <v>28</v>
      </c>
      <c r="K9" s="253" t="s">
        <v>293</v>
      </c>
      <c r="L9" s="254"/>
      <c r="M9" s="254"/>
      <c r="N9" s="254"/>
      <c r="O9" s="255"/>
      <c r="Q9" s="2" t="s">
        <v>29</v>
      </c>
      <c r="R9" s="6">
        <v>10</v>
      </c>
    </row>
    <row r="10" spans="1:19">
      <c r="A10" s="4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/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7" t="s">
        <v>32</v>
      </c>
      <c r="B11" s="259"/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/>
      <c r="L11" s="260"/>
      <c r="M11" s="260"/>
      <c r="N11" s="260"/>
      <c r="O11" s="261"/>
      <c r="Q11" s="61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07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62017000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-1.6680144000000001E-2</v>
      </c>
      <c r="N14" s="272"/>
      <c r="O14" s="273"/>
      <c r="Q14" s="262"/>
      <c r="R14" s="262"/>
      <c r="S14" s="262"/>
    </row>
    <row r="15" spans="1:19" ht="17.25" customHeight="1" thickBot="1">
      <c r="A15" s="263" t="s">
        <v>39</v>
      </c>
      <c r="B15" s="274" t="str">
        <f>TEXT($G$1, "[$-ko-KR]yyyy-mm-dd(ddd) ") &amp; "오전 00:00"</f>
        <v>2021-04-01(목) 오전 00:00</v>
      </c>
      <c r="C15" s="275"/>
      <c r="D15" s="264" t="str">
        <f>TEXT($G$1, "[$-ko-KR]yyyy-mm-dd(ddd) ") &amp; "오후 14:00"</f>
        <v>2021-04-01(목) 오후 14:00</v>
      </c>
      <c r="E15" s="265"/>
      <c r="F15" s="266"/>
      <c r="G15" s="264" t="str">
        <f>TEXT($G$1, "[$-ko-KR]yyyy-mm-dd(ddd) ") &amp; "오후 19:00"</f>
        <v>2021-04-01(목) 오후 19:00</v>
      </c>
      <c r="H15" s="265"/>
      <c r="I15" s="266"/>
      <c r="J15" s="264" t="str">
        <f>TEXT($G$1, "[$-ko-KR]yyyy-mm-dd(ddd) ") &amp; "오후 21:00"</f>
        <v>2021-04-01(목) 오후 21:00</v>
      </c>
      <c r="K15" s="265"/>
      <c r="L15" s="266"/>
      <c r="M15" s="264" t="str">
        <f>TEXT($G$1+1, "[$-ko-KR]yyyy-mm-dd(ddd) ") &amp; "오전 00:00"</f>
        <v>2021-04-02(금) 오전 00:00</v>
      </c>
      <c r="N15" s="265"/>
      <c r="O15" s="266"/>
      <c r="Q15" s="262"/>
      <c r="R15" s="262"/>
      <c r="S15" s="262"/>
    </row>
    <row r="16" spans="1:19" ht="17.25" customHeight="1" thickBot="1">
      <c r="A16" s="26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7"/>
      <c r="R16" s="267"/>
      <c r="S16" s="267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67"/>
      <c r="R22" s="267"/>
      <c r="S22" s="26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76"/>
      <c r="R26" s="277"/>
      <c r="S26" s="27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67"/>
      <c r="R32" s="267"/>
      <c r="S32" s="26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92"/>
      <c r="R36" s="293"/>
      <c r="S36" s="294"/>
    </row>
    <row r="37" spans="1:19" ht="17.25" customHeight="1" thickBot="1">
      <c r="A37" s="26" t="s">
        <v>42</v>
      </c>
      <c r="B37" s="298">
        <v>300000</v>
      </c>
      <c r="C37" s="29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07" t="s">
        <v>298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62017000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-1.6680144000000001E-2</v>
      </c>
      <c r="N41" s="272"/>
      <c r="O41" s="273"/>
      <c r="Q41" s="262"/>
      <c r="R41" s="262"/>
      <c r="S41" s="262"/>
    </row>
    <row r="42" spans="1:19" ht="17.25" customHeight="1" thickBot="1">
      <c r="A42" s="285" t="s">
        <v>55</v>
      </c>
      <c r="B42" s="287" t="str">
        <f>TEXT($G$1, "[$-ko-KR]yyyy-mm-dd(ddd) ") &amp; "오전 00:00"</f>
        <v>2021-04-01(목) 오전 00:00</v>
      </c>
      <c r="C42" s="288"/>
      <c r="D42" s="264" t="str">
        <f>TEXT($G$1, "[$-ko-KR]yyyy-mm-dd(ddd) ") &amp; "오후 14:00"</f>
        <v>2021-04-01(목) 오후 14:00</v>
      </c>
      <c r="E42" s="265"/>
      <c r="F42" s="266"/>
      <c r="G42" s="264" t="str">
        <f>TEXT($G$1, "[$-ko-KR]yyyy-mm-dd(ddd) ") &amp; "오후 19:00"</f>
        <v>2021-04-01(목) 오후 19:00</v>
      </c>
      <c r="H42" s="265"/>
      <c r="I42" s="266"/>
      <c r="J42" s="264" t="str">
        <f>TEXT($G$1, "[$-ko-KR]yyyy-mm-dd(ddd) ") &amp; "오후 21:00"</f>
        <v>2021-04-01(목) 오후 21:00</v>
      </c>
      <c r="K42" s="265"/>
      <c r="L42" s="266"/>
      <c r="M42" s="264" t="str">
        <f>TEXT($G$1+1, "[$-ko-KR]yyyy-mm-dd(ddd) ") &amp; "오전 00:00"</f>
        <v>2021-04-02(금) 오전 00:00</v>
      </c>
      <c r="N42" s="265"/>
      <c r="O42" s="266"/>
      <c r="Q42" s="262"/>
      <c r="R42" s="262"/>
      <c r="S42" s="262"/>
    </row>
    <row r="43" spans="1:19" ht="17.25" customHeight="1" thickBot="1">
      <c r="A43" s="286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7"/>
      <c r="R43" s="267"/>
      <c r="S43" s="267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2"/>
      <c r="R44" s="262"/>
      <c r="S44" s="26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2"/>
      <c r="R45" s="262"/>
      <c r="S45" s="26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7"/>
      <c r="R46" s="267"/>
      <c r="S46" s="267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7"/>
      <c r="R47" s="267"/>
      <c r="S47" s="267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7"/>
      <c r="R48" s="267"/>
      <c r="S48" s="267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267"/>
      <c r="R49" s="267"/>
      <c r="S49" s="267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7"/>
      <c r="R50" s="267"/>
      <c r="S50" s="267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7"/>
      <c r="R51" s="267"/>
      <c r="S51" s="267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276"/>
      <c r="R53" s="277"/>
      <c r="S53" s="278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9"/>
      <c r="R54" s="280"/>
      <c r="S54" s="281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82"/>
      <c r="R55" s="283"/>
      <c r="S55" s="284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7"/>
      <c r="R56" s="267"/>
      <c r="S56" s="267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2"/>
      <c r="R57" s="262"/>
      <c r="S57" s="26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2"/>
      <c r="R58" s="262"/>
      <c r="S58" s="262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267"/>
      <c r="R59" s="267"/>
      <c r="S59" s="267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7"/>
      <c r="R60" s="267"/>
      <c r="S60" s="267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7"/>
      <c r="R61" s="267"/>
      <c r="S61" s="267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9"/>
      <c r="R62" s="290"/>
      <c r="S62" s="29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292"/>
      <c r="R63" s="293"/>
      <c r="S63" s="294"/>
    </row>
    <row r="64" spans="1:19" ht="17.25" customHeight="1" thickBot="1">
      <c r="A64" s="26" t="s">
        <v>301</v>
      </c>
      <c r="B64" s="298">
        <f>$B$37</f>
        <v>300000</v>
      </c>
      <c r="C64" s="299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07" t="s">
        <v>298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62017000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-1.6680144000000001E-2</v>
      </c>
      <c r="N68" s="272"/>
      <c r="O68" s="273"/>
      <c r="Q68" s="262"/>
      <c r="R68" s="262"/>
      <c r="S68" s="262"/>
    </row>
    <row r="69" spans="1:19" ht="17.25" thickBot="1">
      <c r="A69" s="285" t="s">
        <v>55</v>
      </c>
      <c r="B69" s="287" t="str">
        <f>TEXT($G$1, "[$-ko-KR]yyyy-mm-dd(ddd) ") &amp; "오전 00:00"</f>
        <v>2021-04-01(목) 오전 00:00</v>
      </c>
      <c r="C69" s="288"/>
      <c r="D69" s="264" t="str">
        <f>TEXT($G$1, "[$-ko-KR]yyyy-mm-dd(ddd) ") &amp; "오후 14:00"</f>
        <v>2021-04-01(목) 오후 14:00</v>
      </c>
      <c r="E69" s="265"/>
      <c r="F69" s="266"/>
      <c r="G69" s="264" t="str">
        <f>TEXT($G$1, "[$-ko-KR]yyyy-mm-dd(ddd) ") &amp; "오후 19:00"</f>
        <v>2021-04-01(목) 오후 19:00</v>
      </c>
      <c r="H69" s="265"/>
      <c r="I69" s="266"/>
      <c r="J69" s="264" t="str">
        <f>TEXT($G$1, "[$-ko-KR]yyyy-mm-dd(ddd) ") &amp; "오후 21:00"</f>
        <v>2021-04-01(목) 오후 21:00</v>
      </c>
      <c r="K69" s="265"/>
      <c r="L69" s="266"/>
      <c r="M69" s="264" t="str">
        <f>TEXT($G$1+1, "[$-ko-KR]yyyy-mm-dd(ddd) ") &amp; "오전 00:00"</f>
        <v>2021-04-02(금) 오전 00:00</v>
      </c>
      <c r="N69" s="265"/>
      <c r="O69" s="266"/>
      <c r="Q69" s="262"/>
      <c r="R69" s="262"/>
      <c r="S69" s="262"/>
    </row>
    <row r="70" spans="1:19" ht="17.25" thickBot="1">
      <c r="A70" s="286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7"/>
      <c r="R70" s="267"/>
      <c r="S70" s="267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2"/>
      <c r="R71" s="262"/>
      <c r="S71" s="26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2"/>
      <c r="R72" s="262"/>
      <c r="S72" s="26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7"/>
      <c r="R73" s="267"/>
      <c r="S73" s="267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7"/>
      <c r="R74" s="267"/>
      <c r="S74" s="267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7"/>
      <c r="R75" s="267"/>
      <c r="S75" s="267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267"/>
      <c r="R76" s="267"/>
      <c r="S76" s="267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7"/>
      <c r="R77" s="267"/>
      <c r="S77" s="267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7"/>
      <c r="R78" s="267"/>
      <c r="S78" s="267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276"/>
      <c r="R80" s="277"/>
      <c r="S80" s="278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9"/>
      <c r="R81" s="280"/>
      <c r="S81" s="281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82"/>
      <c r="R82" s="283"/>
      <c r="S82" s="284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7"/>
      <c r="R83" s="267"/>
      <c r="S83" s="267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2"/>
      <c r="R84" s="262"/>
      <c r="S84" s="26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2"/>
      <c r="R85" s="262"/>
      <c r="S85" s="262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267"/>
      <c r="R86" s="267"/>
      <c r="S86" s="267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7"/>
      <c r="R87" s="267"/>
      <c r="S87" s="267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7"/>
      <c r="R88" s="267"/>
      <c r="S88" s="267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9"/>
      <c r="R89" s="290"/>
      <c r="S89" s="29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292"/>
      <c r="R90" s="293"/>
      <c r="S90" s="294"/>
    </row>
    <row r="91" spans="1:19" ht="17.25" thickBot="1">
      <c r="A91" s="26" t="s">
        <v>301</v>
      </c>
      <c r="B91" s="298">
        <f>$B$37</f>
        <v>300000</v>
      </c>
      <c r="C91" s="299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07" t="s">
        <v>298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62017000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-1.6680144000000001E-2</v>
      </c>
      <c r="N95" s="272"/>
      <c r="O95" s="273"/>
      <c r="Q95" s="262"/>
      <c r="R95" s="262"/>
      <c r="S95" s="262"/>
    </row>
    <row r="96" spans="1:19" ht="17.25" thickBot="1">
      <c r="A96" s="285" t="s">
        <v>55</v>
      </c>
      <c r="B96" s="287" t="str">
        <f>TEXT($G$1, "[$-ko-KR]yyyy-mm-dd(ddd) ") &amp; "오전 00:00"</f>
        <v>2021-04-01(목) 오전 00:00</v>
      </c>
      <c r="C96" s="288"/>
      <c r="D96" s="264" t="str">
        <f>TEXT($G$1, "[$-ko-KR]yyyy-mm-dd(ddd) ") &amp; "오후 14:00"</f>
        <v>2021-04-01(목) 오후 14:00</v>
      </c>
      <c r="E96" s="265"/>
      <c r="F96" s="266"/>
      <c r="G96" s="264" t="str">
        <f>TEXT($G$1, "[$-ko-KR]yyyy-mm-dd(ddd) ") &amp; "오후 19:00"</f>
        <v>2021-04-01(목) 오후 19:00</v>
      </c>
      <c r="H96" s="265"/>
      <c r="I96" s="266"/>
      <c r="J96" s="264" t="str">
        <f>TEXT($G$1, "[$-ko-KR]yyyy-mm-dd(ddd) ") &amp; "오후 21:00"</f>
        <v>2021-04-01(목) 오후 21:00</v>
      </c>
      <c r="K96" s="265"/>
      <c r="L96" s="266"/>
      <c r="M96" s="264" t="str">
        <f>TEXT($G$1+1, "[$-ko-KR]yyyy-mm-dd(ddd) ") &amp; "오전 00:00"</f>
        <v>2021-04-02(금) 오전 00:00</v>
      </c>
      <c r="N96" s="265"/>
      <c r="O96" s="266"/>
      <c r="Q96" s="262"/>
      <c r="R96" s="262"/>
      <c r="S96" s="262"/>
    </row>
    <row r="97" spans="1:19" ht="17.25" thickBot="1">
      <c r="A97" s="286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7"/>
      <c r="R97" s="267"/>
      <c r="S97" s="267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2"/>
      <c r="R98" s="262"/>
      <c r="S98" s="26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2"/>
      <c r="R99" s="262"/>
      <c r="S99" s="26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7"/>
      <c r="R100" s="267"/>
      <c r="S100" s="267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7"/>
      <c r="R101" s="267"/>
      <c r="S101" s="267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7"/>
      <c r="R102" s="267"/>
      <c r="S102" s="267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267"/>
      <c r="R103" s="267"/>
      <c r="S103" s="267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7"/>
      <c r="R104" s="267"/>
      <c r="S104" s="267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7"/>
      <c r="R105" s="267"/>
      <c r="S105" s="267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276"/>
      <c r="R107" s="277"/>
      <c r="S107" s="278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9"/>
      <c r="R108" s="280"/>
      <c r="S108" s="281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82"/>
      <c r="R109" s="283"/>
      <c r="S109" s="284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7"/>
      <c r="R110" s="267"/>
      <c r="S110" s="267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2"/>
      <c r="R111" s="262"/>
      <c r="S111" s="26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2"/>
      <c r="R112" s="262"/>
      <c r="S112" s="262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267"/>
      <c r="R113" s="267"/>
      <c r="S113" s="267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7"/>
      <c r="R114" s="267"/>
      <c r="S114" s="267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7"/>
      <c r="R115" s="267"/>
      <c r="S115" s="267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9"/>
      <c r="R116" s="290"/>
      <c r="S116" s="29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292"/>
      <c r="R117" s="293"/>
      <c r="S117" s="294"/>
    </row>
    <row r="118" spans="1:19" ht="17.25" thickBot="1">
      <c r="A118" s="26" t="s">
        <v>301</v>
      </c>
      <c r="B118" s="298">
        <f>$B$37</f>
        <v>300000</v>
      </c>
      <c r="C118" s="299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95"/>
      <c r="R118" s="296"/>
      <c r="S118" s="297"/>
    </row>
    <row r="120" spans="1:19" ht="17.25" thickBot="1"/>
    <row r="121" spans="1:19" ht="17.25" thickBot="1">
      <c r="A121" s="241" t="s">
        <v>288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07" t="s">
        <v>298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62017000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-1.6680144000000001E-2</v>
      </c>
      <c r="N122" s="272"/>
      <c r="O122" s="273"/>
      <c r="Q122" s="262"/>
      <c r="R122" s="262"/>
      <c r="S122" s="262"/>
    </row>
    <row r="123" spans="1:19" ht="17.25" thickBot="1">
      <c r="A123" s="285" t="s">
        <v>55</v>
      </c>
      <c r="B123" s="287" t="str">
        <f>TEXT($G$1, "[$-ko-KR]yyyy-mm-dd(ddd) ") &amp; "오전 00:00"</f>
        <v>2021-04-01(목) 오전 00:00</v>
      </c>
      <c r="C123" s="288"/>
      <c r="D123" s="264" t="str">
        <f>TEXT($G$1, "[$-ko-KR]yyyy-mm-dd(ddd) ") &amp; "오후 14:00"</f>
        <v>2021-04-01(목) 오후 14:00</v>
      </c>
      <c r="E123" s="265"/>
      <c r="F123" s="266"/>
      <c r="G123" s="264" t="str">
        <f>TEXT($G$1, "[$-ko-KR]yyyy-mm-dd(ddd) ") &amp; "오후 19:00"</f>
        <v>2021-04-01(목) 오후 19:00</v>
      </c>
      <c r="H123" s="265"/>
      <c r="I123" s="266"/>
      <c r="J123" s="264" t="str">
        <f>TEXT($G$1, "[$-ko-KR]yyyy-mm-dd(ddd) ") &amp; "오후 21:00"</f>
        <v>2021-04-01(목) 오후 21:00</v>
      </c>
      <c r="K123" s="265"/>
      <c r="L123" s="266"/>
      <c r="M123" s="264" t="str">
        <f>TEXT($G$1+1, "[$-ko-KR]yyyy-mm-dd(ddd) ") &amp; "오전 00:00"</f>
        <v>2021-04-02(금) 오전 00:00</v>
      </c>
      <c r="N123" s="265"/>
      <c r="O123" s="266"/>
      <c r="Q123" s="262"/>
      <c r="R123" s="262"/>
      <c r="S123" s="262"/>
    </row>
    <row r="124" spans="1:19" ht="17.25" thickBot="1">
      <c r="A124" s="286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7"/>
      <c r="R124" s="267"/>
      <c r="S124" s="267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2"/>
      <c r="R125" s="262"/>
      <c r="S125" s="26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2"/>
      <c r="R126" s="262"/>
      <c r="S126" s="26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7"/>
      <c r="R127" s="267"/>
      <c r="S127" s="267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7"/>
      <c r="R128" s="267"/>
      <c r="S128" s="267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7"/>
      <c r="R129" s="267"/>
      <c r="S129" s="267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267"/>
      <c r="R130" s="267"/>
      <c r="S130" s="267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7"/>
      <c r="R131" s="267"/>
      <c r="S131" s="267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7"/>
      <c r="R132" s="267"/>
      <c r="S132" s="267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276"/>
      <c r="R134" s="277"/>
      <c r="S134" s="278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9"/>
      <c r="R135" s="280"/>
      <c r="S135" s="281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82"/>
      <c r="R136" s="283"/>
      <c r="S136" s="284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7"/>
      <c r="R137" s="267"/>
      <c r="S137" s="267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2"/>
      <c r="R138" s="262"/>
      <c r="S138" s="26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2"/>
      <c r="R139" s="262"/>
      <c r="S139" s="262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267"/>
      <c r="R140" s="267"/>
      <c r="S140" s="267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7"/>
      <c r="R141" s="267"/>
      <c r="S141" s="267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7"/>
      <c r="R142" s="267"/>
      <c r="S142" s="267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9"/>
      <c r="R143" s="290"/>
      <c r="S143" s="29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292"/>
      <c r="R144" s="293"/>
      <c r="S144" s="294"/>
    </row>
    <row r="145" spans="1:19" ht="17.25" thickBot="1">
      <c r="A145" s="26" t="s">
        <v>301</v>
      </c>
      <c r="B145" s="298">
        <f>$B$37</f>
        <v>300000</v>
      </c>
      <c r="C145" s="299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95"/>
      <c r="R145" s="296"/>
      <c r="S145" s="297"/>
    </row>
    <row r="147" spans="1:19" ht="17.25" thickBot="1"/>
    <row r="148" spans="1:19" ht="17.25" thickBot="1">
      <c r="A148" s="241" t="s">
        <v>289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07" t="s">
        <v>298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62017000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-1.6680144000000001E-2</v>
      </c>
      <c r="N149" s="272"/>
      <c r="O149" s="273"/>
      <c r="Q149" s="262"/>
      <c r="R149" s="262"/>
      <c r="S149" s="262"/>
    </row>
    <row r="150" spans="1:19" ht="17.25" thickBot="1">
      <c r="A150" s="285" t="s">
        <v>55</v>
      </c>
      <c r="B150" s="287" t="str">
        <f>TEXT($G$1, "[$-ko-KR]yyyy-mm-dd(ddd) ") &amp; "오전 00:00"</f>
        <v>2021-04-01(목) 오전 00:00</v>
      </c>
      <c r="C150" s="288"/>
      <c r="D150" s="264" t="str">
        <f>TEXT($G$1, "[$-ko-KR]yyyy-mm-dd(ddd) ") &amp; "오후 14:00"</f>
        <v>2021-04-01(목) 오후 14:00</v>
      </c>
      <c r="E150" s="265"/>
      <c r="F150" s="266"/>
      <c r="G150" s="264" t="str">
        <f>TEXT($G$1, "[$-ko-KR]yyyy-mm-dd(ddd) ") &amp; "오후 19:00"</f>
        <v>2021-04-01(목) 오후 19:00</v>
      </c>
      <c r="H150" s="265"/>
      <c r="I150" s="266"/>
      <c r="J150" s="264" t="str">
        <f>TEXT($G$1, "[$-ko-KR]yyyy-mm-dd(ddd) ") &amp; "오후 21:00"</f>
        <v>2021-04-01(목) 오후 21:00</v>
      </c>
      <c r="K150" s="265"/>
      <c r="L150" s="266"/>
      <c r="M150" s="264" t="str">
        <f>TEXT($G$1+1, "[$-ko-KR]yyyy-mm-dd(ddd) ") &amp; "오전 00:00"</f>
        <v>2021-04-02(금) 오전 00:00</v>
      </c>
      <c r="N150" s="265"/>
      <c r="O150" s="266"/>
      <c r="Q150" s="262"/>
      <c r="R150" s="262"/>
      <c r="S150" s="262"/>
    </row>
    <row r="151" spans="1:19" ht="17.25" thickBot="1">
      <c r="A151" s="286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7"/>
      <c r="R151" s="267"/>
      <c r="S151" s="267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2"/>
      <c r="R152" s="262"/>
      <c r="S152" s="26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2"/>
      <c r="R153" s="262"/>
      <c r="S153" s="26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7"/>
      <c r="R154" s="267"/>
      <c r="S154" s="267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7"/>
      <c r="R155" s="267"/>
      <c r="S155" s="267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7"/>
      <c r="R156" s="267"/>
      <c r="S156" s="267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267"/>
      <c r="R157" s="267"/>
      <c r="S157" s="267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7"/>
      <c r="R158" s="267"/>
      <c r="S158" s="267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7"/>
      <c r="R159" s="267"/>
      <c r="S159" s="267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276"/>
      <c r="R161" s="277"/>
      <c r="S161" s="278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9"/>
      <c r="R162" s="280"/>
      <c r="S162" s="281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82"/>
      <c r="R163" s="283"/>
      <c r="S163" s="284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7"/>
      <c r="R164" s="267"/>
      <c r="S164" s="267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2"/>
      <c r="R165" s="262"/>
      <c r="S165" s="26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2"/>
      <c r="R166" s="262"/>
      <c r="S166" s="262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267"/>
      <c r="R167" s="267"/>
      <c r="S167" s="267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7"/>
      <c r="R168" s="267"/>
      <c r="S168" s="267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7"/>
      <c r="R169" s="267"/>
      <c r="S169" s="267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9"/>
      <c r="R170" s="290"/>
      <c r="S170" s="29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292"/>
      <c r="R171" s="293"/>
      <c r="S171" s="294"/>
    </row>
    <row r="172" spans="1:19" ht="17.25" thickBot="1">
      <c r="A172" s="26" t="s">
        <v>301</v>
      </c>
      <c r="B172" s="298">
        <f>$B$37</f>
        <v>300000</v>
      </c>
      <c r="C172" s="299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95"/>
      <c r="R172" s="296"/>
      <c r="S172" s="297"/>
    </row>
    <row r="174" spans="1:19" ht="17.25" thickBot="1"/>
    <row r="175" spans="1:19" ht="17.25" thickBot="1">
      <c r="A175" s="241" t="s">
        <v>285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07" t="s">
        <v>298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62017000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-1.6680144000000001E-2</v>
      </c>
      <c r="N176" s="272"/>
      <c r="O176" s="273"/>
      <c r="Q176" s="262"/>
      <c r="R176" s="262"/>
      <c r="S176" s="262"/>
    </row>
    <row r="177" spans="1:19" ht="17.25" thickBot="1">
      <c r="A177" s="285" t="s">
        <v>55</v>
      </c>
      <c r="B177" s="287" t="str">
        <f>TEXT($G$1, "[$-ko-KR]yyyy-mm-dd(ddd) ") &amp; "오전 00:00"</f>
        <v>2021-04-01(목) 오전 00:00</v>
      </c>
      <c r="C177" s="288"/>
      <c r="D177" s="264" t="str">
        <f>TEXT($G$1, "[$-ko-KR]yyyy-mm-dd(ddd) ") &amp; "오후 14:00"</f>
        <v>2021-04-01(목) 오후 14:00</v>
      </c>
      <c r="E177" s="265"/>
      <c r="F177" s="266"/>
      <c r="G177" s="264" t="str">
        <f>TEXT($G$1, "[$-ko-KR]yyyy-mm-dd(ddd) ") &amp; "오후 19:00"</f>
        <v>2021-04-01(목) 오후 19:00</v>
      </c>
      <c r="H177" s="265"/>
      <c r="I177" s="266"/>
      <c r="J177" s="264" t="str">
        <f>TEXT($G$1, "[$-ko-KR]yyyy-mm-dd(ddd) ") &amp; "오후 21:00"</f>
        <v>2021-04-01(목) 오후 21:00</v>
      </c>
      <c r="K177" s="265"/>
      <c r="L177" s="266"/>
      <c r="M177" s="264" t="str">
        <f>TEXT($G$1+1, "[$-ko-KR]yyyy-mm-dd(ddd) ") &amp; "오전 00:00"</f>
        <v>2021-04-02(금) 오전 00:00</v>
      </c>
      <c r="N177" s="265"/>
      <c r="O177" s="266"/>
      <c r="Q177" s="262"/>
      <c r="R177" s="262"/>
      <c r="S177" s="262"/>
    </row>
    <row r="178" spans="1:19" ht="17.25" thickBot="1">
      <c r="A178" s="286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7"/>
      <c r="R178" s="267"/>
      <c r="S178" s="267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2"/>
      <c r="R179" s="262"/>
      <c r="S179" s="26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2"/>
      <c r="R180" s="262"/>
      <c r="S180" s="26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7"/>
      <c r="R181" s="267"/>
      <c r="S181" s="267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7"/>
      <c r="R182" s="267"/>
      <c r="S182" s="267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7"/>
      <c r="R183" s="267"/>
      <c r="S183" s="267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267"/>
      <c r="R184" s="267"/>
      <c r="S184" s="267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7"/>
      <c r="R185" s="267"/>
      <c r="S185" s="267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7"/>
      <c r="R186" s="267"/>
      <c r="S186" s="267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276"/>
      <c r="R188" s="277"/>
      <c r="S188" s="278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9"/>
      <c r="R189" s="280"/>
      <c r="S189" s="281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82"/>
      <c r="R190" s="283"/>
      <c r="S190" s="284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7"/>
      <c r="R191" s="267"/>
      <c r="S191" s="267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2"/>
      <c r="R192" s="262"/>
      <c r="S192" s="26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2"/>
      <c r="R193" s="262"/>
      <c r="S193" s="262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267"/>
      <c r="R194" s="267"/>
      <c r="S194" s="267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7"/>
      <c r="R195" s="267"/>
      <c r="S195" s="267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7"/>
      <c r="R196" s="267"/>
      <c r="S196" s="267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9"/>
      <c r="R197" s="290"/>
      <c r="S197" s="29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292"/>
      <c r="R198" s="293"/>
      <c r="S198" s="294"/>
    </row>
    <row r="199" spans="1:19" ht="17.25" thickBot="1">
      <c r="A199" s="26" t="s">
        <v>301</v>
      </c>
      <c r="B199" s="298">
        <f>$B$37</f>
        <v>300000</v>
      </c>
      <c r="C199" s="299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79" priority="157">
      <formula>AND($N17 &gt; 0, ISNUMBER($N17))</formula>
    </cfRule>
    <cfRule type="expression" dxfId="3278" priority="158">
      <formula>AND($N17 = 0 * ISNUMBER($N17))</formula>
    </cfRule>
    <cfRule type="expression" dxfId="3277" priority="159">
      <formula>AND($N17 &lt; 0, ISNUMBER($N17))</formula>
    </cfRule>
  </conditionalFormatting>
  <conditionalFormatting sqref="A17:F36">
    <cfRule type="expression" dxfId="3276" priority="166">
      <formula>AND($E17 &gt; 0, ISNUMBER($E17))</formula>
    </cfRule>
    <cfRule type="expression" dxfId="3275" priority="167">
      <formula>AND($E17 = 0 * ISNUMBER($E17))</formula>
    </cfRule>
    <cfRule type="expression" dxfId="3274" priority="168">
      <formula>AND($E17 &lt; 0, ISNUMBER($E17))</formula>
    </cfRule>
  </conditionalFormatting>
  <conditionalFormatting sqref="A17:C36 G17:I36">
    <cfRule type="expression" dxfId="3273" priority="163">
      <formula>AND($H17 &gt; 0, ISNUMBER($H17))</formula>
    </cfRule>
    <cfRule type="expression" dxfId="3272" priority="164">
      <formula>AND($H17 = 0 * ISNUMBER($H17))</formula>
    </cfRule>
    <cfRule type="expression" dxfId="3271" priority="165">
      <formula>AND($H17 &lt; 0, ISNUMBER($H17))</formula>
    </cfRule>
  </conditionalFormatting>
  <conditionalFormatting sqref="A17:C36 J17:L36">
    <cfRule type="expression" dxfId="3270" priority="160">
      <formula>AND($K17 &gt; 0, ISNUMBER($K17))</formula>
    </cfRule>
    <cfRule type="expression" dxfId="3269" priority="161">
      <formula>AND($K17 = 0 * ISNUMBER($K17))</formula>
    </cfRule>
    <cfRule type="expression" dxfId="3268" priority="162">
      <formula>AND($K17 &lt; 0, ISNUMBER($K17))</formula>
    </cfRule>
  </conditionalFormatting>
  <conditionalFormatting sqref="D15:F16 E37:F37">
    <cfRule type="expression" dxfId="3267" priority="154">
      <formula>$E$37 &gt; 0</formula>
    </cfRule>
    <cfRule type="expression" dxfId="3266" priority="155">
      <formula>$E$37 = 0</formula>
    </cfRule>
    <cfRule type="expression" dxfId="3265" priority="156">
      <formula>$E$37 &lt; 0</formula>
    </cfRule>
  </conditionalFormatting>
  <conditionalFormatting sqref="G15:I16 H37:I37">
    <cfRule type="expression" dxfId="3264" priority="151">
      <formula>$H$37 &gt; 0</formula>
    </cfRule>
    <cfRule type="expression" dxfId="3263" priority="152">
      <formula>$H$37 = 0</formula>
    </cfRule>
    <cfRule type="expression" dxfId="3262" priority="153">
      <formula>$H$37 &lt; 0</formula>
    </cfRule>
  </conditionalFormatting>
  <conditionalFormatting sqref="J15:L16 K37:L37">
    <cfRule type="expression" dxfId="3261" priority="148">
      <formula>$K$37 &gt; 0</formula>
    </cfRule>
    <cfRule type="expression" dxfId="3260" priority="149">
      <formula>$K$37 = 0</formula>
    </cfRule>
    <cfRule type="expression" dxfId="3259" priority="150">
      <formula>$K$37 &lt; 0</formula>
    </cfRule>
  </conditionalFormatting>
  <conditionalFormatting sqref="M15:O16 N37:O37">
    <cfRule type="expression" dxfId="3258" priority="145">
      <formula>$N$37 &gt; 0</formula>
    </cfRule>
    <cfRule type="expression" dxfId="3257" priority="146">
      <formula>$N$37 = 0</formula>
    </cfRule>
    <cfRule type="expression" dxfId="3256" priority="147">
      <formula>$N$37 &lt; 0</formula>
    </cfRule>
  </conditionalFormatting>
  <conditionalFormatting sqref="A44:C63 M44:O63">
    <cfRule type="expression" dxfId="3255" priority="133">
      <formula>AND($N44 &gt; 0, ISNUMBER($N44))</formula>
    </cfRule>
    <cfRule type="expression" dxfId="3254" priority="134">
      <formula>AND($N44 = 0 * ISNUMBER($N44))</formula>
    </cfRule>
    <cfRule type="expression" dxfId="3253" priority="135">
      <formula>AND($N44 &lt; 0, ISNUMBER($N44))</formula>
    </cfRule>
  </conditionalFormatting>
  <conditionalFormatting sqref="A44:F63">
    <cfRule type="expression" dxfId="3252" priority="142">
      <formula>AND($E44 &gt; 0, ISNUMBER($E44))</formula>
    </cfRule>
    <cfRule type="expression" dxfId="3251" priority="143">
      <formula>AND($E44 = 0 * ISNUMBER($E44))</formula>
    </cfRule>
    <cfRule type="expression" dxfId="3250" priority="144">
      <formula>AND($E44 &lt; 0, ISNUMBER($E44))</formula>
    </cfRule>
  </conditionalFormatting>
  <conditionalFormatting sqref="A44:C63 G44:I63">
    <cfRule type="expression" dxfId="3249" priority="139">
      <formula>AND($H44 &gt; 0, ISNUMBER($H44))</formula>
    </cfRule>
    <cfRule type="expression" dxfId="3248" priority="140">
      <formula>AND($H44 = 0 * ISNUMBER($H44))</formula>
    </cfRule>
    <cfRule type="expression" dxfId="3247" priority="141">
      <formula>AND($H44 &lt; 0, ISNUMBER($H44))</formula>
    </cfRule>
  </conditionalFormatting>
  <conditionalFormatting sqref="A44:C63 J44:L63">
    <cfRule type="expression" dxfId="3246" priority="136">
      <formula>AND($K44 &gt; 0, ISNUMBER($K44))</formula>
    </cfRule>
    <cfRule type="expression" dxfId="3245" priority="137">
      <formula>AND($K44 = 0 * ISNUMBER($K44))</formula>
    </cfRule>
    <cfRule type="expression" dxfId="3244" priority="138">
      <formula>AND($K44 &lt; 0, ISNUMBER($K44))</formula>
    </cfRule>
  </conditionalFormatting>
  <conditionalFormatting sqref="D42:F43 E64:F64">
    <cfRule type="expression" dxfId="3243" priority="130">
      <formula>$E$64 &gt; 0</formula>
    </cfRule>
    <cfRule type="expression" dxfId="3242" priority="131">
      <formula>$E$64 = 0</formula>
    </cfRule>
    <cfRule type="expression" dxfId="3241" priority="132">
      <formula>$E$64 &lt; 0</formula>
    </cfRule>
  </conditionalFormatting>
  <conditionalFormatting sqref="G42:I43 H64:I64">
    <cfRule type="expression" dxfId="3240" priority="127">
      <formula>$H$64 &gt; 0</formula>
    </cfRule>
    <cfRule type="expression" dxfId="3239" priority="128">
      <formula>$H$64 = 0</formula>
    </cfRule>
    <cfRule type="expression" dxfId="3238" priority="129">
      <formula>$H$64 &lt; 0</formula>
    </cfRule>
  </conditionalFormatting>
  <conditionalFormatting sqref="J42:L43 K64:L64">
    <cfRule type="expression" dxfId="3237" priority="124">
      <formula>$K$64 &gt; 0</formula>
    </cfRule>
    <cfRule type="expression" dxfId="3236" priority="125">
      <formula>$K$64 = 0</formula>
    </cfRule>
    <cfRule type="expression" dxfId="3235" priority="126">
      <formula>$K$64 &lt; 0</formula>
    </cfRule>
  </conditionalFormatting>
  <conditionalFormatting sqref="M42:O43 N64:O64">
    <cfRule type="expression" dxfId="3234" priority="121">
      <formula>$N$64 &gt; 0</formula>
    </cfRule>
    <cfRule type="expression" dxfId="3233" priority="122">
      <formula>$N$64 = 0</formula>
    </cfRule>
    <cfRule type="expression" dxfId="3232" priority="123">
      <formula>$N$64 &lt; 0</formula>
    </cfRule>
  </conditionalFormatting>
  <conditionalFormatting sqref="A71:C90 M71:O90">
    <cfRule type="expression" dxfId="3231" priority="109">
      <formula>AND($N71 &gt; 0, ISNUMBER($N71))</formula>
    </cfRule>
    <cfRule type="expression" dxfId="3230" priority="110">
      <formula>AND($N71 = 0 * ISNUMBER($N71))</formula>
    </cfRule>
    <cfRule type="expression" dxfId="3229" priority="111">
      <formula>AND($N71 &lt; 0, ISNUMBER($N71))</formula>
    </cfRule>
  </conditionalFormatting>
  <conditionalFormatting sqref="A71:F90">
    <cfRule type="expression" dxfId="3228" priority="118">
      <formula>AND($E71 &gt; 0, ISNUMBER($E71))</formula>
    </cfRule>
    <cfRule type="expression" dxfId="3227" priority="119">
      <formula>AND($E71 = 0 * ISNUMBER($E71))</formula>
    </cfRule>
    <cfRule type="expression" dxfId="3226" priority="120">
      <formula>AND($E71 &lt; 0, ISNUMBER($E71))</formula>
    </cfRule>
  </conditionalFormatting>
  <conditionalFormatting sqref="A71:C90 G71:I90">
    <cfRule type="expression" dxfId="3225" priority="115">
      <formula>AND($H71 &gt; 0, ISNUMBER($H71))</formula>
    </cfRule>
    <cfRule type="expression" dxfId="3224" priority="116">
      <formula>AND($H71 = 0 * ISNUMBER($H71))</formula>
    </cfRule>
    <cfRule type="expression" dxfId="3223" priority="117">
      <formula>AND($H71 &lt; 0, ISNUMBER($H71))</formula>
    </cfRule>
  </conditionalFormatting>
  <conditionalFormatting sqref="A71:C90 J71:L90">
    <cfRule type="expression" dxfId="3222" priority="112">
      <formula>AND($K71 &gt; 0, ISNUMBER($K71))</formula>
    </cfRule>
    <cfRule type="expression" dxfId="3221" priority="113">
      <formula>AND($K71 = 0 * ISNUMBER($K71))</formula>
    </cfRule>
    <cfRule type="expression" dxfId="3220" priority="114">
      <formula>AND($K71 &lt; 0, ISNUMBER($K71))</formula>
    </cfRule>
  </conditionalFormatting>
  <conditionalFormatting sqref="D69:F70 E91:F91">
    <cfRule type="expression" dxfId="3219" priority="106">
      <formula>$E$91 &gt; 0</formula>
    </cfRule>
    <cfRule type="expression" dxfId="3218" priority="107">
      <formula>$E$91 = 0</formula>
    </cfRule>
    <cfRule type="expression" dxfId="3217" priority="108">
      <formula>$E$91 &lt; 0</formula>
    </cfRule>
  </conditionalFormatting>
  <conditionalFormatting sqref="G69:I70 H91:I91">
    <cfRule type="expression" dxfId="3216" priority="103">
      <formula>$H$91 &gt; 0</formula>
    </cfRule>
    <cfRule type="expression" dxfId="3215" priority="104">
      <formula>$H$91 = 0</formula>
    </cfRule>
    <cfRule type="expression" dxfId="3214" priority="105">
      <formula>$H$91 &lt; 0</formula>
    </cfRule>
  </conditionalFormatting>
  <conditionalFormatting sqref="J69:L70 K91:L91">
    <cfRule type="expression" dxfId="3213" priority="100">
      <formula>$K$91 &gt; 0</formula>
    </cfRule>
    <cfRule type="expression" dxfId="3212" priority="101">
      <formula>$K$91 = 0</formula>
    </cfRule>
    <cfRule type="expression" dxfId="3211" priority="102">
      <formula>$K$91 &lt; 0</formula>
    </cfRule>
  </conditionalFormatting>
  <conditionalFormatting sqref="M69:O70 N91:O91">
    <cfRule type="expression" dxfId="3210" priority="97">
      <formula>$N$91 &gt; 0</formula>
    </cfRule>
    <cfRule type="expression" dxfId="3209" priority="98">
      <formula>$N$91 = 0</formula>
    </cfRule>
    <cfRule type="expression" dxfId="3208" priority="99">
      <formula>$N$91 &lt; 0</formula>
    </cfRule>
  </conditionalFormatting>
  <conditionalFormatting sqref="A98:C117 M98:O117">
    <cfRule type="expression" dxfId="3207" priority="85">
      <formula>AND($N98 &gt; 0, ISNUMBER($N98))</formula>
    </cfRule>
    <cfRule type="expression" dxfId="3206" priority="86">
      <formula>AND($N98 = 0 * ISNUMBER($N98))</formula>
    </cfRule>
    <cfRule type="expression" dxfId="3205" priority="87">
      <formula>AND($N98 &lt; 0, ISNUMBER($N98))</formula>
    </cfRule>
  </conditionalFormatting>
  <conditionalFormatting sqref="A98:F117">
    <cfRule type="expression" dxfId="3204" priority="94">
      <formula>AND($E98 &gt; 0, ISNUMBER($E98))</formula>
    </cfRule>
    <cfRule type="expression" dxfId="3203" priority="95">
      <formula>AND($E98 = 0 * ISNUMBER($E98))</formula>
    </cfRule>
    <cfRule type="expression" dxfId="3202" priority="96">
      <formula>AND($E98 &lt; 0, ISNUMBER($E98))</formula>
    </cfRule>
  </conditionalFormatting>
  <conditionalFormatting sqref="A98:C117 G98:I117">
    <cfRule type="expression" dxfId="3201" priority="91">
      <formula>AND($H98 &gt; 0, ISNUMBER($H98))</formula>
    </cfRule>
    <cfRule type="expression" dxfId="3200" priority="92">
      <formula>AND($H98 = 0 * ISNUMBER($H98))</formula>
    </cfRule>
    <cfRule type="expression" dxfId="3199" priority="93">
      <formula>AND($H98 &lt; 0, ISNUMBER($H98))</formula>
    </cfRule>
  </conditionalFormatting>
  <conditionalFormatting sqref="A98:C117 J98:L117">
    <cfRule type="expression" dxfId="3198" priority="88">
      <formula>AND($K98 &gt; 0, ISNUMBER($K98))</formula>
    </cfRule>
    <cfRule type="expression" dxfId="3197" priority="89">
      <formula>AND($K98 = 0 * ISNUMBER($K98))</formula>
    </cfRule>
    <cfRule type="expression" dxfId="3196" priority="90">
      <formula>AND($K98 &lt; 0, ISNUMBER($K98))</formula>
    </cfRule>
  </conditionalFormatting>
  <conditionalFormatting sqref="D96:F97 E118:F118">
    <cfRule type="expression" dxfId="3195" priority="82">
      <formula>$E$118 &gt; 0</formula>
    </cfRule>
    <cfRule type="expression" dxfId="3194" priority="83">
      <formula>$E$118 = 0</formula>
    </cfRule>
    <cfRule type="expression" dxfId="3193" priority="84">
      <formula>$E$118 &lt; 0</formula>
    </cfRule>
  </conditionalFormatting>
  <conditionalFormatting sqref="G96:I97 H118:I118">
    <cfRule type="expression" dxfId="3192" priority="79">
      <formula>$H$118 &gt; 0</formula>
    </cfRule>
    <cfRule type="expression" dxfId="3191" priority="80">
      <formula>$H$118 = 0</formula>
    </cfRule>
    <cfRule type="expression" dxfId="3190" priority="81">
      <formula>$H$118 &lt; 0</formula>
    </cfRule>
  </conditionalFormatting>
  <conditionalFormatting sqref="J96:L97 K118:L118">
    <cfRule type="expression" dxfId="3189" priority="76">
      <formula>$K$118 &gt; 0</formula>
    </cfRule>
    <cfRule type="expression" dxfId="3188" priority="77">
      <formula>$K$118 = 0</formula>
    </cfRule>
    <cfRule type="expression" dxfId="3187" priority="78">
      <formula>$K$118 &lt; 0</formula>
    </cfRule>
  </conditionalFormatting>
  <conditionalFormatting sqref="M96:O97 N118:O118">
    <cfRule type="expression" dxfId="3186" priority="73">
      <formula>$N$118 &gt; 0</formula>
    </cfRule>
    <cfRule type="expression" dxfId="3185" priority="74">
      <formula>$N$118 = 0</formula>
    </cfRule>
    <cfRule type="expression" dxfId="3184" priority="75">
      <formula>$N$118 &lt; 0</formula>
    </cfRule>
  </conditionalFormatting>
  <conditionalFormatting sqref="A125:C144 M125:O144">
    <cfRule type="expression" dxfId="3183" priority="61">
      <formula>AND($N125 &gt; 0, ISNUMBER($N125))</formula>
    </cfRule>
    <cfRule type="expression" dxfId="3182" priority="62">
      <formula>AND($N125 = 0 * ISNUMBER($N125))</formula>
    </cfRule>
    <cfRule type="expression" dxfId="3181" priority="63">
      <formula>AND($N125 &lt; 0, ISNUMBER($N125))</formula>
    </cfRule>
  </conditionalFormatting>
  <conditionalFormatting sqref="A125:F144">
    <cfRule type="expression" dxfId="3180" priority="70">
      <formula>AND($E125 &gt; 0, ISNUMBER($E125))</formula>
    </cfRule>
    <cfRule type="expression" dxfId="3179" priority="71">
      <formula>AND($E125 = 0 * ISNUMBER($E125))</formula>
    </cfRule>
    <cfRule type="expression" dxfId="3178" priority="72">
      <formula>AND($E125 &lt; 0, ISNUMBER($E125))</formula>
    </cfRule>
  </conditionalFormatting>
  <conditionalFormatting sqref="A125:C144 G125:I144">
    <cfRule type="expression" dxfId="3177" priority="67">
      <formula>AND($H125 &gt; 0, ISNUMBER($H125))</formula>
    </cfRule>
    <cfRule type="expression" dxfId="3176" priority="68">
      <formula>AND($H125 = 0 * ISNUMBER($H125))</formula>
    </cfRule>
    <cfRule type="expression" dxfId="3175" priority="69">
      <formula>AND($H125 &lt; 0, ISNUMBER($H125))</formula>
    </cfRule>
  </conditionalFormatting>
  <conditionalFormatting sqref="A125:C144 J125:L144">
    <cfRule type="expression" dxfId="3174" priority="64">
      <formula>AND($K125 &gt; 0, ISNUMBER($K125))</formula>
    </cfRule>
    <cfRule type="expression" dxfId="3173" priority="65">
      <formula>AND($K125 = 0 * ISNUMBER($K125))</formula>
    </cfRule>
    <cfRule type="expression" dxfId="3172" priority="66">
      <formula>AND($K125 &lt; 0, ISNUMBER($K125))</formula>
    </cfRule>
  </conditionalFormatting>
  <conditionalFormatting sqref="D123:F124 E145:F145">
    <cfRule type="expression" dxfId="3171" priority="58">
      <formula>$E$145 &gt; 0</formula>
    </cfRule>
    <cfRule type="expression" dxfId="3170" priority="59">
      <formula>$E$145 = 0</formula>
    </cfRule>
    <cfRule type="expression" dxfId="3169" priority="60">
      <formula>$E$145 &lt; 0</formula>
    </cfRule>
  </conditionalFormatting>
  <conditionalFormatting sqref="G123:I124 H145:I145">
    <cfRule type="expression" dxfId="3168" priority="55">
      <formula>$H$145 &gt; 0</formula>
    </cfRule>
    <cfRule type="expression" dxfId="3167" priority="56">
      <formula>$H$145 = 0</formula>
    </cfRule>
    <cfRule type="expression" dxfId="3166" priority="57">
      <formula>$H$145 &lt; 0</formula>
    </cfRule>
  </conditionalFormatting>
  <conditionalFormatting sqref="J123:L124 K145:L145">
    <cfRule type="expression" dxfId="3165" priority="52">
      <formula>$K$145 &gt; 0</formula>
    </cfRule>
    <cfRule type="expression" dxfId="3164" priority="53">
      <formula>$K$145 = 0</formula>
    </cfRule>
    <cfRule type="expression" dxfId="3163" priority="54">
      <formula>$K$145 &lt; 0</formula>
    </cfRule>
  </conditionalFormatting>
  <conditionalFormatting sqref="M123:O124 N145:O145">
    <cfRule type="expression" dxfId="3162" priority="49">
      <formula>$N$145 &gt; 0</formula>
    </cfRule>
    <cfRule type="expression" dxfId="3161" priority="50">
      <formula>$N$145 = 0</formula>
    </cfRule>
    <cfRule type="expression" dxfId="3160" priority="51">
      <formula>$N$145 &lt; 0</formula>
    </cfRule>
  </conditionalFormatting>
  <conditionalFormatting sqref="A152:C171 M152:O171">
    <cfRule type="expression" dxfId="3159" priority="37">
      <formula>AND($N152 &gt; 0, ISNUMBER($N152))</formula>
    </cfRule>
    <cfRule type="expression" dxfId="3158" priority="38">
      <formula>AND($N152 = 0 * ISNUMBER($N152))</formula>
    </cfRule>
    <cfRule type="expression" dxfId="3157" priority="39">
      <formula>AND($N152 &lt; 0, ISNUMBER($N152))</formula>
    </cfRule>
  </conditionalFormatting>
  <conditionalFormatting sqref="A152:F171">
    <cfRule type="expression" dxfId="3156" priority="46">
      <formula>AND($E152 &gt; 0, ISNUMBER($E152))</formula>
    </cfRule>
    <cfRule type="expression" dxfId="3155" priority="47">
      <formula>AND($E152 = 0 * ISNUMBER($E152))</formula>
    </cfRule>
    <cfRule type="expression" dxfId="3154" priority="48">
      <formula>AND($E152 &lt; 0, ISNUMBER($E152))</formula>
    </cfRule>
  </conditionalFormatting>
  <conditionalFormatting sqref="A152:C171 G152:I171">
    <cfRule type="expression" dxfId="3153" priority="43">
      <formula>AND($H152 &gt; 0, ISNUMBER($H152))</formula>
    </cfRule>
    <cfRule type="expression" dxfId="3152" priority="44">
      <formula>AND($H152 = 0 * ISNUMBER($H152))</formula>
    </cfRule>
    <cfRule type="expression" dxfId="3151" priority="45">
      <formula>AND($H152 &lt; 0, ISNUMBER($H152))</formula>
    </cfRule>
  </conditionalFormatting>
  <conditionalFormatting sqref="A152:C171 J152:L171">
    <cfRule type="expression" dxfId="3150" priority="40">
      <formula>AND($K152 &gt; 0, ISNUMBER($K152))</formula>
    </cfRule>
    <cfRule type="expression" dxfId="3149" priority="41">
      <formula>AND($K152 = 0 * ISNUMBER($K152))</formula>
    </cfRule>
    <cfRule type="expression" dxfId="3148" priority="42">
      <formula>AND($K152 &lt; 0, ISNUMBER($K152))</formula>
    </cfRule>
  </conditionalFormatting>
  <conditionalFormatting sqref="D150:F151 E172:F172">
    <cfRule type="expression" dxfId="3147" priority="34">
      <formula>$E$172 &gt; 0</formula>
    </cfRule>
    <cfRule type="expression" dxfId="3146" priority="35">
      <formula>$E$172 = 0</formula>
    </cfRule>
    <cfRule type="expression" dxfId="3145" priority="36">
      <formula>$E$172 &lt; 0</formula>
    </cfRule>
  </conditionalFormatting>
  <conditionalFormatting sqref="G150:I151 H172:I172">
    <cfRule type="expression" dxfId="3144" priority="31">
      <formula>$H$172 &gt; 0</formula>
    </cfRule>
    <cfRule type="expression" dxfId="3143" priority="32">
      <formula>$H$172 = 0</formula>
    </cfRule>
    <cfRule type="expression" dxfId="3142" priority="33">
      <formula>$H$172 &lt; 0</formula>
    </cfRule>
  </conditionalFormatting>
  <conditionalFormatting sqref="J150:L151 K172:L172">
    <cfRule type="expression" dxfId="3141" priority="28">
      <formula>$K$172 &gt; 0</formula>
    </cfRule>
    <cfRule type="expression" dxfId="3140" priority="29">
      <formula>$K$172 = 0</formula>
    </cfRule>
    <cfRule type="expression" dxfId="3139" priority="30">
      <formula>$K$172 &lt; 0</formula>
    </cfRule>
  </conditionalFormatting>
  <conditionalFormatting sqref="M150:O151 N172:O172">
    <cfRule type="expression" dxfId="3138" priority="25">
      <formula>$N$172 &gt; 0</formula>
    </cfRule>
    <cfRule type="expression" dxfId="3137" priority="26">
      <formula>$N$172 = 0</formula>
    </cfRule>
    <cfRule type="expression" dxfId="3136" priority="27">
      <formula>$N$172 &lt; 0</formula>
    </cfRule>
  </conditionalFormatting>
  <conditionalFormatting sqref="A179:C198 M179:O198">
    <cfRule type="expression" dxfId="3135" priority="13">
      <formula>AND($N179 &gt; 0, ISNUMBER($N179))</formula>
    </cfRule>
    <cfRule type="expression" dxfId="3134" priority="14">
      <formula>AND($N179 = 0 * ISNUMBER($N179))</formula>
    </cfRule>
    <cfRule type="expression" dxfId="3133" priority="15">
      <formula>AND($N179 &lt; 0, ISNUMBER($N179))</formula>
    </cfRule>
  </conditionalFormatting>
  <conditionalFormatting sqref="A179:F198">
    <cfRule type="expression" dxfId="3132" priority="22">
      <formula>AND($E179 &gt; 0, ISNUMBER($E179))</formula>
    </cfRule>
    <cfRule type="expression" dxfId="3131" priority="23">
      <formula>AND($E179 = 0 * ISNUMBER($E179))</formula>
    </cfRule>
    <cfRule type="expression" dxfId="3130" priority="24">
      <formula>AND($E179 &lt; 0, ISNUMBER($E179))</formula>
    </cfRule>
  </conditionalFormatting>
  <conditionalFormatting sqref="A179:C198 G179:I198">
    <cfRule type="expression" dxfId="3129" priority="19">
      <formula>AND($H179 &gt; 0, ISNUMBER($H179))</formula>
    </cfRule>
    <cfRule type="expression" dxfId="3128" priority="20">
      <formula>AND($H179 = 0 * ISNUMBER($H179))</formula>
    </cfRule>
    <cfRule type="expression" dxfId="3127" priority="21">
      <formula>AND($H179 &lt; 0, ISNUMBER($H179))</formula>
    </cfRule>
  </conditionalFormatting>
  <conditionalFormatting sqref="A179:C198 J179:L198">
    <cfRule type="expression" dxfId="3126" priority="16">
      <formula>AND($K179 &gt; 0, ISNUMBER($K179))</formula>
    </cfRule>
    <cfRule type="expression" dxfId="3125" priority="17">
      <formula>AND($K179 = 0 * ISNUMBER($K179))</formula>
    </cfRule>
    <cfRule type="expression" dxfId="3124" priority="18">
      <formula>AND($K179 &lt; 0, ISNUMBER($K179))</formula>
    </cfRule>
  </conditionalFormatting>
  <conditionalFormatting sqref="D177:F178 E199:F199">
    <cfRule type="expression" dxfId="3123" priority="10">
      <formula>$E$199 &gt; 0</formula>
    </cfRule>
    <cfRule type="expression" dxfId="3122" priority="11">
      <formula>$E$199 = 0</formula>
    </cfRule>
    <cfRule type="expression" dxfId="3121" priority="12">
      <formula>$E$199 &lt; 0</formula>
    </cfRule>
  </conditionalFormatting>
  <conditionalFormatting sqref="G177:I178 H199:I199">
    <cfRule type="expression" dxfId="3120" priority="7">
      <formula>$H$199 &gt; 0</formula>
    </cfRule>
    <cfRule type="expression" dxfId="3119" priority="8">
      <formula>$H$199 = 0</formula>
    </cfRule>
    <cfRule type="expression" dxfId="3118" priority="9">
      <formula>$H$199 &lt; 0</formula>
    </cfRule>
  </conditionalFormatting>
  <conditionalFormatting sqref="J177:L178 K199:L199">
    <cfRule type="expression" dxfId="3117" priority="4">
      <formula>$K$199 &gt; 0</formula>
    </cfRule>
    <cfRule type="expression" dxfId="3116" priority="5">
      <formula>$K$199 = 0</formula>
    </cfRule>
    <cfRule type="expression" dxfId="3115" priority="6">
      <formula>$K$199 &lt; 0</formula>
    </cfRule>
  </conditionalFormatting>
  <conditionalFormatting sqref="M177:O178 N199:O199">
    <cfRule type="expression" dxfId="3114" priority="1">
      <formula>$N$199 &gt; 0</formula>
    </cfRule>
    <cfRule type="expression" dxfId="3113" priority="2">
      <formula>$N$199 = 0</formula>
    </cfRule>
    <cfRule type="expression" dxfId="31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44317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6" t="s">
        <v>3</v>
      </c>
      <c r="B2" s="315" t="s">
        <v>8</v>
      </c>
      <c r="C2" s="316"/>
      <c r="D2" s="316"/>
      <c r="E2" s="316"/>
      <c r="F2" s="317"/>
      <c r="G2" s="250" t="s">
        <v>46</v>
      </c>
      <c r="H2" s="251"/>
      <c r="I2" s="252"/>
      <c r="J2" s="116" t="s">
        <v>3</v>
      </c>
      <c r="K2" s="315" t="s">
        <v>376</v>
      </c>
      <c r="L2" s="316"/>
      <c r="M2" s="316"/>
      <c r="N2" s="316"/>
      <c r="O2" s="317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12" t="s">
        <v>384</v>
      </c>
      <c r="C3" s="313"/>
      <c r="D3" s="313"/>
      <c r="E3" s="313"/>
      <c r="F3" s="314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7"/>
      <c r="I3" s="258"/>
      <c r="J3" s="117" t="s">
        <v>7</v>
      </c>
      <c r="K3" s="312" t="s">
        <v>377</v>
      </c>
      <c r="L3" s="313"/>
      <c r="M3" s="313"/>
      <c r="N3" s="313"/>
      <c r="O3" s="314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12" t="s">
        <v>16</v>
      </c>
      <c r="C4" s="313"/>
      <c r="D4" s="313"/>
      <c r="E4" s="313"/>
      <c r="F4" s="314"/>
      <c r="G4" s="250" t="s">
        <v>44</v>
      </c>
      <c r="H4" s="251"/>
      <c r="I4" s="252"/>
      <c r="J4" s="117" t="s">
        <v>11</v>
      </c>
      <c r="K4" s="312" t="s">
        <v>378</v>
      </c>
      <c r="L4" s="313"/>
      <c r="M4" s="313"/>
      <c r="N4" s="313"/>
      <c r="O4" s="314"/>
      <c r="Q4" s="189" t="s">
        <v>14</v>
      </c>
      <c r="R4" s="198">
        <v>0.95833333333333337</v>
      </c>
    </row>
    <row r="5" spans="1:19" ht="17.25" customHeight="1" thickBot="1">
      <c r="A5" s="117" t="s">
        <v>15</v>
      </c>
      <c r="B5" s="312" t="s">
        <v>374</v>
      </c>
      <c r="C5" s="313"/>
      <c r="D5" s="313"/>
      <c r="E5" s="313"/>
      <c r="F5" s="314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7"/>
      <c r="I5" s="258"/>
      <c r="J5" s="117" t="s">
        <v>15</v>
      </c>
      <c r="K5" s="312" t="s">
        <v>379</v>
      </c>
      <c r="L5" s="313"/>
      <c r="M5" s="313"/>
      <c r="N5" s="313"/>
      <c r="O5" s="314"/>
    </row>
    <row r="6" spans="1:19">
      <c r="A6" s="117" t="s">
        <v>18</v>
      </c>
      <c r="B6" s="312"/>
      <c r="C6" s="313"/>
      <c r="D6" s="313"/>
      <c r="E6" s="313"/>
      <c r="F6" s="314"/>
      <c r="G6" s="250" t="s">
        <v>45</v>
      </c>
      <c r="H6" s="251"/>
      <c r="I6" s="252"/>
      <c r="J6" s="117" t="s">
        <v>18</v>
      </c>
      <c r="K6" s="312" t="s">
        <v>380</v>
      </c>
      <c r="L6" s="313"/>
      <c r="M6" s="313"/>
      <c r="N6" s="313"/>
      <c r="O6" s="314"/>
    </row>
    <row r="7" spans="1:19" ht="17.25" thickBot="1">
      <c r="A7" s="117" t="s">
        <v>21</v>
      </c>
      <c r="B7" s="312"/>
      <c r="C7" s="313"/>
      <c r="D7" s="313"/>
      <c r="E7" s="313"/>
      <c r="F7" s="314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7"/>
      <c r="I7" s="258"/>
      <c r="J7" s="117" t="s">
        <v>21</v>
      </c>
      <c r="K7" s="312" t="s">
        <v>381</v>
      </c>
      <c r="L7" s="313"/>
      <c r="M7" s="313"/>
      <c r="N7" s="313"/>
      <c r="O7" s="314"/>
    </row>
    <row r="8" spans="1:19" ht="17.25" thickBot="1">
      <c r="A8" s="117" t="s">
        <v>24</v>
      </c>
      <c r="B8" s="312"/>
      <c r="C8" s="313"/>
      <c r="D8" s="313"/>
      <c r="E8" s="313"/>
      <c r="F8" s="314"/>
      <c r="G8" s="250" t="s">
        <v>285</v>
      </c>
      <c r="H8" s="251"/>
      <c r="I8" s="252"/>
      <c r="J8" s="117" t="s">
        <v>24</v>
      </c>
      <c r="K8" s="312"/>
      <c r="L8" s="313"/>
      <c r="M8" s="313"/>
      <c r="N8" s="313"/>
      <c r="O8" s="314"/>
      <c r="Q8" s="241" t="s">
        <v>27</v>
      </c>
      <c r="R8" s="243"/>
    </row>
    <row r="9" spans="1:19" ht="17.25" thickBot="1">
      <c r="A9" s="117" t="s">
        <v>28</v>
      </c>
      <c r="B9" s="312"/>
      <c r="C9" s="313"/>
      <c r="D9" s="313"/>
      <c r="E9" s="313"/>
      <c r="F9" s="314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7"/>
      <c r="I9" s="258"/>
      <c r="J9" s="117" t="s">
        <v>28</v>
      </c>
      <c r="K9" s="312"/>
      <c r="L9" s="313"/>
      <c r="M9" s="313"/>
      <c r="N9" s="313"/>
      <c r="O9" s="314"/>
      <c r="Q9" s="120" t="s">
        <v>29</v>
      </c>
      <c r="R9" s="199">
        <v>10</v>
      </c>
    </row>
    <row r="10" spans="1:19">
      <c r="A10" s="117" t="s">
        <v>30</v>
      </c>
      <c r="B10" s="312"/>
      <c r="C10" s="313"/>
      <c r="D10" s="313"/>
      <c r="E10" s="313"/>
      <c r="F10" s="314"/>
      <c r="G10" s="250" t="s">
        <v>47</v>
      </c>
      <c r="H10" s="251"/>
      <c r="I10" s="252"/>
      <c r="J10" s="117" t="s">
        <v>30</v>
      </c>
      <c r="K10" s="312" t="s">
        <v>382</v>
      </c>
      <c r="L10" s="313"/>
      <c r="M10" s="313"/>
      <c r="N10" s="313"/>
      <c r="O10" s="314"/>
      <c r="Q10" s="120" t="s">
        <v>31</v>
      </c>
      <c r="R10" s="199">
        <v>100</v>
      </c>
    </row>
    <row r="11" spans="1:19" ht="17.25" thickBot="1">
      <c r="A11" s="118" t="s">
        <v>32</v>
      </c>
      <c r="B11" s="309" t="s">
        <v>383</v>
      </c>
      <c r="C11" s="310"/>
      <c r="D11" s="310"/>
      <c r="E11" s="310"/>
      <c r="F11" s="31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118" t="s">
        <v>32</v>
      </c>
      <c r="K11" s="309" t="s">
        <v>373</v>
      </c>
      <c r="L11" s="310"/>
      <c r="M11" s="310"/>
      <c r="N11" s="310"/>
      <c r="O11" s="311"/>
      <c r="Q11" s="189" t="s">
        <v>33</v>
      </c>
      <c r="R11" s="200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86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62017000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-1.6680144000000001E-2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2021-05-01(토) 오전 00:00</v>
      </c>
      <c r="C15" s="308"/>
      <c r="D15" s="241" t="str">
        <f>TEXT($G$1, "[$-ko-KR]yyyy-mm-dd(ddd) ") &amp; "오후 14:00"</f>
        <v>2021-05-01(토) 오후 14:00</v>
      </c>
      <c r="E15" s="242"/>
      <c r="F15" s="243"/>
      <c r="G15" s="241" t="str">
        <f>TEXT($G$1, "[$-ko-KR]yyyy-mm-dd(ddd) ") &amp; "오후 19:00"</f>
        <v>2021-05-01(토) 오후 19:00</v>
      </c>
      <c r="H15" s="242"/>
      <c r="I15" s="243"/>
      <c r="J15" s="241" t="str">
        <f>TEXT($G$1, "[$-ko-KR]yyyy-mm-dd(ddd) ") &amp; "오후 21:00"</f>
        <v>2021-05-01(토) 오후 21:00</v>
      </c>
      <c r="K15" s="242"/>
      <c r="L15" s="243"/>
      <c r="M15" s="241" t="str">
        <f>TEXT($G$1+1, "[$-ko-KR]yyyy-mm-dd(ddd) ") &amp; "오전 00:00"</f>
        <v>2021-05-02(일) 오전 00:00</v>
      </c>
      <c r="N15" s="242"/>
      <c r="O15" s="243"/>
      <c r="Q15" s="262"/>
      <c r="R15" s="262"/>
      <c r="S15" s="262"/>
    </row>
    <row r="16" spans="1:19" ht="17.25" customHeight="1" thickBot="1">
      <c r="A16" s="306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267"/>
      <c r="R16" s="267"/>
      <c r="S16" s="267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67"/>
      <c r="R19" s="267"/>
      <c r="S19" s="267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67"/>
      <c r="R20" s="267"/>
      <c r="S20" s="267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67"/>
      <c r="R21" s="267"/>
      <c r="S21" s="267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67"/>
      <c r="R22" s="267"/>
      <c r="S22" s="267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67"/>
      <c r="R23" s="267"/>
      <c r="S23" s="267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67"/>
      <c r="R24" s="267"/>
      <c r="S24" s="267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276"/>
      <c r="R26" s="277"/>
      <c r="S26" s="278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279"/>
      <c r="R27" s="280"/>
      <c r="S27" s="281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282"/>
      <c r="R28" s="283"/>
      <c r="S28" s="284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67"/>
      <c r="R29" s="267"/>
      <c r="S29" s="267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62"/>
      <c r="R30" s="262"/>
      <c r="S30" s="262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62"/>
      <c r="R31" s="262"/>
      <c r="S31" s="26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67"/>
      <c r="R32" s="267"/>
      <c r="S32" s="267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67"/>
      <c r="R33" s="267"/>
      <c r="S33" s="267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67"/>
      <c r="R34" s="267"/>
      <c r="S34" s="267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89"/>
      <c r="R35" s="290"/>
      <c r="S35" s="29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92"/>
      <c r="R36" s="293"/>
      <c r="S36" s="294"/>
    </row>
    <row r="37" spans="1:19" ht="17.25" customHeight="1" thickBot="1">
      <c r="A37" s="131" t="s">
        <v>42</v>
      </c>
      <c r="B37" s="300">
        <v>150000</v>
      </c>
      <c r="C37" s="301"/>
      <c r="D37" s="131" t="s">
        <v>43</v>
      </c>
      <c r="E37" s="195">
        <f>IF(COUNT(E17:E36), SUM(E17:E36) / COUNT(E17:E36), 0)</f>
        <v>0</v>
      </c>
      <c r="F37" s="208">
        <f>SUM(F17:F36)</f>
        <v>0</v>
      </c>
      <c r="G37" s="131" t="s">
        <v>43</v>
      </c>
      <c r="H37" s="195">
        <f>IF(COUNT(H17:H36), SUM(H17:H36) / COUNT(H17:H36), 0)</f>
        <v>0</v>
      </c>
      <c r="I37" s="208">
        <f>SUM(I17:I36)</f>
        <v>0</v>
      </c>
      <c r="J37" s="131" t="s">
        <v>43</v>
      </c>
      <c r="K37" s="195">
        <f>IF(COUNT(K17:K36), SUM(K17:K36) / COUNT(K17:K36), 0)</f>
        <v>0</v>
      </c>
      <c r="L37" s="208">
        <f>SUM(L17:L36)</f>
        <v>0</v>
      </c>
      <c r="M37" s="131" t="s">
        <v>43</v>
      </c>
      <c r="N37" s="195">
        <f>IF(COUNT(N17:N36), SUM(N17:N36) / COUNT(N17:N36), 0)</f>
        <v>0</v>
      </c>
      <c r="O37" s="20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86" t="s">
        <v>298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62017000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-1.6680144000000001E-2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2021-05-01(토) 오전 00:00</v>
      </c>
      <c r="C42" s="305"/>
      <c r="D42" s="241" t="str">
        <f>TEXT($G$1, "[$-ko-KR]yyyy-mm-dd(ddd) ") &amp; "오후 14:00"</f>
        <v>2021-05-01(토) 오후 14:00</v>
      </c>
      <c r="E42" s="242"/>
      <c r="F42" s="243"/>
      <c r="G42" s="241" t="str">
        <f>TEXT($G$1, "[$-ko-KR]yyyy-mm-dd(ddd) ") &amp; "오후 19:00"</f>
        <v>2021-05-01(토) 오후 19:00</v>
      </c>
      <c r="H42" s="242"/>
      <c r="I42" s="243"/>
      <c r="J42" s="241" t="str">
        <f>TEXT($G$1, "[$-ko-KR]yyyy-mm-dd(ddd) ") &amp; "오후 21:00"</f>
        <v>2021-05-01(토) 오후 21:00</v>
      </c>
      <c r="K42" s="242"/>
      <c r="L42" s="243"/>
      <c r="M42" s="241" t="str">
        <f>TEXT($G$1+1, "[$-ko-KR]yyyy-mm-dd(ddd) ") &amp; "오전 00:00"</f>
        <v>2021-05-02(일) 오전 00:00</v>
      </c>
      <c r="N42" s="242"/>
      <c r="O42" s="243"/>
      <c r="Q42" s="262"/>
      <c r="R42" s="262"/>
      <c r="S42" s="262"/>
    </row>
    <row r="43" spans="1:19" ht="17.25" customHeight="1" thickBot="1">
      <c r="A43" s="303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267"/>
      <c r="R43" s="267"/>
      <c r="S43" s="267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62"/>
      <c r="R44" s="262"/>
      <c r="S44" s="262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62"/>
      <c r="R45" s="262"/>
      <c r="S45" s="262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267"/>
      <c r="R46" s="267"/>
      <c r="S46" s="267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267"/>
      <c r="R47" s="267"/>
      <c r="S47" s="267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267"/>
      <c r="R48" s="267"/>
      <c r="S48" s="267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67"/>
      <c r="R49" s="267"/>
      <c r="S49" s="267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67"/>
      <c r="R50" s="267"/>
      <c r="S50" s="267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267"/>
      <c r="R51" s="267"/>
      <c r="S51" s="267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276"/>
      <c r="R53" s="277"/>
      <c r="S53" s="278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79"/>
      <c r="R54" s="280"/>
      <c r="S54" s="281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282"/>
      <c r="R55" s="283"/>
      <c r="S55" s="284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267"/>
      <c r="R56" s="267"/>
      <c r="S56" s="267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262"/>
      <c r="R57" s="262"/>
      <c r="S57" s="262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262"/>
      <c r="R58" s="262"/>
      <c r="S58" s="262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67"/>
      <c r="R59" s="267"/>
      <c r="S59" s="267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67"/>
      <c r="R60" s="267"/>
      <c r="S60" s="267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267"/>
      <c r="R61" s="267"/>
      <c r="S61" s="267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289"/>
      <c r="R62" s="290"/>
      <c r="S62" s="291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292"/>
      <c r="R63" s="293"/>
      <c r="S63" s="294"/>
    </row>
    <row r="64" spans="1:19" ht="17.25" customHeight="1" thickBot="1">
      <c r="A64" s="131" t="s">
        <v>301</v>
      </c>
      <c r="B64" s="300">
        <f>$B$37</f>
        <v>150000</v>
      </c>
      <c r="C64" s="301"/>
      <c r="D64" s="131" t="s">
        <v>302</v>
      </c>
      <c r="E64" s="195">
        <f>IF(COUNT(E44:E63), SUM(E44:E63) / COUNT(E44:E63), 0)</f>
        <v>0</v>
      </c>
      <c r="F64" s="208">
        <f>SUM(F44:F63)</f>
        <v>0</v>
      </c>
      <c r="G64" s="131" t="s">
        <v>302</v>
      </c>
      <c r="H64" s="195">
        <f>IF(COUNT(H44:H63), SUM(H44:H63) / COUNT(H44:H63), 0)</f>
        <v>0</v>
      </c>
      <c r="I64" s="208">
        <f>SUM(I44:I63)</f>
        <v>0</v>
      </c>
      <c r="J64" s="131" t="s">
        <v>302</v>
      </c>
      <c r="K64" s="195">
        <f>IF(COUNT(K44:K63), SUM(K44:K63) / COUNT(K44:K63), 0)</f>
        <v>0</v>
      </c>
      <c r="L64" s="208">
        <f>SUM(L44:L63)</f>
        <v>0</v>
      </c>
      <c r="M64" s="131" t="s">
        <v>302</v>
      </c>
      <c r="N64" s="195">
        <f>IF(COUNT(N44:N63), SUM(N44:N63) / COUNT(N44:N63), 0)</f>
        <v>0</v>
      </c>
      <c r="O64" s="208">
        <f>SUM(O44:O63)</f>
        <v>0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86" t="s">
        <v>298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62017000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-1.6680144000000001E-2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2021-05-01(토) 오전 00:00</v>
      </c>
      <c r="C69" s="305"/>
      <c r="D69" s="241" t="str">
        <f>TEXT($G$1, "[$-ko-KR]yyyy-mm-dd(ddd) ") &amp; "오후 14:00"</f>
        <v>2021-05-01(토) 오후 14:00</v>
      </c>
      <c r="E69" s="242"/>
      <c r="F69" s="243"/>
      <c r="G69" s="241" t="str">
        <f>TEXT($G$1, "[$-ko-KR]yyyy-mm-dd(ddd) ") &amp; "오후 19:00"</f>
        <v>2021-05-01(토) 오후 19:00</v>
      </c>
      <c r="H69" s="242"/>
      <c r="I69" s="243"/>
      <c r="J69" s="241" t="str">
        <f>TEXT($G$1, "[$-ko-KR]yyyy-mm-dd(ddd) ") &amp; "오후 21:00"</f>
        <v>2021-05-01(토) 오후 21:00</v>
      </c>
      <c r="K69" s="242"/>
      <c r="L69" s="243"/>
      <c r="M69" s="241" t="str">
        <f>TEXT($G$1+1, "[$-ko-KR]yyyy-mm-dd(ddd) ") &amp; "오전 00:00"</f>
        <v>2021-05-02(일) 오전 00:00</v>
      </c>
      <c r="N69" s="242"/>
      <c r="O69" s="243"/>
      <c r="Q69" s="262"/>
      <c r="R69" s="262"/>
      <c r="S69" s="262"/>
    </row>
    <row r="70" spans="1:19" ht="17.25" thickBot="1">
      <c r="A70" s="303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267"/>
      <c r="R70" s="267"/>
      <c r="S70" s="267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62"/>
      <c r="R71" s="262"/>
      <c r="S71" s="262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62"/>
      <c r="R72" s="262"/>
      <c r="S72" s="262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267"/>
      <c r="R73" s="267"/>
      <c r="S73" s="267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267"/>
      <c r="R74" s="267"/>
      <c r="S74" s="267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267"/>
      <c r="R75" s="267"/>
      <c r="S75" s="267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67"/>
      <c r="R76" s="267"/>
      <c r="S76" s="267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67"/>
      <c r="R77" s="267"/>
      <c r="S77" s="267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267"/>
      <c r="R78" s="267"/>
      <c r="S78" s="267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276"/>
      <c r="R80" s="277"/>
      <c r="S80" s="278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79"/>
      <c r="R81" s="280"/>
      <c r="S81" s="281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282"/>
      <c r="R82" s="283"/>
      <c r="S82" s="284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267"/>
      <c r="R83" s="267"/>
      <c r="S83" s="267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262"/>
      <c r="R84" s="262"/>
      <c r="S84" s="262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262"/>
      <c r="R85" s="262"/>
      <c r="S85" s="262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67"/>
      <c r="R86" s="267"/>
      <c r="S86" s="267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67"/>
      <c r="R87" s="267"/>
      <c r="S87" s="267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267"/>
      <c r="R88" s="267"/>
      <c r="S88" s="267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289"/>
      <c r="R89" s="290"/>
      <c r="S89" s="291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292"/>
      <c r="R90" s="293"/>
      <c r="S90" s="294"/>
    </row>
    <row r="91" spans="1:19" ht="17.25" thickBot="1">
      <c r="A91" s="131" t="s">
        <v>301</v>
      </c>
      <c r="B91" s="300">
        <f>$B$37</f>
        <v>150000</v>
      </c>
      <c r="C91" s="301"/>
      <c r="D91" s="131" t="s">
        <v>302</v>
      </c>
      <c r="E91" s="195">
        <f>IF(COUNT(E71:E90), SUM(E71:E90) / COUNT(E71:E90), 0)</f>
        <v>0</v>
      </c>
      <c r="F91" s="208">
        <f>SUM(F71:F90)</f>
        <v>0</v>
      </c>
      <c r="G91" s="131" t="s">
        <v>302</v>
      </c>
      <c r="H91" s="195">
        <f>IF(COUNT(H71:H90), SUM(H71:H90) / COUNT(H71:H90), 0)</f>
        <v>0</v>
      </c>
      <c r="I91" s="208">
        <f>SUM(I71:I90)</f>
        <v>0</v>
      </c>
      <c r="J91" s="131" t="s">
        <v>302</v>
      </c>
      <c r="K91" s="195">
        <f>IF(COUNT(K71:K90), SUM(K71:K90) / COUNT(K71:K90), 0)</f>
        <v>0</v>
      </c>
      <c r="L91" s="208">
        <f>SUM(L71:L90)</f>
        <v>0</v>
      </c>
      <c r="M91" s="131" t="s">
        <v>302</v>
      </c>
      <c r="N91" s="195">
        <f>IF(COUNT(N71:N90), SUM(N71:N90) / COUNT(N71:N90), 0)</f>
        <v>0</v>
      </c>
      <c r="O91" s="208">
        <f>SUM(O71:O90)</f>
        <v>0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86" t="s">
        <v>298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62017000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-1.6680144000000001E-2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2021-05-01(토) 오전 00:00</v>
      </c>
      <c r="C96" s="305"/>
      <c r="D96" s="241" t="str">
        <f>TEXT($G$1, "[$-ko-KR]yyyy-mm-dd(ddd) ") &amp; "오후 14:00"</f>
        <v>2021-05-01(토) 오후 14:00</v>
      </c>
      <c r="E96" s="242"/>
      <c r="F96" s="243"/>
      <c r="G96" s="241" t="str">
        <f>TEXT($G$1, "[$-ko-KR]yyyy-mm-dd(ddd) ") &amp; "오후 19:00"</f>
        <v>2021-05-01(토) 오후 19:00</v>
      </c>
      <c r="H96" s="242"/>
      <c r="I96" s="243"/>
      <c r="J96" s="241" t="str">
        <f>TEXT($G$1, "[$-ko-KR]yyyy-mm-dd(ddd) ") &amp; "오후 21:00"</f>
        <v>2021-05-01(토) 오후 21:00</v>
      </c>
      <c r="K96" s="242"/>
      <c r="L96" s="243"/>
      <c r="M96" s="241" t="str">
        <f>TEXT($G$1+1, "[$-ko-KR]yyyy-mm-dd(ddd) ") &amp; "오전 00:00"</f>
        <v>2021-05-02(일) 오전 00:00</v>
      </c>
      <c r="N96" s="242"/>
      <c r="O96" s="243"/>
      <c r="Q96" s="262"/>
      <c r="R96" s="262"/>
      <c r="S96" s="262"/>
    </row>
    <row r="97" spans="1:19" ht="17.25" thickBot="1">
      <c r="A97" s="303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267"/>
      <c r="R97" s="267"/>
      <c r="S97" s="267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62"/>
      <c r="R98" s="262"/>
      <c r="S98" s="262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62"/>
      <c r="R99" s="262"/>
      <c r="S99" s="262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267"/>
      <c r="R100" s="267"/>
      <c r="S100" s="267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267"/>
      <c r="R101" s="267"/>
      <c r="S101" s="267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267"/>
      <c r="R102" s="267"/>
      <c r="S102" s="267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67"/>
      <c r="R103" s="267"/>
      <c r="S103" s="267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67"/>
      <c r="R104" s="267"/>
      <c r="S104" s="267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267"/>
      <c r="R105" s="267"/>
      <c r="S105" s="267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276"/>
      <c r="R107" s="277"/>
      <c r="S107" s="278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79"/>
      <c r="R108" s="280"/>
      <c r="S108" s="281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282"/>
      <c r="R109" s="283"/>
      <c r="S109" s="284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267"/>
      <c r="R110" s="267"/>
      <c r="S110" s="267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262"/>
      <c r="R111" s="262"/>
      <c r="S111" s="262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262"/>
      <c r="R112" s="262"/>
      <c r="S112" s="262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67"/>
      <c r="R113" s="267"/>
      <c r="S113" s="267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67"/>
      <c r="R114" s="267"/>
      <c r="S114" s="267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267"/>
      <c r="R115" s="267"/>
      <c r="S115" s="267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289"/>
      <c r="R116" s="290"/>
      <c r="S116" s="291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292"/>
      <c r="R117" s="293"/>
      <c r="S117" s="294"/>
    </row>
    <row r="118" spans="1:19" ht="17.25" thickBot="1">
      <c r="A118" s="131" t="s">
        <v>301</v>
      </c>
      <c r="B118" s="300">
        <f>$B$37</f>
        <v>150000</v>
      </c>
      <c r="C118" s="301"/>
      <c r="D118" s="131" t="s">
        <v>302</v>
      </c>
      <c r="E118" s="195">
        <f>IF(COUNT(E98:E117), SUM(E98:E117) / COUNT(E98:E117), 0)</f>
        <v>0</v>
      </c>
      <c r="F118" s="208">
        <f>SUM(F98:F117)</f>
        <v>0</v>
      </c>
      <c r="G118" s="131" t="s">
        <v>302</v>
      </c>
      <c r="H118" s="195">
        <f>IF(COUNT(H98:H117), SUM(H98:H117) / COUNT(H98:H117), 0)</f>
        <v>0</v>
      </c>
      <c r="I118" s="208">
        <f>SUM(I98:I117)</f>
        <v>0</v>
      </c>
      <c r="J118" s="131" t="s">
        <v>302</v>
      </c>
      <c r="K118" s="195">
        <f>IF(COUNT(K98:K117), SUM(K98:K117) / COUNT(K98:K117), 0)</f>
        <v>0</v>
      </c>
      <c r="L118" s="208">
        <f>SUM(L98:L117)</f>
        <v>0</v>
      </c>
      <c r="M118" s="131" t="s">
        <v>302</v>
      </c>
      <c r="N118" s="195">
        <f>IF(COUNT(N98:N117), SUM(N98:N117) / COUNT(N98:N117), 0)</f>
        <v>0</v>
      </c>
      <c r="O118" s="208">
        <f>SUM(O98:O117)</f>
        <v>0</v>
      </c>
      <c r="Q118" s="295"/>
      <c r="R118" s="296"/>
      <c r="S118" s="297"/>
    </row>
    <row r="120" spans="1:19" ht="17.25" thickBot="1"/>
    <row r="121" spans="1:19" ht="17.25" thickBot="1">
      <c r="A121" s="241" t="s">
        <v>288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86" t="s">
        <v>298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62017000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-1.6680144000000001E-2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2021-05-01(토) 오전 00:00</v>
      </c>
      <c r="C123" s="305"/>
      <c r="D123" s="241" t="str">
        <f>TEXT($G$1, "[$-ko-KR]yyyy-mm-dd(ddd) ") &amp; "오후 14:00"</f>
        <v>2021-05-01(토) 오후 14:00</v>
      </c>
      <c r="E123" s="242"/>
      <c r="F123" s="243"/>
      <c r="G123" s="241" t="str">
        <f>TEXT($G$1, "[$-ko-KR]yyyy-mm-dd(ddd) ") &amp; "오후 19:00"</f>
        <v>2021-05-01(토) 오후 19:00</v>
      </c>
      <c r="H123" s="242"/>
      <c r="I123" s="243"/>
      <c r="J123" s="241" t="str">
        <f>TEXT($G$1, "[$-ko-KR]yyyy-mm-dd(ddd) ") &amp; "오후 21:00"</f>
        <v>2021-05-01(토) 오후 21:00</v>
      </c>
      <c r="K123" s="242"/>
      <c r="L123" s="243"/>
      <c r="M123" s="241" t="str">
        <f>TEXT($G$1+1, "[$-ko-KR]yyyy-mm-dd(ddd) ") &amp; "오전 00:00"</f>
        <v>2021-05-02(일) 오전 00:00</v>
      </c>
      <c r="N123" s="242"/>
      <c r="O123" s="243"/>
      <c r="Q123" s="262"/>
      <c r="R123" s="262"/>
      <c r="S123" s="262"/>
    </row>
    <row r="124" spans="1:19" ht="17.25" thickBot="1">
      <c r="A124" s="303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267"/>
      <c r="R124" s="267"/>
      <c r="S124" s="267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62"/>
      <c r="R125" s="262"/>
      <c r="S125" s="262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62"/>
      <c r="R126" s="262"/>
      <c r="S126" s="262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267"/>
      <c r="R127" s="267"/>
      <c r="S127" s="267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267"/>
      <c r="R128" s="267"/>
      <c r="S128" s="267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267"/>
      <c r="R129" s="267"/>
      <c r="S129" s="267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67"/>
      <c r="R130" s="267"/>
      <c r="S130" s="267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67"/>
      <c r="R131" s="267"/>
      <c r="S131" s="267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267"/>
      <c r="R132" s="267"/>
      <c r="S132" s="267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276"/>
      <c r="R134" s="277"/>
      <c r="S134" s="278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79"/>
      <c r="R135" s="280"/>
      <c r="S135" s="281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282"/>
      <c r="R136" s="283"/>
      <c r="S136" s="284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267"/>
      <c r="R137" s="267"/>
      <c r="S137" s="267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262"/>
      <c r="R138" s="262"/>
      <c r="S138" s="262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262"/>
      <c r="R139" s="262"/>
      <c r="S139" s="262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67"/>
      <c r="R140" s="267"/>
      <c r="S140" s="267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67"/>
      <c r="R141" s="267"/>
      <c r="S141" s="267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267"/>
      <c r="R142" s="267"/>
      <c r="S142" s="267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289"/>
      <c r="R143" s="290"/>
      <c r="S143" s="291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292"/>
      <c r="R144" s="293"/>
      <c r="S144" s="294"/>
    </row>
    <row r="145" spans="1:19" ht="17.25" thickBot="1">
      <c r="A145" s="131" t="s">
        <v>301</v>
      </c>
      <c r="B145" s="300">
        <f>$B$37</f>
        <v>150000</v>
      </c>
      <c r="C145" s="301"/>
      <c r="D145" s="131" t="s">
        <v>302</v>
      </c>
      <c r="E145" s="195">
        <f>IF(COUNT(E125:E144), SUM(E125:E144) / COUNT(E125:E144), 0)</f>
        <v>0</v>
      </c>
      <c r="F145" s="208">
        <f>SUM(F125:F144)</f>
        <v>0</v>
      </c>
      <c r="G145" s="131" t="s">
        <v>302</v>
      </c>
      <c r="H145" s="195">
        <f>IF(COUNT(H125:H144), SUM(H125:H144) / COUNT(H125:H144), 0)</f>
        <v>0</v>
      </c>
      <c r="I145" s="208">
        <f>SUM(I125:I144)</f>
        <v>0</v>
      </c>
      <c r="J145" s="131" t="s">
        <v>302</v>
      </c>
      <c r="K145" s="195">
        <f>IF(COUNT(K125:K144), SUM(K125:K144) / COUNT(K125:K144), 0)</f>
        <v>0</v>
      </c>
      <c r="L145" s="208">
        <f>SUM(L125:L144)</f>
        <v>0</v>
      </c>
      <c r="M145" s="131" t="s">
        <v>302</v>
      </c>
      <c r="N145" s="195">
        <f>IF(COUNT(N125:N144), SUM(N125:N144) / COUNT(N125:N144), 0)</f>
        <v>0</v>
      </c>
      <c r="O145" s="208">
        <f>SUM(O125:O144)</f>
        <v>0</v>
      </c>
      <c r="Q145" s="295"/>
      <c r="R145" s="296"/>
      <c r="S145" s="297"/>
    </row>
    <row r="147" spans="1:19" ht="17.25" thickBot="1"/>
    <row r="148" spans="1:19" ht="17.25" thickBot="1">
      <c r="A148" s="241" t="s">
        <v>289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86" t="s">
        <v>298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62017000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-1.6680144000000001E-2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2021-05-01(토) 오전 00:00</v>
      </c>
      <c r="C150" s="305"/>
      <c r="D150" s="241" t="str">
        <f>TEXT($G$1, "[$-ko-KR]yyyy-mm-dd(ddd) ") &amp; "오후 14:00"</f>
        <v>2021-05-01(토) 오후 14:00</v>
      </c>
      <c r="E150" s="242"/>
      <c r="F150" s="243"/>
      <c r="G150" s="241" t="str">
        <f>TEXT($G$1, "[$-ko-KR]yyyy-mm-dd(ddd) ") &amp; "오후 19:00"</f>
        <v>2021-05-01(토) 오후 19:00</v>
      </c>
      <c r="H150" s="242"/>
      <c r="I150" s="243"/>
      <c r="J150" s="241" t="str">
        <f>TEXT($G$1, "[$-ko-KR]yyyy-mm-dd(ddd) ") &amp; "오후 21:00"</f>
        <v>2021-05-01(토) 오후 21:00</v>
      </c>
      <c r="K150" s="242"/>
      <c r="L150" s="243"/>
      <c r="M150" s="241" t="str">
        <f>TEXT($G$1+1, "[$-ko-KR]yyyy-mm-dd(ddd) ") &amp; "오전 00:00"</f>
        <v>2021-05-02(일) 오전 00:00</v>
      </c>
      <c r="N150" s="242"/>
      <c r="O150" s="243"/>
      <c r="Q150" s="262"/>
      <c r="R150" s="262"/>
      <c r="S150" s="262"/>
    </row>
    <row r="151" spans="1:19" ht="17.25" thickBot="1">
      <c r="A151" s="303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267"/>
      <c r="R151" s="267"/>
      <c r="S151" s="267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62"/>
      <c r="R152" s="262"/>
      <c r="S152" s="262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62"/>
      <c r="R153" s="262"/>
      <c r="S153" s="262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267"/>
      <c r="R154" s="267"/>
      <c r="S154" s="267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267"/>
      <c r="R155" s="267"/>
      <c r="S155" s="267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267"/>
      <c r="R156" s="267"/>
      <c r="S156" s="267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67"/>
      <c r="R157" s="267"/>
      <c r="S157" s="267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67"/>
      <c r="R158" s="267"/>
      <c r="S158" s="267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267"/>
      <c r="R159" s="267"/>
      <c r="S159" s="267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276"/>
      <c r="R161" s="277"/>
      <c r="S161" s="278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79"/>
      <c r="R162" s="280"/>
      <c r="S162" s="281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282"/>
      <c r="R163" s="283"/>
      <c r="S163" s="284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267"/>
      <c r="R164" s="267"/>
      <c r="S164" s="267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262"/>
      <c r="R165" s="262"/>
      <c r="S165" s="262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262"/>
      <c r="R166" s="262"/>
      <c r="S166" s="262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67"/>
      <c r="R167" s="267"/>
      <c r="S167" s="267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67"/>
      <c r="R168" s="267"/>
      <c r="S168" s="267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267"/>
      <c r="R169" s="267"/>
      <c r="S169" s="267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289"/>
      <c r="R170" s="290"/>
      <c r="S170" s="291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292"/>
      <c r="R171" s="293"/>
      <c r="S171" s="294"/>
    </row>
    <row r="172" spans="1:19" ht="17.25" thickBot="1">
      <c r="A172" s="131" t="s">
        <v>301</v>
      </c>
      <c r="B172" s="300">
        <f>$B$37</f>
        <v>150000</v>
      </c>
      <c r="C172" s="301"/>
      <c r="D172" s="131" t="s">
        <v>302</v>
      </c>
      <c r="E172" s="195">
        <f>IF(COUNT(E152:E171), SUM(E152:E171) / COUNT(E152:E171), 0)</f>
        <v>0</v>
      </c>
      <c r="F172" s="208">
        <f>SUM(F152:F171)</f>
        <v>0</v>
      </c>
      <c r="G172" s="131" t="s">
        <v>302</v>
      </c>
      <c r="H172" s="195">
        <f>IF(COUNT(H152:H171), SUM(H152:H171) / COUNT(H152:H171), 0)</f>
        <v>0</v>
      </c>
      <c r="I172" s="208">
        <f>SUM(I152:I171)</f>
        <v>0</v>
      </c>
      <c r="J172" s="131" t="s">
        <v>302</v>
      </c>
      <c r="K172" s="195">
        <f>IF(COUNT(K152:K171), SUM(K152:K171) / COUNT(K152:K171), 0)</f>
        <v>0</v>
      </c>
      <c r="L172" s="208">
        <f>SUM(L152:L171)</f>
        <v>0</v>
      </c>
      <c r="M172" s="131" t="s">
        <v>302</v>
      </c>
      <c r="N172" s="195">
        <f>IF(COUNT(N152:N171), SUM(N152:N171) / COUNT(N152:N171), 0)</f>
        <v>0</v>
      </c>
      <c r="O172" s="208">
        <f>SUM(O152:O171)</f>
        <v>0</v>
      </c>
      <c r="Q172" s="295"/>
      <c r="R172" s="296"/>
      <c r="S172" s="297"/>
    </row>
    <row r="174" spans="1:19" ht="17.25" thickBot="1"/>
    <row r="175" spans="1:19" ht="17.25" thickBot="1">
      <c r="A175" s="241" t="s">
        <v>285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86" t="s">
        <v>298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62017000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-1.6680144000000001E-2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2021-05-01(토) 오전 00:00</v>
      </c>
      <c r="C177" s="305"/>
      <c r="D177" s="241" t="str">
        <f>TEXT($G$1, "[$-ko-KR]yyyy-mm-dd(ddd) ") &amp; "오후 14:00"</f>
        <v>2021-05-01(토) 오후 14:00</v>
      </c>
      <c r="E177" s="242"/>
      <c r="F177" s="243"/>
      <c r="G177" s="241" t="str">
        <f>TEXT($G$1, "[$-ko-KR]yyyy-mm-dd(ddd) ") &amp; "오후 19:00"</f>
        <v>2021-05-01(토) 오후 19:00</v>
      </c>
      <c r="H177" s="242"/>
      <c r="I177" s="243"/>
      <c r="J177" s="241" t="str">
        <f>TEXT($G$1, "[$-ko-KR]yyyy-mm-dd(ddd) ") &amp; "오후 21:00"</f>
        <v>2021-05-01(토) 오후 21:00</v>
      </c>
      <c r="K177" s="242"/>
      <c r="L177" s="243"/>
      <c r="M177" s="241" t="str">
        <f>TEXT($G$1+1, "[$-ko-KR]yyyy-mm-dd(ddd) ") &amp; "오전 00:00"</f>
        <v>2021-05-02(일) 오전 00:00</v>
      </c>
      <c r="N177" s="242"/>
      <c r="O177" s="243"/>
      <c r="Q177" s="262"/>
      <c r="R177" s="262"/>
      <c r="S177" s="262"/>
    </row>
    <row r="178" spans="1:19" ht="17.25" thickBot="1">
      <c r="A178" s="303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267"/>
      <c r="R178" s="267"/>
      <c r="S178" s="267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62"/>
      <c r="R179" s="262"/>
      <c r="S179" s="262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62"/>
      <c r="R180" s="262"/>
      <c r="S180" s="262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267"/>
      <c r="R181" s="267"/>
      <c r="S181" s="267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267"/>
      <c r="R182" s="267"/>
      <c r="S182" s="267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267"/>
      <c r="R183" s="267"/>
      <c r="S183" s="267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67"/>
      <c r="R184" s="267"/>
      <c r="S184" s="267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67"/>
      <c r="R185" s="267"/>
      <c r="S185" s="267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267"/>
      <c r="R186" s="267"/>
      <c r="S186" s="267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276"/>
      <c r="R188" s="277"/>
      <c r="S188" s="278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79"/>
      <c r="R189" s="280"/>
      <c r="S189" s="281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282"/>
      <c r="R190" s="283"/>
      <c r="S190" s="284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267"/>
      <c r="R191" s="267"/>
      <c r="S191" s="267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262"/>
      <c r="R192" s="262"/>
      <c r="S192" s="262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262"/>
      <c r="R193" s="262"/>
      <c r="S193" s="262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67"/>
      <c r="R194" s="267"/>
      <c r="S194" s="267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67"/>
      <c r="R195" s="267"/>
      <c r="S195" s="267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267"/>
      <c r="R196" s="267"/>
      <c r="S196" s="267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289"/>
      <c r="R197" s="290"/>
      <c r="S197" s="291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292"/>
      <c r="R198" s="293"/>
      <c r="S198" s="294"/>
    </row>
    <row r="199" spans="1:19" ht="17.25" thickBot="1">
      <c r="A199" s="131" t="s">
        <v>301</v>
      </c>
      <c r="B199" s="300">
        <f>$B$37</f>
        <v>150000</v>
      </c>
      <c r="C199" s="301"/>
      <c r="D199" s="131" t="s">
        <v>302</v>
      </c>
      <c r="E199" s="195">
        <f>IF(COUNT(E179:E198), SUM(E179:E198) / COUNT(E179:E198), 0)</f>
        <v>0</v>
      </c>
      <c r="F199" s="208">
        <f>SUM(F179:F198)</f>
        <v>0</v>
      </c>
      <c r="G199" s="131" t="s">
        <v>302</v>
      </c>
      <c r="H199" s="195">
        <f>IF(COUNT(H179:H198), SUM(H179:H198) / COUNT(H179:H198), 0)</f>
        <v>0</v>
      </c>
      <c r="I199" s="208">
        <f>SUM(I179:I198)</f>
        <v>0</v>
      </c>
      <c r="J199" s="131" t="s">
        <v>302</v>
      </c>
      <c r="K199" s="195">
        <f>IF(COUNT(K179:K198), SUM(K179:K198) / COUNT(K179:K198), 0)</f>
        <v>0</v>
      </c>
      <c r="L199" s="208">
        <f>SUM(L179:L198)</f>
        <v>0</v>
      </c>
      <c r="M199" s="131" t="s">
        <v>302</v>
      </c>
      <c r="N199" s="195">
        <f>IF(COUNT(N179:N198), SUM(N179:N198) / COUNT(N179:N198), 0)</f>
        <v>0</v>
      </c>
      <c r="O199" s="208">
        <f>SUM(O179:O198)</f>
        <v>0</v>
      </c>
      <c r="Q199" s="295"/>
      <c r="R199" s="296"/>
      <c r="S199" s="297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311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11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10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10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0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0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0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0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0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0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01" priority="289">
      <formula>AND($N17 &gt; 0, ISNUMBER($N17))</formula>
    </cfRule>
    <cfRule type="expression" dxfId="3100" priority="290">
      <formula>AND($N17 = 0 * ISNUMBER($N17))</formula>
    </cfRule>
    <cfRule type="expression" dxfId="3099" priority="291">
      <formula>AND($N17 &lt; 0, ISNUMBER($N17))</formula>
    </cfRule>
  </conditionalFormatting>
  <conditionalFormatting sqref="A17:C36 D17:F36">
    <cfRule type="expression" dxfId="3098" priority="298">
      <formula>AND($E17 &gt; 0, ISNUMBER($E17))</formula>
    </cfRule>
    <cfRule type="expression" dxfId="3097" priority="299">
      <formula>AND($E17 = 0 * ISNUMBER($E17))</formula>
    </cfRule>
    <cfRule type="expression" dxfId="3096" priority="300">
      <formula>AND($E17 &lt; 0, ISNUMBER($E17))</formula>
    </cfRule>
  </conditionalFormatting>
  <conditionalFormatting sqref="A17:C36 G17:I36">
    <cfRule type="expression" dxfId="3095" priority="295">
      <formula>AND($H17 &gt; 0, ISNUMBER($H17))</formula>
    </cfRule>
    <cfRule type="expression" dxfId="3094" priority="296">
      <formula>AND($H17 = 0 * ISNUMBER($H17))</formula>
    </cfRule>
    <cfRule type="expression" dxfId="3093" priority="297">
      <formula>AND($H17 &lt; 0, ISNUMBER($H17))</formula>
    </cfRule>
  </conditionalFormatting>
  <conditionalFormatting sqref="A17:C36 J17:L36">
    <cfRule type="expression" dxfId="3092" priority="292">
      <formula>AND($K17 &gt; 0, ISNUMBER($K17))</formula>
    </cfRule>
    <cfRule type="expression" dxfId="3091" priority="293">
      <formula>AND($K17 = 0 * ISNUMBER($K17))</formula>
    </cfRule>
    <cfRule type="expression" dxfId="3090" priority="294">
      <formula>AND($K17 &lt; 0, ISNUMBER($K17))</formula>
    </cfRule>
  </conditionalFormatting>
  <conditionalFormatting sqref="D15:F16 E37:F37">
    <cfRule type="expression" dxfId="3089" priority="286">
      <formula>$E$37 &gt; 0</formula>
    </cfRule>
    <cfRule type="expression" dxfId="3088" priority="287">
      <formula>$E$37 = 0</formula>
    </cfRule>
    <cfRule type="expression" dxfId="3087" priority="288">
      <formula>$E$37 &lt; 0</formula>
    </cfRule>
  </conditionalFormatting>
  <conditionalFormatting sqref="G15:I16 H37:I37">
    <cfRule type="expression" dxfId="3086" priority="283">
      <formula>$H$37 &gt; 0</formula>
    </cfRule>
    <cfRule type="expression" dxfId="3085" priority="284">
      <formula>$H$37 = 0</formula>
    </cfRule>
    <cfRule type="expression" dxfId="3084" priority="285">
      <formula>$H$37 &lt; 0</formula>
    </cfRule>
  </conditionalFormatting>
  <conditionalFormatting sqref="J15:L16 K37:L37">
    <cfRule type="expression" dxfId="3083" priority="280">
      <formula>$K$37 &gt; 0</formula>
    </cfRule>
    <cfRule type="expression" dxfId="3082" priority="281">
      <formula>$K$37 = 0</formula>
    </cfRule>
    <cfRule type="expression" dxfId="3081" priority="282">
      <formula>$K$37 &lt; 0</formula>
    </cfRule>
  </conditionalFormatting>
  <conditionalFormatting sqref="M15:O16 N37:O37">
    <cfRule type="expression" dxfId="3080" priority="277">
      <formula>$N$37 &gt; 0</formula>
    </cfRule>
    <cfRule type="expression" dxfId="3079" priority="278">
      <formula>$N$37 = 0</formula>
    </cfRule>
    <cfRule type="expression" dxfId="3078" priority="279">
      <formula>$N$37 &lt; 0</formula>
    </cfRule>
  </conditionalFormatting>
  <conditionalFormatting sqref="A44:C63 M44:O63">
    <cfRule type="expression" dxfId="3077" priority="265">
      <formula>AND($N44 &gt; 0, ISNUMBER($N44))</formula>
    </cfRule>
    <cfRule type="expression" dxfId="3076" priority="266">
      <formula>AND($N44 = 0 * ISNUMBER($N44))</formula>
    </cfRule>
    <cfRule type="expression" dxfId="3075" priority="267">
      <formula>AND($N44 &lt; 0, ISNUMBER($N44))</formula>
    </cfRule>
  </conditionalFormatting>
  <conditionalFormatting sqref="A44:F63">
    <cfRule type="expression" dxfId="3074" priority="274">
      <formula>AND($E44 &gt; 0, ISNUMBER($E44))</formula>
    </cfRule>
    <cfRule type="expression" dxfId="3073" priority="275">
      <formula>AND($E44 = 0 * ISNUMBER($E44))</formula>
    </cfRule>
    <cfRule type="expression" dxfId="3072" priority="276">
      <formula>AND($E44 &lt; 0, ISNUMBER($E44))</formula>
    </cfRule>
  </conditionalFormatting>
  <conditionalFormatting sqref="A44:C63 G44:I63">
    <cfRule type="expression" dxfId="3071" priority="271">
      <formula>AND($H44 &gt; 0, ISNUMBER($H44))</formula>
    </cfRule>
    <cfRule type="expression" dxfId="3070" priority="272">
      <formula>AND($H44 = 0 * ISNUMBER($H44))</formula>
    </cfRule>
    <cfRule type="expression" dxfId="3069" priority="273">
      <formula>AND($H44 &lt; 0, ISNUMBER($H44))</formula>
    </cfRule>
  </conditionalFormatting>
  <conditionalFormatting sqref="A44:C63 J44:L63">
    <cfRule type="expression" dxfId="3068" priority="268">
      <formula>AND($K44 &gt; 0, ISNUMBER($K44))</formula>
    </cfRule>
    <cfRule type="expression" dxfId="3067" priority="269">
      <formula>AND($K44 = 0 * ISNUMBER($K44))</formula>
    </cfRule>
    <cfRule type="expression" dxfId="3066" priority="270">
      <formula>AND($K44 &lt; 0, ISNUMBER($K44))</formula>
    </cfRule>
  </conditionalFormatting>
  <conditionalFormatting sqref="D42:F43 E64:F64">
    <cfRule type="expression" dxfId="3065" priority="262">
      <formula>$E$64 &gt; 0</formula>
    </cfRule>
    <cfRule type="expression" dxfId="3064" priority="263">
      <formula>$E$64 = 0</formula>
    </cfRule>
    <cfRule type="expression" dxfId="3063" priority="264">
      <formula>$E$64 &lt; 0</formula>
    </cfRule>
  </conditionalFormatting>
  <conditionalFormatting sqref="G42:I43 H64:I64">
    <cfRule type="expression" dxfId="3062" priority="259">
      <formula>$H$64 &gt; 0</formula>
    </cfRule>
    <cfRule type="expression" dxfId="3061" priority="260">
      <formula>$H$64 = 0</formula>
    </cfRule>
    <cfRule type="expression" dxfId="3060" priority="261">
      <formula>$H$64 &lt; 0</formula>
    </cfRule>
  </conditionalFormatting>
  <conditionalFormatting sqref="J42:L43 K64:L64">
    <cfRule type="expression" dxfId="3059" priority="256">
      <formula>$K$64 &gt; 0</formula>
    </cfRule>
    <cfRule type="expression" dxfId="3058" priority="257">
      <formula>$K$64 = 0</formula>
    </cfRule>
    <cfRule type="expression" dxfId="3057" priority="258">
      <formula>$K$64 &lt; 0</formula>
    </cfRule>
  </conditionalFormatting>
  <conditionalFormatting sqref="M42:O43 N64:O64">
    <cfRule type="expression" dxfId="3056" priority="253">
      <formula>$N$64 &gt; 0</formula>
    </cfRule>
    <cfRule type="expression" dxfId="3055" priority="254">
      <formula>$N$64 = 0</formula>
    </cfRule>
    <cfRule type="expression" dxfId="3054" priority="255">
      <formula>$N$64 &lt; 0</formula>
    </cfRule>
  </conditionalFormatting>
  <conditionalFormatting sqref="A71:C90 M71:O90">
    <cfRule type="expression" dxfId="3053" priority="109">
      <formula>AND($N71 &gt; 0, ISNUMBER($N71))</formula>
    </cfRule>
    <cfRule type="expression" dxfId="3052" priority="110">
      <formula>AND($N71 = 0 * ISNUMBER($N71))</formula>
    </cfRule>
    <cfRule type="expression" dxfId="3051" priority="111">
      <formula>AND($N71 &lt; 0, ISNUMBER($N71))</formula>
    </cfRule>
  </conditionalFormatting>
  <conditionalFormatting sqref="A71:F90">
    <cfRule type="expression" dxfId="3050" priority="118">
      <formula>AND($E71 &gt; 0, ISNUMBER($E71))</formula>
    </cfRule>
    <cfRule type="expression" dxfId="3049" priority="119">
      <formula>AND($E71 = 0 * ISNUMBER($E71))</formula>
    </cfRule>
    <cfRule type="expression" dxfId="3048" priority="120">
      <formula>AND($E71 &lt; 0, ISNUMBER($E71))</formula>
    </cfRule>
  </conditionalFormatting>
  <conditionalFormatting sqref="A71:C90 G71:I90">
    <cfRule type="expression" dxfId="3047" priority="115">
      <formula>AND($H71 &gt; 0, ISNUMBER($H71))</formula>
    </cfRule>
    <cfRule type="expression" dxfId="3046" priority="116">
      <formula>AND($H71 = 0 * ISNUMBER($H71))</formula>
    </cfRule>
    <cfRule type="expression" dxfId="3045" priority="117">
      <formula>AND($H71 &lt; 0, ISNUMBER($H71))</formula>
    </cfRule>
  </conditionalFormatting>
  <conditionalFormatting sqref="A71:C90 J71:L90">
    <cfRule type="expression" dxfId="3044" priority="112">
      <formula>AND($K71 &gt; 0, ISNUMBER($K71))</formula>
    </cfRule>
    <cfRule type="expression" dxfId="3043" priority="113">
      <formula>AND($K71 = 0 * ISNUMBER($K71))</formula>
    </cfRule>
    <cfRule type="expression" dxfId="3042" priority="114">
      <formula>AND($K71 &lt; 0, ISNUMBER($K71))</formula>
    </cfRule>
  </conditionalFormatting>
  <conditionalFormatting sqref="D69:F70 E91:F91">
    <cfRule type="expression" dxfId="3041" priority="106">
      <formula>$E$91 &gt; 0</formula>
    </cfRule>
    <cfRule type="expression" dxfId="3040" priority="107">
      <formula>$E$91 = 0</formula>
    </cfRule>
    <cfRule type="expression" dxfId="3039" priority="108">
      <formula>$E$91 &lt; 0</formula>
    </cfRule>
  </conditionalFormatting>
  <conditionalFormatting sqref="G69:I70 H91:I91">
    <cfRule type="expression" dxfId="3038" priority="103">
      <formula>$H$91 &gt; 0</formula>
    </cfRule>
    <cfRule type="expression" dxfId="3037" priority="104">
      <formula>$H$91 = 0</formula>
    </cfRule>
    <cfRule type="expression" dxfId="3036" priority="105">
      <formula>$H$91 &lt; 0</formula>
    </cfRule>
  </conditionalFormatting>
  <conditionalFormatting sqref="J69:L70 K91:L91">
    <cfRule type="expression" dxfId="3035" priority="100">
      <formula>$K$91 &gt; 0</formula>
    </cfRule>
    <cfRule type="expression" dxfId="3034" priority="101">
      <formula>$K$91 = 0</formula>
    </cfRule>
    <cfRule type="expression" dxfId="3033" priority="102">
      <formula>$K$91 &lt; 0</formula>
    </cfRule>
  </conditionalFormatting>
  <conditionalFormatting sqref="M69:O70 N91:O91">
    <cfRule type="expression" dxfId="3032" priority="97">
      <formula>$N$91 &gt; 0</formula>
    </cfRule>
    <cfRule type="expression" dxfId="3031" priority="98">
      <formula>$N$91 = 0</formula>
    </cfRule>
    <cfRule type="expression" dxfId="3030" priority="99">
      <formula>$N$91 &lt; 0</formula>
    </cfRule>
  </conditionalFormatting>
  <conditionalFormatting sqref="A98:C117 M98:O117">
    <cfRule type="expression" dxfId="3029" priority="85">
      <formula>AND($N98 &gt; 0, ISNUMBER($N98))</formula>
    </cfRule>
    <cfRule type="expression" dxfId="3028" priority="86">
      <formula>AND($N98 = 0 * ISNUMBER($N98))</formula>
    </cfRule>
    <cfRule type="expression" dxfId="3027" priority="87">
      <formula>AND($N98 &lt; 0, ISNUMBER($N98))</formula>
    </cfRule>
  </conditionalFormatting>
  <conditionalFormatting sqref="A98:F117">
    <cfRule type="expression" dxfId="3026" priority="94">
      <formula>AND($E98 &gt; 0, ISNUMBER($E98))</formula>
    </cfRule>
    <cfRule type="expression" dxfId="3025" priority="95">
      <formula>AND($E98 = 0 * ISNUMBER($E98))</formula>
    </cfRule>
    <cfRule type="expression" dxfId="3024" priority="96">
      <formula>AND($E98 &lt; 0, ISNUMBER($E98))</formula>
    </cfRule>
  </conditionalFormatting>
  <conditionalFormatting sqref="A98:C117 G98:I117">
    <cfRule type="expression" dxfId="3023" priority="91">
      <formula>AND($H98 &gt; 0, ISNUMBER($H98))</formula>
    </cfRule>
    <cfRule type="expression" dxfId="3022" priority="92">
      <formula>AND($H98 = 0 * ISNUMBER($H98))</formula>
    </cfRule>
    <cfRule type="expression" dxfId="3021" priority="93">
      <formula>AND($H98 &lt; 0, ISNUMBER($H98))</formula>
    </cfRule>
  </conditionalFormatting>
  <conditionalFormatting sqref="A98:C117 J98:L117">
    <cfRule type="expression" dxfId="3020" priority="88">
      <formula>AND($K98 &gt; 0, ISNUMBER($K98))</formula>
    </cfRule>
    <cfRule type="expression" dxfId="3019" priority="89">
      <formula>AND($K98 = 0 * ISNUMBER($K98))</formula>
    </cfRule>
    <cfRule type="expression" dxfId="3018" priority="90">
      <formula>AND($K98 &lt; 0, ISNUMBER($K98))</formula>
    </cfRule>
  </conditionalFormatting>
  <conditionalFormatting sqref="D96:F97 E118:F118">
    <cfRule type="expression" dxfId="3017" priority="82">
      <formula>$E$118 &gt; 0</formula>
    </cfRule>
    <cfRule type="expression" dxfId="3016" priority="83">
      <formula>$E$118 = 0</formula>
    </cfRule>
    <cfRule type="expression" dxfId="3015" priority="84">
      <formula>$E$118 &lt; 0</formula>
    </cfRule>
  </conditionalFormatting>
  <conditionalFormatting sqref="G96:I97 H118:I118">
    <cfRule type="expression" dxfId="3014" priority="79">
      <formula>$H$118 &gt; 0</formula>
    </cfRule>
    <cfRule type="expression" dxfId="3013" priority="80">
      <formula>$H$118 = 0</formula>
    </cfRule>
    <cfRule type="expression" dxfId="3012" priority="81">
      <formula>$H$118 &lt; 0</formula>
    </cfRule>
  </conditionalFormatting>
  <conditionalFormatting sqref="J96:L97 K118:L118">
    <cfRule type="expression" dxfId="3011" priority="76">
      <formula>$K$118 &gt; 0</formula>
    </cfRule>
    <cfRule type="expression" dxfId="3010" priority="77">
      <formula>$K$118 = 0</formula>
    </cfRule>
    <cfRule type="expression" dxfId="3009" priority="78">
      <formula>$K$118 &lt; 0</formula>
    </cfRule>
  </conditionalFormatting>
  <conditionalFormatting sqref="M96:O97 N118:O118">
    <cfRule type="expression" dxfId="3008" priority="73">
      <formula>$N$118 &gt; 0</formula>
    </cfRule>
    <cfRule type="expression" dxfId="3007" priority="74">
      <formula>$N$118 = 0</formula>
    </cfRule>
    <cfRule type="expression" dxfId="3006" priority="75">
      <formula>$N$118 &lt; 0</formula>
    </cfRule>
  </conditionalFormatting>
  <conditionalFormatting sqref="A125:C144 M125:O144">
    <cfRule type="expression" dxfId="3005" priority="61">
      <formula>AND($N125 &gt; 0, ISNUMBER($N125))</formula>
    </cfRule>
    <cfRule type="expression" dxfId="3004" priority="62">
      <formula>AND($N125 = 0 * ISNUMBER($N125))</formula>
    </cfRule>
    <cfRule type="expression" dxfId="3003" priority="63">
      <formula>AND($N125 &lt; 0, ISNUMBER($N125))</formula>
    </cfRule>
  </conditionalFormatting>
  <conditionalFormatting sqref="A125:F144">
    <cfRule type="expression" dxfId="3002" priority="70">
      <formula>AND($E125 &gt; 0, ISNUMBER($E125))</formula>
    </cfRule>
    <cfRule type="expression" dxfId="3001" priority="71">
      <formula>AND($E125 = 0 * ISNUMBER($E125))</formula>
    </cfRule>
    <cfRule type="expression" dxfId="3000" priority="72">
      <formula>AND($E125 &lt; 0, ISNUMBER($E125))</formula>
    </cfRule>
  </conditionalFormatting>
  <conditionalFormatting sqref="A125:C144 G125:I144">
    <cfRule type="expression" dxfId="2999" priority="67">
      <formula>AND($H125 &gt; 0, ISNUMBER($H125))</formula>
    </cfRule>
    <cfRule type="expression" dxfId="2998" priority="68">
      <formula>AND($H125 = 0 * ISNUMBER($H125))</formula>
    </cfRule>
    <cfRule type="expression" dxfId="2997" priority="69">
      <formula>AND($H125 &lt; 0, ISNUMBER($H125))</formula>
    </cfRule>
  </conditionalFormatting>
  <conditionalFormatting sqref="A125:C144 J125:L144">
    <cfRule type="expression" dxfId="2996" priority="64">
      <formula>AND($K125 &gt; 0, ISNUMBER($K125))</formula>
    </cfRule>
    <cfRule type="expression" dxfId="2995" priority="65">
      <formula>AND($K125 = 0 * ISNUMBER($K125))</formula>
    </cfRule>
    <cfRule type="expression" dxfId="2994" priority="66">
      <formula>AND($K125 &lt; 0, ISNUMBER($K125))</formula>
    </cfRule>
  </conditionalFormatting>
  <conditionalFormatting sqref="D123:F124 E145:F145">
    <cfRule type="expression" dxfId="2993" priority="58">
      <formula>$E$145 &gt; 0</formula>
    </cfRule>
    <cfRule type="expression" dxfId="2992" priority="59">
      <formula>$E$145 = 0</formula>
    </cfRule>
    <cfRule type="expression" dxfId="2991" priority="60">
      <formula>$E$145 &lt; 0</formula>
    </cfRule>
  </conditionalFormatting>
  <conditionalFormatting sqref="G123:I124 H145:I145">
    <cfRule type="expression" dxfId="2990" priority="55">
      <formula>$H$145 &gt; 0</formula>
    </cfRule>
    <cfRule type="expression" dxfId="2989" priority="56">
      <formula>$H$145 = 0</formula>
    </cfRule>
    <cfRule type="expression" dxfId="2988" priority="57">
      <formula>$H$145 &lt; 0</formula>
    </cfRule>
  </conditionalFormatting>
  <conditionalFormatting sqref="J123:L124 K145:L145">
    <cfRule type="expression" dxfId="2987" priority="52">
      <formula>$K$145 &gt; 0</formula>
    </cfRule>
    <cfRule type="expression" dxfId="2986" priority="53">
      <formula>$K$145 = 0</formula>
    </cfRule>
    <cfRule type="expression" dxfId="2985" priority="54">
      <formula>$K$145 &lt; 0</formula>
    </cfRule>
  </conditionalFormatting>
  <conditionalFormatting sqref="M123:O124 N145:O145">
    <cfRule type="expression" dxfId="2984" priority="49">
      <formula>$N$145 &gt; 0</formula>
    </cfRule>
    <cfRule type="expression" dxfId="2983" priority="50">
      <formula>$N$145 = 0</formula>
    </cfRule>
    <cfRule type="expression" dxfId="2982" priority="51">
      <formula>$N$145 &lt; 0</formula>
    </cfRule>
  </conditionalFormatting>
  <conditionalFormatting sqref="A152:C171 M152:O171">
    <cfRule type="expression" dxfId="2981" priority="37">
      <formula>AND($N152 &gt; 0, ISNUMBER($N152))</formula>
    </cfRule>
    <cfRule type="expression" dxfId="2980" priority="38">
      <formula>AND($N152 = 0 * ISNUMBER($N152))</formula>
    </cfRule>
    <cfRule type="expression" dxfId="2979" priority="39">
      <formula>AND($N152 &lt; 0, ISNUMBER($N152))</formula>
    </cfRule>
  </conditionalFormatting>
  <conditionalFormatting sqref="A152:F171">
    <cfRule type="expression" dxfId="2978" priority="46">
      <formula>AND($E152 &gt; 0, ISNUMBER($E152))</formula>
    </cfRule>
    <cfRule type="expression" dxfId="2977" priority="47">
      <formula>AND($E152 = 0 * ISNUMBER($E152))</formula>
    </cfRule>
    <cfRule type="expression" dxfId="2976" priority="48">
      <formula>AND($E152 &lt; 0, ISNUMBER($E152))</formula>
    </cfRule>
  </conditionalFormatting>
  <conditionalFormatting sqref="A152:C171 G152:I171">
    <cfRule type="expression" dxfId="2975" priority="43">
      <formula>AND($H152 &gt; 0, ISNUMBER($H152))</formula>
    </cfRule>
    <cfRule type="expression" dxfId="2974" priority="44">
      <formula>AND($H152 = 0 * ISNUMBER($H152))</formula>
    </cfRule>
    <cfRule type="expression" dxfId="2973" priority="45">
      <formula>AND($H152 &lt; 0, ISNUMBER($H152))</formula>
    </cfRule>
  </conditionalFormatting>
  <conditionalFormatting sqref="A152:C171 J152:L171">
    <cfRule type="expression" dxfId="2972" priority="40">
      <formula>AND($K152 &gt; 0, ISNUMBER($K152))</formula>
    </cfRule>
    <cfRule type="expression" dxfId="2971" priority="41">
      <formula>AND($K152 = 0 * ISNUMBER($K152))</formula>
    </cfRule>
    <cfRule type="expression" dxfId="2970" priority="42">
      <formula>AND($K152 &lt; 0, ISNUMBER($K152))</formula>
    </cfRule>
  </conditionalFormatting>
  <conditionalFormatting sqref="D150:F151 E172:F172">
    <cfRule type="expression" dxfId="2969" priority="34">
      <formula>$E$172 &gt; 0</formula>
    </cfRule>
    <cfRule type="expression" dxfId="2968" priority="35">
      <formula>$E$172 = 0</formula>
    </cfRule>
    <cfRule type="expression" dxfId="2967" priority="36">
      <formula>$E$172 &lt; 0</formula>
    </cfRule>
  </conditionalFormatting>
  <conditionalFormatting sqref="G150:I151 H172:I172">
    <cfRule type="expression" dxfId="2966" priority="31">
      <formula>$H$172 &gt; 0</formula>
    </cfRule>
    <cfRule type="expression" dxfId="2965" priority="32">
      <formula>$H$172 = 0</formula>
    </cfRule>
    <cfRule type="expression" dxfId="2964" priority="33">
      <formula>$H$172 &lt; 0</formula>
    </cfRule>
  </conditionalFormatting>
  <conditionalFormatting sqref="J150:L151 K172:L172">
    <cfRule type="expression" dxfId="2963" priority="28">
      <formula>$K$172 &gt; 0</formula>
    </cfRule>
    <cfRule type="expression" dxfId="2962" priority="29">
      <formula>$K$172 = 0</formula>
    </cfRule>
    <cfRule type="expression" dxfId="2961" priority="30">
      <formula>$K$172 &lt; 0</formula>
    </cfRule>
  </conditionalFormatting>
  <conditionalFormatting sqref="M150:O151 N172:O172">
    <cfRule type="expression" dxfId="2960" priority="25">
      <formula>$N$172 &gt; 0</formula>
    </cfRule>
    <cfRule type="expression" dxfId="2959" priority="26">
      <formula>$N$172 = 0</formula>
    </cfRule>
    <cfRule type="expression" dxfId="2958" priority="27">
      <formula>$N$172 &lt; 0</formula>
    </cfRule>
  </conditionalFormatting>
  <conditionalFormatting sqref="A179:C198 M179:O198">
    <cfRule type="expression" dxfId="2957" priority="13">
      <formula>AND($N179 &gt; 0, ISNUMBER($N179))</formula>
    </cfRule>
    <cfRule type="expression" dxfId="2956" priority="14">
      <formula>AND($N179 = 0 * ISNUMBER($N179))</formula>
    </cfRule>
    <cfRule type="expression" dxfId="2955" priority="15">
      <formula>AND($N179 &lt; 0, ISNUMBER($N179))</formula>
    </cfRule>
  </conditionalFormatting>
  <conditionalFormatting sqref="A179:F198">
    <cfRule type="expression" dxfId="2954" priority="22">
      <formula>AND($E179 &gt; 0, ISNUMBER($E179))</formula>
    </cfRule>
    <cfRule type="expression" dxfId="2953" priority="23">
      <formula>AND($E179 = 0 * ISNUMBER($E179))</formula>
    </cfRule>
    <cfRule type="expression" dxfId="2952" priority="24">
      <formula>AND($E179 &lt; 0, ISNUMBER($E179))</formula>
    </cfRule>
  </conditionalFormatting>
  <conditionalFormatting sqref="A179:C198 G179:I198">
    <cfRule type="expression" dxfId="2951" priority="19">
      <formula>AND($H179 &gt; 0, ISNUMBER($H179))</formula>
    </cfRule>
    <cfRule type="expression" dxfId="2950" priority="20">
      <formula>AND($H179 = 0 * ISNUMBER($H179))</formula>
    </cfRule>
    <cfRule type="expression" dxfId="2949" priority="21">
      <formula>AND($H179 &lt; 0, ISNUMBER($H179))</formula>
    </cfRule>
  </conditionalFormatting>
  <conditionalFormatting sqref="A179:C198 J179:L198">
    <cfRule type="expression" dxfId="2948" priority="16">
      <formula>AND($K179 &gt; 0, ISNUMBER($K179))</formula>
    </cfRule>
    <cfRule type="expression" dxfId="2947" priority="17">
      <formula>AND($K179 = 0 * ISNUMBER($K179))</formula>
    </cfRule>
    <cfRule type="expression" dxfId="2946" priority="18">
      <formula>AND($K179 &lt; 0, ISNUMBER($K179))</formula>
    </cfRule>
  </conditionalFormatting>
  <conditionalFormatting sqref="D177:F178 E199:F199">
    <cfRule type="expression" dxfId="2945" priority="10">
      <formula>$E$199 &gt; 0</formula>
    </cfRule>
    <cfRule type="expression" dxfId="2944" priority="11">
      <formula>$E$199 = 0</formula>
    </cfRule>
    <cfRule type="expression" dxfId="2943" priority="12">
      <formula>$E$199 &lt; 0</formula>
    </cfRule>
  </conditionalFormatting>
  <conditionalFormatting sqref="G177:I178 H199:I199">
    <cfRule type="expression" dxfId="2942" priority="7">
      <formula>$H$199 &gt; 0</formula>
    </cfRule>
    <cfRule type="expression" dxfId="2941" priority="8">
      <formula>$H$199 = 0</formula>
    </cfRule>
    <cfRule type="expression" dxfId="2940" priority="9">
      <formula>$H$199 &lt; 0</formula>
    </cfRule>
  </conditionalFormatting>
  <conditionalFormatting sqref="J177:L178 K199:L199">
    <cfRule type="expression" dxfId="2939" priority="4">
      <formula>$K$199 &gt; 0</formula>
    </cfRule>
    <cfRule type="expression" dxfId="2938" priority="5">
      <formula>$K$199 = 0</formula>
    </cfRule>
    <cfRule type="expression" dxfId="2937" priority="6">
      <formula>$K$199 &lt; 0</formula>
    </cfRule>
  </conditionalFormatting>
  <conditionalFormatting sqref="M177:O178 N199:O199">
    <cfRule type="expression" dxfId="2936" priority="1">
      <formula>$N$199 &gt; 0</formula>
    </cfRule>
    <cfRule type="expression" dxfId="2935" priority="2">
      <formula>$N$199 = 0</formula>
    </cfRule>
    <cfRule type="expression" dxfId="29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101</v>
      </c>
      <c r="B2" s="11" t="s">
        <v>102</v>
      </c>
      <c r="C2" s="91">
        <v>129600</v>
      </c>
      <c r="D2" s="88">
        <v>0.1363437089</v>
      </c>
      <c r="E2" s="89">
        <v>18621953.768779721</v>
      </c>
      <c r="F2" s="35"/>
      <c r="G2" s="54"/>
      <c r="H2" s="35"/>
      <c r="I2" s="35"/>
    </row>
    <row r="3" spans="1:18" ht="17.25" thickBot="1">
      <c r="A3" s="40" t="s">
        <v>185</v>
      </c>
      <c r="B3" s="11" t="s">
        <v>186</v>
      </c>
      <c r="C3" s="91">
        <v>23.4</v>
      </c>
      <c r="D3" s="88">
        <v>0.1090047393</v>
      </c>
      <c r="E3" s="89">
        <v>5582370232.6251097</v>
      </c>
      <c r="F3" s="35"/>
      <c r="G3" s="302" t="s">
        <v>290</v>
      </c>
      <c r="H3" s="323" t="s">
        <v>404</v>
      </c>
      <c r="I3" s="323"/>
      <c r="K3" s="241" t="s">
        <v>34</v>
      </c>
      <c r="L3" s="242"/>
      <c r="M3" s="242"/>
      <c r="N3" s="243"/>
      <c r="O3" s="241" t="s">
        <v>292</v>
      </c>
      <c r="P3" s="242"/>
      <c r="Q3" s="242"/>
      <c r="R3" s="243"/>
    </row>
    <row r="4" spans="1:18" ht="17.25" thickBot="1">
      <c r="A4" s="40" t="s">
        <v>295</v>
      </c>
      <c r="B4" s="11" t="s">
        <v>296</v>
      </c>
      <c r="C4" s="91">
        <v>662</v>
      </c>
      <c r="D4" s="88">
        <v>7.4675324700000004E-2</v>
      </c>
      <c r="E4" s="89">
        <v>8355690765.7682304</v>
      </c>
      <c r="F4" s="35"/>
      <c r="G4" s="303"/>
      <c r="H4" s="324"/>
      <c r="I4" s="324"/>
      <c r="K4" s="306" t="s">
        <v>55</v>
      </c>
      <c r="L4" s="327">
        <f ca="1">NOW()</f>
        <v>44331.066325</v>
      </c>
      <c r="M4" s="328"/>
      <c r="N4" s="329"/>
      <c r="O4" s="318" t="s">
        <v>55</v>
      </c>
      <c r="P4" s="327">
        <f ca="1">NOW()</f>
        <v>44331.066325</v>
      </c>
      <c r="Q4" s="328"/>
      <c r="R4" s="329"/>
    </row>
    <row r="5" spans="1:18" ht="17.25" thickBot="1">
      <c r="A5" s="40" t="s">
        <v>107</v>
      </c>
      <c r="B5" s="11" t="s">
        <v>108</v>
      </c>
      <c r="C5" s="91">
        <v>55130</v>
      </c>
      <c r="D5" s="88">
        <v>6.4285714300000005E-2</v>
      </c>
      <c r="E5" s="89">
        <v>2160799.8446104801</v>
      </c>
      <c r="F5" s="35"/>
      <c r="K5" s="303"/>
      <c r="L5" s="36" t="s">
        <v>58</v>
      </c>
      <c r="M5" s="69" t="s">
        <v>59</v>
      </c>
      <c r="N5" s="65" t="s">
        <v>294</v>
      </c>
      <c r="O5" s="303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125</v>
      </c>
      <c r="B6" s="11" t="s">
        <v>126</v>
      </c>
      <c r="C6" s="91">
        <v>52</v>
      </c>
      <c r="D6" s="88">
        <v>5.9063136500000002E-2</v>
      </c>
      <c r="E6" s="89">
        <v>365576675.54781848</v>
      </c>
      <c r="F6" s="35"/>
      <c r="G6" s="241" t="s">
        <v>52</v>
      </c>
      <c r="H6" s="242"/>
      <c r="I6" s="243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144</v>
      </c>
      <c r="M6" s="72">
        <f t="shared" ref="M6:M25" ca="1" si="1">_xlfn.IFNA(VLOOKUP(K6, $B$2:$E$200, 3, FALSE), "")</f>
        <v>6.9930069999999999E-3</v>
      </c>
      <c r="N6" s="81">
        <f ca="1">_xlfn.IFNA(VLOOKUP(K6, $B$2:$E$200, 4, FALSE), "")</f>
        <v>124701183.24000888</v>
      </c>
      <c r="O6" s="46" t="str">
        <f>INDEX($A$2:$D$200, MATCH(LARGE($D$2:$D$200, 1), $D$2:$D$200, 0), 2)</f>
        <v>이더리움클래식</v>
      </c>
      <c r="P6" s="38">
        <f t="shared" ref="P6:P25" si="2">_xlfn.IFNA(VLOOKUP(O6, $B$2:$D$200, 2, FALSE), "")</f>
        <v>129600</v>
      </c>
      <c r="Q6" s="72">
        <f t="shared" ref="Q6:Q25" si="3">_xlfn.IFNA(VLOOKUP(O6, $B$2:$D$200, 3, FALSE), "")</f>
        <v>0.1363437089</v>
      </c>
      <c r="R6" s="81">
        <f>_xlfn.IFNA(VLOOKUP(O6, $B$2:$E$200, 4, FALSE), "")</f>
        <v>18621953.768779721</v>
      </c>
    </row>
    <row r="7" spans="1:18">
      <c r="A7" s="40" t="s">
        <v>137</v>
      </c>
      <c r="B7" s="11" t="s">
        <v>138</v>
      </c>
      <c r="C7" s="91">
        <v>53360</v>
      </c>
      <c r="D7" s="88">
        <v>5.4962435699999999E-2</v>
      </c>
      <c r="E7" s="89">
        <v>2161911.7079643901</v>
      </c>
      <c r="F7" s="35"/>
      <c r="G7" s="250" t="s">
        <v>36</v>
      </c>
      <c r="H7" s="251"/>
      <c r="I7" s="252"/>
      <c r="K7" s="56" t="str">
        <f ca="1">IFERROR(OFFSET(INDIRECT($H$3 &amp; "!A17"), 1, 0), "")</f>
        <v>왁스</v>
      </c>
      <c r="L7" s="39">
        <f t="shared" ca="1" si="0"/>
        <v>241</v>
      </c>
      <c r="M7" s="73">
        <f t="shared" ca="1" si="1"/>
        <v>2.5531914900000001E-2</v>
      </c>
      <c r="N7" s="82">
        <f t="shared" ref="N7:N25" ca="1" si="4">_xlfn.IFNA(VLOOKUP(K7, $B$2:$E$200, 4, FALSE), "")</f>
        <v>10406770.57768362</v>
      </c>
      <c r="O7" s="47" t="str">
        <f>INDEX($A$2:$D$200, MATCH(LARGE($D$2:$D$200, 2), $D$2:$D$200, 0), 2)</f>
        <v>에브리피디아</v>
      </c>
      <c r="P7" s="39">
        <f t="shared" si="2"/>
        <v>23.4</v>
      </c>
      <c r="Q7" s="73">
        <f t="shared" si="3"/>
        <v>0.1090047393</v>
      </c>
      <c r="R7" s="82">
        <f t="shared" ref="R7:R25" si="5">_xlfn.IFNA(VLOOKUP(O7, $B$2:$E$200, 4, FALSE), "")</f>
        <v>5582370232.6251097</v>
      </c>
    </row>
    <row r="8" spans="1:18" ht="17.25" thickBot="1">
      <c r="A8" s="40" t="s">
        <v>95</v>
      </c>
      <c r="B8" s="11" t="s">
        <v>96</v>
      </c>
      <c r="C8" s="91">
        <v>4977000</v>
      </c>
      <c r="D8" s="88">
        <v>5.4225799599999999E-2</v>
      </c>
      <c r="E8" s="89">
        <v>173427.81567677</v>
      </c>
      <c r="F8" s="35"/>
      <c r="G8" s="256"/>
      <c r="H8" s="257"/>
      <c r="I8" s="258"/>
      <c r="K8" s="56" t="str">
        <f ca="1">IFERROR(OFFSET(INDIRECT($H$3 &amp; "!A17"), 2, 0), "")</f>
        <v>크립토닷컴체인</v>
      </c>
      <c r="L8" s="39">
        <f t="shared" ca="1" si="0"/>
        <v>204</v>
      </c>
      <c r="M8" s="73">
        <f t="shared" ca="1" si="1"/>
        <v>-9.7087379000000001E-3</v>
      </c>
      <c r="N8" s="82">
        <f t="shared" ca="1" si="4"/>
        <v>84749346.902143568</v>
      </c>
      <c r="O8" s="47" t="str">
        <f>INDEX($A$2:$D$200, MATCH(LARGE($D$2:$D$200, 3), $D$2:$D$200, 0), 2)</f>
        <v>도지코인</v>
      </c>
      <c r="P8" s="39">
        <f t="shared" si="2"/>
        <v>662</v>
      </c>
      <c r="Q8" s="73">
        <f t="shared" si="3"/>
        <v>7.4675324700000004E-2</v>
      </c>
      <c r="R8" s="82">
        <f t="shared" si="5"/>
        <v>8355690765.7682304</v>
      </c>
    </row>
    <row r="9" spans="1:18" ht="17.25" thickBot="1">
      <c r="A9" s="40" t="s">
        <v>135</v>
      </c>
      <c r="B9" s="11" t="s">
        <v>136</v>
      </c>
      <c r="C9" s="91">
        <v>243</v>
      </c>
      <c r="D9" s="88">
        <v>5.19480519E-2</v>
      </c>
      <c r="E9" s="89">
        <v>22037183.183284249</v>
      </c>
      <c r="F9" s="35"/>
      <c r="G9" s="9" t="s">
        <v>38</v>
      </c>
      <c r="H9" s="242" t="s">
        <v>37</v>
      </c>
      <c r="I9" s="243"/>
      <c r="K9" s="56" t="str">
        <f ca="1">IFERROR(OFFSET(INDIRECT($H$3 &amp; "!A17"), 3, 0), "")</f>
        <v>룸네트워크</v>
      </c>
      <c r="L9" s="39">
        <f t="shared" ca="1" si="0"/>
        <v>149</v>
      </c>
      <c r="M9" s="73">
        <f t="shared" ca="1" si="1"/>
        <v>6.7567568000000003E-3</v>
      </c>
      <c r="N9" s="82">
        <f t="shared" ca="1" si="4"/>
        <v>11724992.88601849</v>
      </c>
      <c r="O9" s="47" t="str">
        <f>INDEX($A$2:$D$200, MATCH(LARGE($D$2:$D$200, 4), $D$2:$D$200, 0), 2)</f>
        <v>비트코인캐시에이비씨</v>
      </c>
      <c r="P9" s="39">
        <f t="shared" si="2"/>
        <v>55130</v>
      </c>
      <c r="Q9" s="73">
        <f t="shared" si="3"/>
        <v>6.4285714300000005E-2</v>
      </c>
      <c r="R9" s="82">
        <f t="shared" si="5"/>
        <v>2160799.8446104801</v>
      </c>
    </row>
    <row r="10" spans="1:18">
      <c r="A10" s="40" t="s">
        <v>239</v>
      </c>
      <c r="B10" s="11" t="s">
        <v>240</v>
      </c>
      <c r="C10" s="91">
        <v>159</v>
      </c>
      <c r="D10" s="88">
        <v>4.6052631599999998E-2</v>
      </c>
      <c r="E10" s="89">
        <v>339044619.95868152</v>
      </c>
      <c r="F10" s="35"/>
      <c r="G10" s="325">
        <f>_xlfn.IFNA(VLOOKUP(G7, $B$2:$D$200, 3, FALSE), "-")</f>
        <v>-1.6680144000000001E-2</v>
      </c>
      <c r="H10" s="319">
        <f>_xlfn.IFNA(VLOOKUP(G7, $B$2:$D$200, 2, FALSE), "-")</f>
        <v>62017000</v>
      </c>
      <c r="I10" s="320"/>
      <c r="K10" s="58" t="str">
        <f ca="1">IFERROR(OFFSET(INDIRECT($H$3 &amp; "!A17"), 4, 0), "")</f>
        <v>휴먼스케이프</v>
      </c>
      <c r="L10" s="44">
        <f t="shared" ca="1" si="0"/>
        <v>146</v>
      </c>
      <c r="M10" s="74">
        <f t="shared" ca="1" si="1"/>
        <v>-6.8027210999999999E-3</v>
      </c>
      <c r="N10" s="86">
        <f t="shared" ca="1" si="4"/>
        <v>76121850.478806034</v>
      </c>
      <c r="O10" s="47" t="str">
        <f>INDEX($A$2:$D$200, MATCH(LARGE($D$2:$D$200, 5), $D$2:$D$200, 0), 2)</f>
        <v>스톰엑스</v>
      </c>
      <c r="P10" s="39">
        <f t="shared" si="2"/>
        <v>52</v>
      </c>
      <c r="Q10" s="73">
        <f t="shared" si="3"/>
        <v>5.9063136500000002E-2</v>
      </c>
      <c r="R10" s="86">
        <f t="shared" si="5"/>
        <v>365576675.54781848</v>
      </c>
    </row>
    <row r="11" spans="1:18" ht="17.25" thickBot="1">
      <c r="A11" s="40" t="s">
        <v>93</v>
      </c>
      <c r="B11" s="11" t="s">
        <v>94</v>
      </c>
      <c r="C11" s="91">
        <v>124950</v>
      </c>
      <c r="D11" s="88">
        <v>4.4732441499999998E-2</v>
      </c>
      <c r="E11" s="89">
        <v>1054965.3293991601</v>
      </c>
      <c r="F11" s="35"/>
      <c r="G11" s="326"/>
      <c r="H11" s="321"/>
      <c r="I11" s="322"/>
      <c r="K11" s="56" t="str">
        <f ca="1">IFERROR(OFFSET(INDIRECT($H$3 &amp; "!A17"), 5, 0), "")</f>
        <v>이그니스</v>
      </c>
      <c r="L11" s="39">
        <f t="shared" ca="1" si="0"/>
        <v>149</v>
      </c>
      <c r="M11" s="73">
        <f t="shared" ca="1" si="1"/>
        <v>-6.6666666999999997E-3</v>
      </c>
      <c r="N11" s="95">
        <f t="shared" ca="1" si="4"/>
        <v>21117797.253901899</v>
      </c>
      <c r="O11" s="49" t="str">
        <f>INDEX($A$2:$D$200, MATCH(LARGE($D$2:$D$200, 6), $D$2:$D$200, 0), 2)</f>
        <v>폴카닷</v>
      </c>
      <c r="P11" s="45">
        <f t="shared" si="2"/>
        <v>53360</v>
      </c>
      <c r="Q11" s="76">
        <f t="shared" si="3"/>
        <v>5.4962435699999999E-2</v>
      </c>
      <c r="R11" s="95">
        <f t="shared" si="5"/>
        <v>2161911.7079643901</v>
      </c>
    </row>
    <row r="12" spans="1:18" ht="17.25" thickBot="1">
      <c r="A12" s="40" t="s">
        <v>259</v>
      </c>
      <c r="B12" s="11" t="s">
        <v>260</v>
      </c>
      <c r="C12" s="91">
        <v>123</v>
      </c>
      <c r="D12" s="88">
        <v>4.23728814E-2</v>
      </c>
      <c r="E12" s="89">
        <v>1568850515.7169173</v>
      </c>
      <c r="F12" s="35"/>
      <c r="K12" s="56" t="str">
        <f ca="1">IFERROR(OFFSET(INDIRECT($H$3 &amp; "!A17"), 6, 0), "")</f>
        <v>모스코인</v>
      </c>
      <c r="L12" s="39">
        <f t="shared" ca="1" si="0"/>
        <v>159</v>
      </c>
      <c r="M12" s="73">
        <f t="shared" ca="1" si="1"/>
        <v>4.6052631599999998E-2</v>
      </c>
      <c r="N12" s="82">
        <f t="shared" ca="1" si="4"/>
        <v>339044619.95868152</v>
      </c>
      <c r="O12" s="47" t="str">
        <f>INDEX($A$2:$D$200, MATCH(LARGE($D$2:$D$200, 7), $D$2:$D$200, 0), 2)</f>
        <v>이더리움</v>
      </c>
      <c r="P12" s="39">
        <f t="shared" si="2"/>
        <v>4977000</v>
      </c>
      <c r="Q12" s="73">
        <f t="shared" si="3"/>
        <v>5.4225799599999999E-2</v>
      </c>
      <c r="R12" s="82">
        <f t="shared" si="5"/>
        <v>173427.81567677</v>
      </c>
    </row>
    <row r="13" spans="1:18" ht="17.25" thickBot="1">
      <c r="A13" s="40" t="s">
        <v>145</v>
      </c>
      <c r="B13" s="11" t="s">
        <v>146</v>
      </c>
      <c r="C13" s="91">
        <v>16280</v>
      </c>
      <c r="D13" s="88">
        <v>3.7603569199999999E-2</v>
      </c>
      <c r="E13" s="89">
        <v>2533770.5076982402</v>
      </c>
      <c r="F13" s="35"/>
      <c r="G13" s="241" t="s">
        <v>70</v>
      </c>
      <c r="H13" s="242"/>
      <c r="I13" s="243"/>
      <c r="K13" s="56" t="str">
        <f ca="1">IFERROR(OFFSET(INDIRECT($H$3 &amp; "!A17"), 7, 0), "")</f>
        <v>헌트</v>
      </c>
      <c r="L13" s="39">
        <f t="shared" ca="1" si="0"/>
        <v>322</v>
      </c>
      <c r="M13" s="73">
        <f t="shared" ca="1" si="1"/>
        <v>-6.1728395E-3</v>
      </c>
      <c r="N13" s="82">
        <f t="shared" ca="1" si="4"/>
        <v>11457520.618681069</v>
      </c>
      <c r="O13" s="47" t="str">
        <f>INDEX($A$2:$D$200, MATCH(LARGE($D$2:$D$200, 8), $D$2:$D$200, 0), 2)</f>
        <v>질리카</v>
      </c>
      <c r="P13" s="39">
        <f t="shared" si="2"/>
        <v>243</v>
      </c>
      <c r="Q13" s="73">
        <f t="shared" si="3"/>
        <v>5.19480519E-2</v>
      </c>
      <c r="R13" s="82">
        <f t="shared" si="5"/>
        <v>22037183.183284249</v>
      </c>
    </row>
    <row r="14" spans="1:18">
      <c r="A14" s="40" t="s">
        <v>283</v>
      </c>
      <c r="B14" s="11" t="s">
        <v>284</v>
      </c>
      <c r="C14" s="91">
        <v>422</v>
      </c>
      <c r="D14" s="88">
        <v>3.6855036899999999E-2</v>
      </c>
      <c r="E14" s="89">
        <v>16383886.06476219</v>
      </c>
      <c r="F14" s="35"/>
      <c r="G14" s="250" t="s">
        <v>36</v>
      </c>
      <c r="H14" s="251"/>
      <c r="I14" s="252"/>
      <c r="K14" s="56" t="str">
        <f ca="1">IFERROR(OFFSET(INDIRECT($H$3 &amp; "!A17"), 8, 0), "")</f>
        <v>아르고</v>
      </c>
      <c r="L14" s="39">
        <f t="shared" ca="1" si="0"/>
        <v>305</v>
      </c>
      <c r="M14" s="73">
        <f t="shared" ca="1" si="1"/>
        <v>-6.5146580000000004E-3</v>
      </c>
      <c r="N14" s="82">
        <f t="shared" ca="1" si="4"/>
        <v>8650807.2852889095</v>
      </c>
      <c r="O14" s="47" t="str">
        <f>INDEX($A$2:$D$200, MATCH(LARGE($D$2:$D$200, 9), $D$2:$D$200, 0), 2)</f>
        <v>모스코인</v>
      </c>
      <c r="P14" s="39">
        <f t="shared" si="2"/>
        <v>159</v>
      </c>
      <c r="Q14" s="73">
        <f t="shared" si="3"/>
        <v>4.6052631599999998E-2</v>
      </c>
      <c r="R14" s="82">
        <f t="shared" si="5"/>
        <v>339044619.95868152</v>
      </c>
    </row>
    <row r="15" spans="1:18" ht="17.25" thickBot="1">
      <c r="A15" s="40" t="s">
        <v>75</v>
      </c>
      <c r="B15" s="11" t="s">
        <v>76</v>
      </c>
      <c r="C15" s="91">
        <v>56700</v>
      </c>
      <c r="D15" s="88">
        <v>3.2975040999999997E-2</v>
      </c>
      <c r="E15" s="89">
        <v>749906.42331266997</v>
      </c>
      <c r="F15" s="35"/>
      <c r="G15" s="256"/>
      <c r="H15" s="257"/>
      <c r="I15" s="258"/>
      <c r="K15" s="57" t="str">
        <f ca="1">IFERROR(OFFSET(INDIRECT($H$3 &amp; "!A17"), 9, 0), "")</f>
        <v>센티넬프로토콜</v>
      </c>
      <c r="L15" s="37">
        <f t="shared" ca="1" si="0"/>
        <v>150</v>
      </c>
      <c r="M15" s="75">
        <f t="shared" ca="1" si="1"/>
        <v>1.3513513499999999E-2</v>
      </c>
      <c r="N15" s="83">
        <f t="shared" ca="1" si="4"/>
        <v>74702205.03641288</v>
      </c>
      <c r="O15" s="48" t="str">
        <f>INDEX($A$2:$D$200, MATCH(LARGE($D$2:$D$200, 10), $D$2:$D$200, 0), 2)</f>
        <v>비트코인골드</v>
      </c>
      <c r="P15" s="37">
        <f t="shared" si="2"/>
        <v>124950</v>
      </c>
      <c r="Q15" s="75">
        <f t="shared" si="3"/>
        <v>4.4732441499999998E-2</v>
      </c>
      <c r="R15" s="83">
        <f t="shared" si="5"/>
        <v>1054965.3293991601</v>
      </c>
    </row>
    <row r="16" spans="1:18" ht="17.25" thickBot="1">
      <c r="A16" s="40" t="s">
        <v>143</v>
      </c>
      <c r="B16" s="11" t="s">
        <v>144</v>
      </c>
      <c r="C16" s="91">
        <v>12630</v>
      </c>
      <c r="D16" s="88">
        <v>3.1020408199999999E-2</v>
      </c>
      <c r="E16" s="89">
        <v>3041995.94564771</v>
      </c>
      <c r="F16" s="35"/>
      <c r="G16" s="9" t="s">
        <v>38</v>
      </c>
      <c r="H16" s="242" t="s">
        <v>37</v>
      </c>
      <c r="I16" s="243"/>
      <c r="K16" s="55" t="str">
        <f ca="1">IFERROR(OFFSET(INDIRECT($H$3 &amp; "!A17"), 10, 0), "")</f>
        <v>보라</v>
      </c>
      <c r="L16" s="38">
        <f t="shared" ca="1" si="0"/>
        <v>252</v>
      </c>
      <c r="M16" s="72">
        <f t="shared" ca="1" si="1"/>
        <v>2.4390243900000001E-2</v>
      </c>
      <c r="N16" s="81">
        <f t="shared" ca="1" si="4"/>
        <v>103576700.87241954</v>
      </c>
      <c r="O16" s="46" t="str">
        <f>INDEX($A$2:$D$200, MATCH(LARGE($D$2:$D$200, 11), $D$2:$D$200, 0), 2)</f>
        <v>썸씽</v>
      </c>
      <c r="P16" s="38">
        <f t="shared" si="2"/>
        <v>123</v>
      </c>
      <c r="Q16" s="72">
        <f t="shared" si="3"/>
        <v>4.23728814E-2</v>
      </c>
      <c r="R16" s="81">
        <f t="shared" si="5"/>
        <v>1568850515.7169173</v>
      </c>
    </row>
    <row r="17" spans="1:18">
      <c r="A17" s="40" t="s">
        <v>151</v>
      </c>
      <c r="B17" s="11" t="s">
        <v>152</v>
      </c>
      <c r="C17" s="91">
        <v>39.9</v>
      </c>
      <c r="D17" s="88">
        <v>2.8350515499999999E-2</v>
      </c>
      <c r="E17" s="89">
        <v>399998890.475932</v>
      </c>
      <c r="F17" s="35"/>
      <c r="G17" s="325">
        <f>_xlfn.IFNA(VLOOKUP(G14, $B$2:$D$200, 3, FALSE), "-")</f>
        <v>-1.6680144000000001E-2</v>
      </c>
      <c r="H17" s="319">
        <f>_xlfn.IFNA(VLOOKUP(G14, $B$2:$D$200, 2, FALSE), "-")</f>
        <v>62017000</v>
      </c>
      <c r="I17" s="320"/>
      <c r="K17" s="56" t="str">
        <f ca="1">IFERROR(OFFSET(INDIRECT($H$3 &amp; "!A17"), 11, 0), "")</f>
        <v>디카르고</v>
      </c>
      <c r="L17" s="39">
        <f t="shared" ca="1" si="0"/>
        <v>230</v>
      </c>
      <c r="M17" s="73">
        <f t="shared" ca="1" si="1"/>
        <v>-1.28755365E-2</v>
      </c>
      <c r="N17" s="82">
        <f t="shared" ca="1" si="4"/>
        <v>58014855.504743852</v>
      </c>
      <c r="O17" s="47" t="str">
        <f>INDEX($A$2:$D$200, MATCH(LARGE($D$2:$D$200, 12), $D$2:$D$200, 0), 2)</f>
        <v>가스</v>
      </c>
      <c r="P17" s="39">
        <f t="shared" si="2"/>
        <v>16280</v>
      </c>
      <c r="Q17" s="73">
        <f t="shared" si="3"/>
        <v>3.7603569199999999E-2</v>
      </c>
      <c r="R17" s="82">
        <f t="shared" si="5"/>
        <v>2533770.5076982402</v>
      </c>
    </row>
    <row r="18" spans="1:18" ht="17.25" thickBot="1">
      <c r="A18" s="40" t="s">
        <v>115</v>
      </c>
      <c r="B18" s="11" t="s">
        <v>116</v>
      </c>
      <c r="C18" s="91">
        <v>552</v>
      </c>
      <c r="D18" s="88">
        <v>2.7932960900000001E-2</v>
      </c>
      <c r="E18" s="89">
        <v>11270800.364539869</v>
      </c>
      <c r="F18" s="35"/>
      <c r="G18" s="326"/>
      <c r="H18" s="321"/>
      <c r="I18" s="322"/>
      <c r="K18" s="56" t="str">
        <f ca="1">IFERROR(OFFSET(INDIRECT($H$3 &amp; "!A17"), 12, 0), "")</f>
        <v>썸씽</v>
      </c>
      <c r="L18" s="39">
        <f t="shared" ca="1" si="0"/>
        <v>123</v>
      </c>
      <c r="M18" s="73">
        <f t="shared" ca="1" si="1"/>
        <v>4.23728814E-2</v>
      </c>
      <c r="N18" s="82">
        <f t="shared" ca="1" si="4"/>
        <v>1568850515.7169173</v>
      </c>
      <c r="O18" s="47" t="str">
        <f>INDEX($A$2:$D$200, MATCH(LARGE($D$2:$D$200, 13), $D$2:$D$200, 0), 2)</f>
        <v>아더</v>
      </c>
      <c r="P18" s="39">
        <f t="shared" si="2"/>
        <v>422</v>
      </c>
      <c r="Q18" s="73">
        <f t="shared" si="3"/>
        <v>3.6855036899999999E-2</v>
      </c>
      <c r="R18" s="82">
        <f t="shared" si="5"/>
        <v>16383886.06476219</v>
      </c>
    </row>
    <row r="19" spans="1:18" ht="17.25" thickBot="1">
      <c r="A19" s="40" t="s">
        <v>215</v>
      </c>
      <c r="B19" s="11" t="s">
        <v>216</v>
      </c>
      <c r="C19" s="91">
        <v>444</v>
      </c>
      <c r="D19" s="88">
        <v>2.77777778E-2</v>
      </c>
      <c r="E19" s="89">
        <v>12345622.468190391</v>
      </c>
      <c r="F19" s="35"/>
      <c r="K19" s="56" t="str">
        <f ca="1">IFERROR(OFFSET(INDIRECT($H$3 &amp; "!A17"), 13, 0), "")</f>
        <v>픽셀</v>
      </c>
      <c r="L19" s="39">
        <f t="shared" ca="1" si="0"/>
        <v>104</v>
      </c>
      <c r="M19" s="73">
        <f t="shared" ca="1" si="1"/>
        <v>-9.5238094999999991E-3</v>
      </c>
      <c r="N19" s="82">
        <f t="shared" ca="1" si="4"/>
        <v>118470208.94830199</v>
      </c>
      <c r="O19" s="47" t="str">
        <f>INDEX($A$2:$D$200, MATCH(LARGE($D$2:$D$200, 14), $D$2:$D$200, 0), 2)</f>
        <v>체인링크</v>
      </c>
      <c r="P19" s="39">
        <f t="shared" si="2"/>
        <v>56700</v>
      </c>
      <c r="Q19" s="73">
        <f t="shared" si="3"/>
        <v>3.2975040999999997E-2</v>
      </c>
      <c r="R19" s="82">
        <f t="shared" si="5"/>
        <v>749906.42331266997</v>
      </c>
    </row>
    <row r="20" spans="1:18" ht="17.25" thickBot="1">
      <c r="A20" s="40" t="s">
        <v>105</v>
      </c>
      <c r="B20" s="11" t="s">
        <v>106</v>
      </c>
      <c r="C20" s="91">
        <v>2105</v>
      </c>
      <c r="D20" s="88">
        <v>2.68292683E-2</v>
      </c>
      <c r="E20" s="89">
        <v>2177676.1729120002</v>
      </c>
      <c r="F20" s="35"/>
      <c r="G20" s="241" t="s">
        <v>286</v>
      </c>
      <c r="H20" s="242"/>
      <c r="I20" s="243"/>
      <c r="K20" s="58" t="str">
        <f ca="1">IFERROR(OFFSET(INDIRECT($H$3 &amp; "!A17"), 14, 0), "")</f>
        <v>메타디움</v>
      </c>
      <c r="L20" s="44">
        <f t="shared" ca="1" si="0"/>
        <v>166</v>
      </c>
      <c r="M20" s="74">
        <f t="shared" ca="1" si="1"/>
        <v>-2.35294118E-2</v>
      </c>
      <c r="N20" s="86">
        <f t="shared" ca="1" si="4"/>
        <v>81408120.424950466</v>
      </c>
      <c r="O20" s="47" t="str">
        <f>INDEX($A$2:$D$200, MATCH(LARGE($D$2:$D$200, 15), $D$2:$D$200, 0), 2)</f>
        <v>오미세고</v>
      </c>
      <c r="P20" s="39">
        <f t="shared" si="2"/>
        <v>12630</v>
      </c>
      <c r="Q20" s="73">
        <f t="shared" si="3"/>
        <v>3.1020408199999999E-2</v>
      </c>
      <c r="R20" s="86">
        <f t="shared" si="5"/>
        <v>3041995.94564771</v>
      </c>
    </row>
    <row r="21" spans="1:18">
      <c r="A21" s="40" t="s">
        <v>261</v>
      </c>
      <c r="B21" s="11" t="s">
        <v>262</v>
      </c>
      <c r="C21" s="91">
        <v>1150</v>
      </c>
      <c r="D21" s="88">
        <v>2.6785714299999999E-2</v>
      </c>
      <c r="E21" s="89">
        <v>13625158.416340159</v>
      </c>
      <c r="F21" s="35"/>
      <c r="G21" s="250" t="s">
        <v>36</v>
      </c>
      <c r="H21" s="251"/>
      <c r="I21" s="252"/>
      <c r="K21" s="56" t="str">
        <f ca="1">IFERROR(OFFSET(INDIRECT($H$3 &amp; "!A17"), 15, 0), "")</f>
        <v>솔브케어</v>
      </c>
      <c r="L21" s="39">
        <f t="shared" ca="1" si="0"/>
        <v>242</v>
      </c>
      <c r="M21" s="73">
        <f t="shared" ca="1" si="1"/>
        <v>-4.1152263000000001E-3</v>
      </c>
      <c r="N21" s="95">
        <f t="shared" ca="1" si="4"/>
        <v>9360769.6778150704</v>
      </c>
      <c r="O21" s="49" t="str">
        <f>INDEX($A$2:$D$200, MATCH(LARGE($D$2:$D$200, 16), $D$2:$D$200, 0), 2)</f>
        <v>시아코인</v>
      </c>
      <c r="P21" s="45">
        <f t="shared" si="2"/>
        <v>39.9</v>
      </c>
      <c r="Q21" s="76">
        <f t="shared" si="3"/>
        <v>2.8350515499999999E-2</v>
      </c>
      <c r="R21" s="95">
        <f t="shared" si="5"/>
        <v>399998890.475932</v>
      </c>
    </row>
    <row r="22" spans="1:18" ht="17.25" thickBot="1">
      <c r="A22" s="40" t="s">
        <v>117</v>
      </c>
      <c r="B22" s="11" t="s">
        <v>118</v>
      </c>
      <c r="C22" s="91">
        <v>6955</v>
      </c>
      <c r="D22" s="88">
        <v>2.65682657E-2</v>
      </c>
      <c r="E22" s="89">
        <v>427742.50001785997</v>
      </c>
      <c r="F22" s="35"/>
      <c r="G22" s="256"/>
      <c r="H22" s="257"/>
      <c r="I22" s="258"/>
      <c r="K22" s="56" t="str">
        <f ca="1">IFERROR(OFFSET(INDIRECT($H$3 &amp; "!A17"), 16, 0), "")</f>
        <v>피르마체인</v>
      </c>
      <c r="L22" s="39">
        <f t="shared" ca="1" si="0"/>
        <v>165</v>
      </c>
      <c r="M22" s="73">
        <f t="shared" ca="1" si="1"/>
        <v>-6.0240963999999998E-3</v>
      </c>
      <c r="N22" s="82">
        <f t="shared" ca="1" si="4"/>
        <v>30793942.355077829</v>
      </c>
      <c r="O22" s="47" t="str">
        <f>INDEX($A$2:$D$200, MATCH(LARGE($D$2:$D$200, 17), $D$2:$D$200, 0), 2)</f>
        <v>샌드박스</v>
      </c>
      <c r="P22" s="39">
        <f t="shared" si="2"/>
        <v>552</v>
      </c>
      <c r="Q22" s="73">
        <f t="shared" si="3"/>
        <v>2.7932960900000001E-2</v>
      </c>
      <c r="R22" s="82">
        <f t="shared" si="5"/>
        <v>11270800.364539869</v>
      </c>
    </row>
    <row r="23" spans="1:18" ht="17.25" thickBot="1">
      <c r="A23" s="40" t="s">
        <v>255</v>
      </c>
      <c r="B23" s="11" t="s">
        <v>256</v>
      </c>
      <c r="C23" s="91">
        <v>241</v>
      </c>
      <c r="D23" s="88">
        <v>2.5531914900000001E-2</v>
      </c>
      <c r="E23" s="89">
        <v>10406770.57768362</v>
      </c>
      <c r="F23" s="35"/>
      <c r="G23" s="9" t="s">
        <v>38</v>
      </c>
      <c r="H23" s="242" t="s">
        <v>37</v>
      </c>
      <c r="I23" s="243"/>
      <c r="K23" s="56" t="str">
        <f ca="1">IFERROR(OFFSET(INDIRECT($H$3 &amp; "!A17"), 17, 0), "")</f>
        <v>메디블록</v>
      </c>
      <c r="L23" s="39">
        <f t="shared" ca="1" si="0"/>
        <v>127</v>
      </c>
      <c r="M23" s="73">
        <f t="shared" ca="1" si="1"/>
        <v>0</v>
      </c>
      <c r="N23" s="82">
        <f t="shared" ca="1" si="4"/>
        <v>376587060.76465201</v>
      </c>
      <c r="O23" s="47" t="str">
        <f>INDEX($A$2:$D$200, MATCH(LARGE($D$2:$D$200, 18), $D$2:$D$200, 0), 2)</f>
        <v>폴리매쓰</v>
      </c>
      <c r="P23" s="39">
        <f t="shared" si="2"/>
        <v>444</v>
      </c>
      <c r="Q23" s="73">
        <f t="shared" si="3"/>
        <v>2.77777778E-2</v>
      </c>
      <c r="R23" s="82">
        <f t="shared" si="5"/>
        <v>12345622.468190391</v>
      </c>
    </row>
    <row r="24" spans="1:18">
      <c r="A24" s="40" t="s">
        <v>68</v>
      </c>
      <c r="B24" s="11" t="s">
        <v>69</v>
      </c>
      <c r="C24" s="91">
        <v>10910</v>
      </c>
      <c r="D24" s="88">
        <v>2.53759398E-2</v>
      </c>
      <c r="E24" s="89">
        <v>867058.7663888</v>
      </c>
      <c r="F24" s="35"/>
      <c r="G24" s="325">
        <f>_xlfn.IFNA(VLOOKUP(G21, $B$2:$D$200, 3, FALSE), "-")</f>
        <v>-1.6680144000000001E-2</v>
      </c>
      <c r="H24" s="319">
        <f>_xlfn.IFNA(VLOOKUP(G21, $B$2:$D$200, 2, FALSE), "-")</f>
        <v>62017000</v>
      </c>
      <c r="I24" s="320"/>
      <c r="K24" s="56" t="str">
        <f ca="1">IFERROR(OFFSET(INDIRECT($H$3 &amp; "!A17"), 18, 0), "")</f>
        <v>플레이댑</v>
      </c>
      <c r="L24" s="39">
        <f t="shared" ca="1" si="0"/>
        <v>431</v>
      </c>
      <c r="M24" s="73">
        <f t="shared" ca="1" si="1"/>
        <v>-4.6189376000000002E-3</v>
      </c>
      <c r="N24" s="82">
        <f t="shared" ca="1" si="4"/>
        <v>5840890.4709722996</v>
      </c>
      <c r="O24" s="47" t="str">
        <f>INDEX($A$2:$D$200, MATCH(LARGE($D$2:$D$200, 19), $D$2:$D$200, 0), 2)</f>
        <v>제로엑스</v>
      </c>
      <c r="P24" s="39">
        <f t="shared" si="2"/>
        <v>2105</v>
      </c>
      <c r="Q24" s="73">
        <f t="shared" si="3"/>
        <v>2.68292683E-2</v>
      </c>
      <c r="R24" s="82">
        <f t="shared" si="5"/>
        <v>2177676.1729120002</v>
      </c>
    </row>
    <row r="25" spans="1:18" ht="17.25" thickBot="1">
      <c r="A25" s="40" t="s">
        <v>85</v>
      </c>
      <c r="B25" s="11" t="s">
        <v>86</v>
      </c>
      <c r="C25" s="91">
        <v>13770</v>
      </c>
      <c r="D25" s="88">
        <v>2.4553571400000002E-2</v>
      </c>
      <c r="E25" s="89">
        <v>73915056.903521061</v>
      </c>
      <c r="F25" s="35"/>
      <c r="G25" s="326"/>
      <c r="H25" s="321"/>
      <c r="I25" s="322"/>
      <c r="K25" s="57" t="str">
        <f ca="1">IFERROR(OFFSET(INDIRECT($H$3 &amp; "!A17"), 19, 0), "")</f>
        <v>엔도르</v>
      </c>
      <c r="L25" s="37">
        <f t="shared" ref="L25" ca="1" si="6">_xlfn.IFNA(VLOOKUP(K25, $B$2:$D$200, 2, FALSE), "")</f>
        <v>69.099999999999994</v>
      </c>
      <c r="M25" s="75">
        <f t="shared" ca="1" si="1"/>
        <v>-4.2936288099999997E-2</v>
      </c>
      <c r="N25" s="83">
        <f t="shared" ca="1" si="4"/>
        <v>258356852.77407247</v>
      </c>
      <c r="O25" s="48" t="str">
        <f>INDEX($A$2:$D$200, MATCH(LARGE($D$2:$D$200, 20), $D$2:$D$200, 0), 2)</f>
        <v>스팀</v>
      </c>
      <c r="P25" s="37">
        <f t="shared" si="2"/>
        <v>1150</v>
      </c>
      <c r="Q25" s="75">
        <f t="shared" si="3"/>
        <v>2.6785714299999999E-2</v>
      </c>
      <c r="R25" s="83">
        <f t="shared" si="5"/>
        <v>13625158.416340159</v>
      </c>
    </row>
    <row r="26" spans="1:18">
      <c r="A26" s="40" t="s">
        <v>173</v>
      </c>
      <c r="B26" s="11" t="s">
        <v>174</v>
      </c>
      <c r="C26" s="91">
        <v>252</v>
      </c>
      <c r="D26" s="88">
        <v>2.4390243900000001E-2</v>
      </c>
      <c r="E26" s="89">
        <v>103576700.87241954</v>
      </c>
      <c r="F26" s="35"/>
    </row>
    <row r="27" spans="1:18" ht="17.25" thickBot="1">
      <c r="A27" s="40" t="s">
        <v>219</v>
      </c>
      <c r="B27" s="11" t="s">
        <v>220</v>
      </c>
      <c r="C27" s="91">
        <v>17.899999999999999</v>
      </c>
      <c r="D27" s="88">
        <v>2.2857142899999999E-2</v>
      </c>
      <c r="E27" s="89">
        <v>886528687.66298258</v>
      </c>
      <c r="F27" s="35"/>
    </row>
    <row r="28" spans="1:18" ht="17.25" thickBot="1">
      <c r="A28" s="40" t="s">
        <v>89</v>
      </c>
      <c r="B28" s="11" t="s">
        <v>90</v>
      </c>
      <c r="C28" s="91">
        <v>409350</v>
      </c>
      <c r="D28" s="88">
        <v>2.1714713600000001E-2</v>
      </c>
      <c r="E28" s="89">
        <v>57867.57467917</v>
      </c>
      <c r="F28" s="35"/>
      <c r="G28" s="241" t="s">
        <v>46</v>
      </c>
      <c r="H28" s="242"/>
      <c r="I28" s="242"/>
      <c r="J28" s="243"/>
      <c r="K28" s="241" t="s">
        <v>44</v>
      </c>
      <c r="L28" s="242"/>
      <c r="M28" s="242"/>
      <c r="N28" s="243"/>
      <c r="O28" s="241" t="s">
        <v>45</v>
      </c>
      <c r="P28" s="242"/>
      <c r="Q28" s="242"/>
      <c r="R28" s="243"/>
    </row>
    <row r="29" spans="1:18" ht="17.25" thickBot="1">
      <c r="A29" s="40" t="s">
        <v>165</v>
      </c>
      <c r="B29" s="11" t="s">
        <v>166</v>
      </c>
      <c r="C29" s="91">
        <v>2200</v>
      </c>
      <c r="D29" s="88">
        <v>2.0881670500000001E-2</v>
      </c>
      <c r="E29" s="89">
        <v>1529893.8361695099</v>
      </c>
      <c r="F29" s="35"/>
      <c r="G29" s="306" t="s">
        <v>55</v>
      </c>
      <c r="H29" s="327">
        <f ca="1">NOW()</f>
        <v>44331.066325</v>
      </c>
      <c r="I29" s="328"/>
      <c r="J29" s="329"/>
      <c r="K29" s="318" t="s">
        <v>55</v>
      </c>
      <c r="L29" s="327">
        <f ca="1">NOW()</f>
        <v>44331.066325</v>
      </c>
      <c r="M29" s="328"/>
      <c r="N29" s="329"/>
      <c r="O29" s="318" t="s">
        <v>55</v>
      </c>
      <c r="P29" s="327">
        <f ca="1">NOW()</f>
        <v>44331.066325</v>
      </c>
      <c r="Q29" s="328"/>
      <c r="R29" s="329"/>
    </row>
    <row r="30" spans="1:18" ht="17.25" thickBot="1">
      <c r="A30" s="40" t="s">
        <v>73</v>
      </c>
      <c r="B30" s="11" t="s">
        <v>74</v>
      </c>
      <c r="C30" s="91">
        <v>30440</v>
      </c>
      <c r="D30" s="88">
        <v>2.07914152E-2</v>
      </c>
      <c r="E30" s="89">
        <v>296110.88987030002</v>
      </c>
      <c r="F30" s="35"/>
      <c r="G30" s="303"/>
      <c r="H30" s="36" t="s">
        <v>58</v>
      </c>
      <c r="I30" s="69" t="s">
        <v>59</v>
      </c>
      <c r="J30" s="65" t="s">
        <v>294</v>
      </c>
      <c r="K30" s="303"/>
      <c r="L30" s="36" t="s">
        <v>58</v>
      </c>
      <c r="M30" s="69" t="s">
        <v>59</v>
      </c>
      <c r="N30" s="65" t="s">
        <v>294</v>
      </c>
      <c r="O30" s="303"/>
      <c r="P30" s="36" t="s">
        <v>58</v>
      </c>
      <c r="Q30" s="69" t="s">
        <v>59</v>
      </c>
      <c r="R30" s="65" t="s">
        <v>294</v>
      </c>
    </row>
    <row r="31" spans="1:18">
      <c r="A31" s="40" t="s">
        <v>127</v>
      </c>
      <c r="B31" s="11" t="s">
        <v>128</v>
      </c>
      <c r="C31" s="91">
        <v>599</v>
      </c>
      <c r="D31" s="88">
        <v>2.0442930200000001E-2</v>
      </c>
      <c r="E31" s="89">
        <v>5704352.3565668399</v>
      </c>
      <c r="F31" s="35"/>
      <c r="G31" s="55" t="str">
        <f ca="1">IFERROR(OFFSET(INDIRECT($H$3 &amp; "!A98"), 0, 0), "")</f>
        <v>에이다</v>
      </c>
      <c r="H31" s="38">
        <f t="shared" ref="H31:H50" ca="1" si="7">_xlfn.IFNA(VLOOKUP(G31, $B$2:$D$200, 2, FALSE), "")</f>
        <v>2325</v>
      </c>
      <c r="I31" s="72">
        <f t="shared" ref="I31:I50" ca="1" si="8">_xlfn.IFNA(VLOOKUP(G31, $B$2:$D$200, 3, FALSE), "")</f>
        <v>-4.5174538E-2</v>
      </c>
      <c r="J31" s="81">
        <f ca="1">_xlfn.IFNA(VLOOKUP(G31, $B$2:$E$200, 4, FALSE), "")</f>
        <v>120470604.25874159</v>
      </c>
      <c r="K31" s="55" t="str">
        <f ca="1">IFERROR(OFFSET(INDIRECT($H$3 &amp; "!A44"), 0, 0), "")</f>
        <v>메인프레임</v>
      </c>
      <c r="L31" s="38">
        <f t="shared" ref="L31:L50" ca="1" si="9">_xlfn.IFNA(VLOOKUP(K31, $B$2:$D$200, 2, FALSE), "")</f>
        <v>17.899999999999999</v>
      </c>
      <c r="M31" s="72">
        <f t="shared" ref="M31:M50" ca="1" si="10">_xlfn.IFNA(VLOOKUP(K31, $B$2:$D$200, 3, FALSE), "")</f>
        <v>2.2857142899999999E-2</v>
      </c>
      <c r="N31" s="81">
        <f ca="1">_xlfn.IFNA(VLOOKUP(K31, $B$2:$E$200, 4, FALSE), "")</f>
        <v>886528687.66298258</v>
      </c>
      <c r="O31" s="55" t="str">
        <f ca="1">IFERROR(OFFSET(INDIRECT($H$3 &amp; "!A71"), 0, 0), "")</f>
        <v>헤데라해시그래프</v>
      </c>
      <c r="P31" s="38">
        <f t="shared" ref="P31:P50" ca="1" si="11">_xlfn.IFNA(VLOOKUP(O31, $B$2:$D$200, 2, FALSE), "")</f>
        <v>402</v>
      </c>
      <c r="Q31" s="72">
        <f t="shared" ref="Q31:Q50" ca="1" si="12">_xlfn.IFNA(VLOOKUP(O31, $B$2:$D$200, 3, FALSE), "")</f>
        <v>-4.2857142899999999E-2</v>
      </c>
      <c r="R31" s="81">
        <f ca="1">_xlfn.IFNA(VLOOKUP(O31, $B$2:$E$200, 4, FALSE), "")</f>
        <v>578339059.28800607</v>
      </c>
    </row>
    <row r="32" spans="1:18">
      <c r="A32" s="40" t="s">
        <v>139</v>
      </c>
      <c r="B32" s="11" t="s">
        <v>140</v>
      </c>
      <c r="C32" s="91">
        <v>3825</v>
      </c>
      <c r="D32" s="88">
        <v>0.02</v>
      </c>
      <c r="E32" s="89">
        <v>724304.02546080004</v>
      </c>
      <c r="F32" s="35"/>
      <c r="G32" s="56" t="str">
        <f ca="1">IFERROR(OFFSET(INDIRECT($H$3 &amp; "!A98"), 1, 0), "")</f>
        <v>폴카닷</v>
      </c>
      <c r="H32" s="39">
        <f t="shared" ca="1" si="7"/>
        <v>53360</v>
      </c>
      <c r="I32" s="73">
        <f t="shared" ca="1" si="8"/>
        <v>5.4962435699999999E-2</v>
      </c>
      <c r="J32" s="82">
        <f t="shared" ref="J32:J50" ca="1" si="13">_xlfn.IFNA(VLOOKUP(G32, $B$2:$E$200, 4, FALSE), "")</f>
        <v>2161911.7079643901</v>
      </c>
      <c r="K32" s="56" t="str">
        <f ca="1">IFERROR(OFFSET(INDIRECT($H$3 &amp; "!A44"), 1, 0), "")</f>
        <v>람다</v>
      </c>
      <c r="L32" s="39">
        <f t="shared" ca="1" si="9"/>
        <v>79.5</v>
      </c>
      <c r="M32" s="73">
        <f t="shared" ca="1" si="10"/>
        <v>-2.0935960600000001E-2</v>
      </c>
      <c r="N32" s="82">
        <f t="shared" ref="N32:N50" ca="1" si="14">_xlfn.IFNA(VLOOKUP(K32, $B$2:$E$200, 4, FALSE), "")</f>
        <v>71029024.602476954</v>
      </c>
      <c r="O32" s="56" t="str">
        <f ca="1">IFERROR(OFFSET(INDIRECT($H$3 &amp; "!A71"), 1, 0), "")</f>
        <v>하이브</v>
      </c>
      <c r="P32" s="39">
        <f t="shared" ca="1" si="11"/>
        <v>600</v>
      </c>
      <c r="Q32" s="73">
        <f t="shared" ca="1" si="12"/>
        <v>-1.3157894700000001E-2</v>
      </c>
      <c r="R32" s="82">
        <f t="shared" ref="R32:R50" ca="1" si="15">_xlfn.IFNA(VLOOKUP(O32, $B$2:$E$200, 4, FALSE), "")</f>
        <v>12953403.533336811</v>
      </c>
    </row>
    <row r="33" spans="1:18">
      <c r="A33" s="40" t="s">
        <v>223</v>
      </c>
      <c r="B33" s="11" t="s">
        <v>224</v>
      </c>
      <c r="C33" s="91">
        <v>1930</v>
      </c>
      <c r="D33" s="88">
        <v>1.8469657E-2</v>
      </c>
      <c r="E33" s="89">
        <v>32856997.15323884</v>
      </c>
      <c r="F33" s="35"/>
      <c r="G33" s="56" t="str">
        <f ca="1">IFERROR(OFFSET(INDIRECT($H$3 &amp; "!A98"), 2, 0), "")</f>
        <v>헤데라해시그래프</v>
      </c>
      <c r="H33" s="39">
        <f t="shared" ca="1" si="7"/>
        <v>402</v>
      </c>
      <c r="I33" s="73">
        <f t="shared" ca="1" si="8"/>
        <v>-4.2857142899999999E-2</v>
      </c>
      <c r="J33" s="82">
        <f t="shared" ca="1" si="13"/>
        <v>578339059.28800607</v>
      </c>
      <c r="K33" s="56" t="str">
        <f ca="1">IFERROR(OFFSET(INDIRECT($H$3 &amp; "!A44"), 2, 0), "")</f>
        <v>스톰엑스</v>
      </c>
      <c r="L33" s="39">
        <f t="shared" ca="1" si="9"/>
        <v>52</v>
      </c>
      <c r="M33" s="73">
        <f t="shared" ca="1" si="10"/>
        <v>5.9063136500000002E-2</v>
      </c>
      <c r="N33" s="82">
        <f t="shared" ca="1" si="14"/>
        <v>365576675.54781848</v>
      </c>
      <c r="O33" s="56" t="str">
        <f ca="1">IFERROR(OFFSET(INDIRECT($H$3 &amp; "!A71"), 2, 0), "")</f>
        <v>쎄타퓨엘</v>
      </c>
      <c r="P33" s="39">
        <f t="shared" ca="1" si="11"/>
        <v>415</v>
      </c>
      <c r="Q33" s="73">
        <f t="shared" ca="1" si="12"/>
        <v>-1.6587677700000001E-2</v>
      </c>
      <c r="R33" s="82">
        <f t="shared" ca="1" si="15"/>
        <v>19269949.365468569</v>
      </c>
    </row>
    <row r="34" spans="1:18">
      <c r="A34" s="40" t="s">
        <v>193</v>
      </c>
      <c r="B34" s="11" t="s">
        <v>194</v>
      </c>
      <c r="C34" s="91">
        <v>12160</v>
      </c>
      <c r="D34" s="88">
        <v>1.8425460599999999E-2</v>
      </c>
      <c r="E34" s="89">
        <v>2206847.3994346801</v>
      </c>
      <c r="F34" s="35"/>
      <c r="G34" s="56" t="str">
        <f ca="1">IFERROR(OFFSET(INDIRECT($H$3 &amp; "!A98"), 3, 0), "")</f>
        <v>하이브</v>
      </c>
      <c r="H34" s="39">
        <f t="shared" ca="1" si="7"/>
        <v>600</v>
      </c>
      <c r="I34" s="73">
        <f t="shared" ca="1" si="8"/>
        <v>-1.3157894700000001E-2</v>
      </c>
      <c r="J34" s="82">
        <f t="shared" ca="1" si="13"/>
        <v>12953403.533336811</v>
      </c>
      <c r="K34" s="56" t="str">
        <f ca="1">IFERROR(OFFSET(INDIRECT($H$3 &amp; "!A44"), 3, 0), "")</f>
        <v>에스티피</v>
      </c>
      <c r="L34" s="39">
        <f t="shared" ca="1" si="9"/>
        <v>85.5</v>
      </c>
      <c r="M34" s="73">
        <f t="shared" ca="1" si="10"/>
        <v>1.1709602E-3</v>
      </c>
      <c r="N34" s="82">
        <f t="shared" ca="1" si="14"/>
        <v>29550400.21772825</v>
      </c>
      <c r="O34" s="56" t="str">
        <f ca="1">IFERROR(OFFSET(INDIRECT($H$3 &amp; "!A71"), 3, 0), "")</f>
        <v>폴리매쓰</v>
      </c>
      <c r="P34" s="39">
        <f t="shared" ca="1" si="11"/>
        <v>444</v>
      </c>
      <c r="Q34" s="73">
        <f t="shared" ca="1" si="12"/>
        <v>2.77777778E-2</v>
      </c>
      <c r="R34" s="82">
        <f t="shared" ca="1" si="15"/>
        <v>12345622.468190391</v>
      </c>
    </row>
    <row r="35" spans="1:18">
      <c r="A35" s="40" t="s">
        <v>147</v>
      </c>
      <c r="B35" s="11" t="s">
        <v>148</v>
      </c>
      <c r="C35" s="91">
        <v>174</v>
      </c>
      <c r="D35" s="88">
        <v>1.75438596E-2</v>
      </c>
      <c r="E35" s="89">
        <v>37979187.945613332</v>
      </c>
      <c r="F35" s="35"/>
      <c r="G35" s="58" t="str">
        <f ca="1">IFERROR(OFFSET(INDIRECT($H$3 &amp; "!A98"), 4, 0), "")</f>
        <v>쎄타퓨엘</v>
      </c>
      <c r="H35" s="44">
        <f t="shared" ca="1" si="7"/>
        <v>415</v>
      </c>
      <c r="I35" s="74">
        <f t="shared" ca="1" si="8"/>
        <v>-1.6587677700000001E-2</v>
      </c>
      <c r="J35" s="86">
        <f t="shared" ca="1" si="13"/>
        <v>19269949.365468569</v>
      </c>
      <c r="K35" s="58" t="str">
        <f ca="1">IFERROR(OFFSET(INDIRECT($H$3 &amp; "!A44"), 4, 0), "")</f>
        <v>에브리피디아</v>
      </c>
      <c r="L35" s="44">
        <f t="shared" ca="1" si="9"/>
        <v>23.4</v>
      </c>
      <c r="M35" s="74">
        <f t="shared" ca="1" si="10"/>
        <v>0.1090047393</v>
      </c>
      <c r="N35" s="86">
        <f t="shared" ca="1" si="14"/>
        <v>5582370232.6251097</v>
      </c>
      <c r="O35" s="58" t="str">
        <f ca="1">IFERROR(OFFSET(INDIRECT($H$3 &amp; "!A71"), 4, 0), "")</f>
        <v>비체인</v>
      </c>
      <c r="P35" s="44">
        <f t="shared" ca="1" si="11"/>
        <v>229</v>
      </c>
      <c r="Q35" s="74">
        <f t="shared" ca="1" si="12"/>
        <v>-4.3478261000000004E-3</v>
      </c>
      <c r="R35" s="86">
        <f t="shared" ca="1" si="15"/>
        <v>403091420.30760902</v>
      </c>
    </row>
    <row r="36" spans="1:18">
      <c r="A36" s="40" t="s">
        <v>249</v>
      </c>
      <c r="B36" s="11" t="s">
        <v>250</v>
      </c>
      <c r="C36" s="91">
        <v>179</v>
      </c>
      <c r="D36" s="88">
        <v>1.7045454500000001E-2</v>
      </c>
      <c r="E36" s="89">
        <v>11878779.04254951</v>
      </c>
      <c r="F36" s="35"/>
      <c r="G36" s="56" t="str">
        <f ca="1">IFERROR(OFFSET(INDIRECT($H$3 &amp; "!A98"), 5, 0), "")</f>
        <v>폴리매쓰</v>
      </c>
      <c r="H36" s="39">
        <f t="shared" ca="1" si="7"/>
        <v>444</v>
      </c>
      <c r="I36" s="73">
        <f t="shared" ca="1" si="8"/>
        <v>2.77777778E-2</v>
      </c>
      <c r="J36" s="95">
        <f t="shared" ca="1" si="13"/>
        <v>12345622.468190391</v>
      </c>
      <c r="K36" s="56" t="str">
        <f ca="1">IFERROR(OFFSET(INDIRECT($H$3 &amp; "!A44"), 5, 0), "")</f>
        <v>아이오에스티</v>
      </c>
      <c r="L36" s="39">
        <f t="shared" ca="1" si="9"/>
        <v>64.400000000000006</v>
      </c>
      <c r="M36" s="73">
        <f t="shared" ca="1" si="10"/>
        <v>1.0989011E-2</v>
      </c>
      <c r="N36" s="95">
        <f t="shared" ca="1" si="14"/>
        <v>162485202.18962064</v>
      </c>
      <c r="O36" s="56" t="str">
        <f ca="1">IFERROR(OFFSET(INDIRECT($H$3 &amp; "!A71"), 5, 0), "")</f>
        <v>픽셀</v>
      </c>
      <c r="P36" s="39">
        <f t="shared" ca="1" si="11"/>
        <v>104</v>
      </c>
      <c r="Q36" s="73">
        <f t="shared" ca="1" si="12"/>
        <v>-9.5238094999999991E-3</v>
      </c>
      <c r="R36" s="95">
        <f t="shared" ca="1" si="15"/>
        <v>118470208.94830199</v>
      </c>
    </row>
    <row r="37" spans="1:18">
      <c r="A37" s="40" t="s">
        <v>109</v>
      </c>
      <c r="B37" s="11" t="s">
        <v>110</v>
      </c>
      <c r="C37" s="91">
        <v>2695</v>
      </c>
      <c r="D37" s="88">
        <v>1.6981132100000001E-2</v>
      </c>
      <c r="E37" s="89">
        <v>1423258.90718585</v>
      </c>
      <c r="F37" s="35"/>
      <c r="G37" s="56" t="str">
        <f ca="1">IFERROR(OFFSET(INDIRECT($H$3 &amp; "!A98"), 6, 0), "")</f>
        <v>아이콘</v>
      </c>
      <c r="H37" s="39">
        <f t="shared" ca="1" si="7"/>
        <v>2695</v>
      </c>
      <c r="I37" s="73">
        <f t="shared" ca="1" si="8"/>
        <v>1.6981132100000001E-2</v>
      </c>
      <c r="J37" s="82">
        <f t="shared" ca="1" si="13"/>
        <v>1423258.90718585</v>
      </c>
      <c r="K37" s="56" t="str">
        <f ca="1">IFERROR(OFFSET(INDIRECT($H$3 &amp; "!A44"), 6, 0), "")</f>
        <v>시아코인</v>
      </c>
      <c r="L37" s="39">
        <f t="shared" ca="1" si="9"/>
        <v>39.9</v>
      </c>
      <c r="M37" s="73">
        <f t="shared" ca="1" si="10"/>
        <v>2.8350515499999999E-2</v>
      </c>
      <c r="N37" s="82">
        <f t="shared" ca="1" si="14"/>
        <v>399998890.475932</v>
      </c>
      <c r="O37" s="56" t="str">
        <f ca="1">IFERROR(OFFSET(INDIRECT($H$3 &amp; "!A71"), 6, 0), "")</f>
        <v>왁스</v>
      </c>
      <c r="P37" s="39">
        <f t="shared" ca="1" si="11"/>
        <v>241</v>
      </c>
      <c r="Q37" s="73">
        <f t="shared" ca="1" si="12"/>
        <v>2.5531914900000001E-2</v>
      </c>
      <c r="R37" s="82">
        <f t="shared" ca="1" si="15"/>
        <v>10406770.57768362</v>
      </c>
    </row>
    <row r="38" spans="1:18">
      <c r="A38" s="40" t="s">
        <v>177</v>
      </c>
      <c r="B38" s="11" t="s">
        <v>178</v>
      </c>
      <c r="C38" s="91">
        <v>47150</v>
      </c>
      <c r="D38" s="88">
        <v>1.6601983599999998E-2</v>
      </c>
      <c r="E38" s="89">
        <v>109242.37474939</v>
      </c>
      <c r="F38" s="35"/>
      <c r="G38" s="56" t="str">
        <f ca="1">IFERROR(OFFSET(INDIRECT($H$3 &amp; "!A98"), 7, 0), "")</f>
        <v>비체인</v>
      </c>
      <c r="H38" s="39">
        <f t="shared" ca="1" si="7"/>
        <v>229</v>
      </c>
      <c r="I38" s="73">
        <f t="shared" ca="1" si="8"/>
        <v>-4.3478261000000004E-3</v>
      </c>
      <c r="J38" s="82">
        <f t="shared" ca="1" si="13"/>
        <v>403091420.30760902</v>
      </c>
      <c r="K38" s="56" t="str">
        <f ca="1">IFERROR(OFFSET(INDIRECT($H$3 &amp; "!A44"), 7, 0), "")</f>
        <v>쿼크체인</v>
      </c>
      <c r="L38" s="39">
        <f t="shared" ca="1" si="9"/>
        <v>31.7</v>
      </c>
      <c r="M38" s="73">
        <f t="shared" ca="1" si="10"/>
        <v>-1.5527950299999999E-2</v>
      </c>
      <c r="N38" s="82">
        <f t="shared" ca="1" si="14"/>
        <v>111732153.17817686</v>
      </c>
      <c r="O38" s="56" t="str">
        <f ca="1">IFERROR(OFFSET(INDIRECT($H$3 &amp; "!A71"), 7, 0), "")</f>
        <v>휴먼스케이프</v>
      </c>
      <c r="P38" s="39">
        <f t="shared" ca="1" si="11"/>
        <v>146</v>
      </c>
      <c r="Q38" s="73">
        <f t="shared" ca="1" si="12"/>
        <v>-6.8027210999999999E-3</v>
      </c>
      <c r="R38" s="82">
        <f t="shared" ca="1" si="15"/>
        <v>76121850.478806034</v>
      </c>
    </row>
    <row r="39" spans="1:18">
      <c r="A39" s="40" t="s">
        <v>123</v>
      </c>
      <c r="B39" s="11" t="s">
        <v>124</v>
      </c>
      <c r="C39" s="91">
        <v>5870</v>
      </c>
      <c r="D39" s="88">
        <v>1.64502165E-2</v>
      </c>
      <c r="E39" s="89">
        <v>654179.78591653996</v>
      </c>
      <c r="F39" s="35"/>
      <c r="G39" s="56" t="str">
        <f ca="1">IFERROR(OFFSET(INDIRECT($H$3 &amp; "!A98"), 8, 0), "")</f>
        <v>픽셀</v>
      </c>
      <c r="H39" s="39">
        <f t="shared" ca="1" si="7"/>
        <v>104</v>
      </c>
      <c r="I39" s="73">
        <f t="shared" ca="1" si="8"/>
        <v>-9.5238094999999991E-3</v>
      </c>
      <c r="J39" s="82">
        <f t="shared" ca="1" si="13"/>
        <v>118470208.94830199</v>
      </c>
      <c r="K39" s="56" t="str">
        <f ca="1">IFERROR(OFFSET(INDIRECT($H$3 &amp; "!A44"), 8, 0), "")</f>
        <v>퀴즈톡</v>
      </c>
      <c r="L39" s="39">
        <f t="shared" ca="1" si="9"/>
        <v>72.900000000000006</v>
      </c>
      <c r="M39" s="73">
        <f t="shared" ca="1" si="10"/>
        <v>-4.0983607000000003E-3</v>
      </c>
      <c r="N39" s="82">
        <f t="shared" ca="1" si="14"/>
        <v>63141356.09417893</v>
      </c>
      <c r="O39" s="56" t="str">
        <f ca="1">IFERROR(OFFSET(INDIRECT($H$3 &amp; "!A71"), 8, 0), "")</f>
        <v>칠리즈</v>
      </c>
      <c r="P39" s="39">
        <f t="shared" ca="1" si="11"/>
        <v>540</v>
      </c>
      <c r="Q39" s="73">
        <f t="shared" ca="1" si="12"/>
        <v>-1.8484288000000001E-3</v>
      </c>
      <c r="R39" s="82">
        <f t="shared" ca="1" si="15"/>
        <v>47701273.29557734</v>
      </c>
    </row>
    <row r="40" spans="1:18" ht="17.25" thickBot="1">
      <c r="A40" s="40" t="s">
        <v>241</v>
      </c>
      <c r="B40" s="11" t="s">
        <v>242</v>
      </c>
      <c r="C40" s="91">
        <v>9115</v>
      </c>
      <c r="D40" s="88">
        <v>1.61649944E-2</v>
      </c>
      <c r="E40" s="89">
        <v>4907282.5162187302</v>
      </c>
      <c r="F40" s="35"/>
      <c r="G40" s="57" t="str">
        <f ca="1">IFERROR(OFFSET(INDIRECT($H$3 &amp; "!A98"), 9, 0), "")</f>
        <v>비트코인캐시에이비씨</v>
      </c>
      <c r="H40" s="37">
        <f t="shared" ca="1" si="7"/>
        <v>55130</v>
      </c>
      <c r="I40" s="75">
        <f t="shared" ca="1" si="8"/>
        <v>6.4285714300000005E-2</v>
      </c>
      <c r="J40" s="83">
        <f t="shared" ca="1" si="13"/>
        <v>2160799.8446104801</v>
      </c>
      <c r="K40" s="57" t="str">
        <f ca="1">IFERROR(OFFSET(INDIRECT($H$3 &amp; "!A44"), 9, 0), "")</f>
        <v>아하토큰</v>
      </c>
      <c r="L40" s="37">
        <f t="shared" ca="1" si="9"/>
        <v>16.100000000000001</v>
      </c>
      <c r="M40" s="75">
        <f t="shared" ca="1" si="10"/>
        <v>1.2578616399999999E-2</v>
      </c>
      <c r="N40" s="83">
        <f t="shared" ca="1" si="14"/>
        <v>543996404.07514226</v>
      </c>
      <c r="O40" s="57" t="str">
        <f ca="1">IFERROR(OFFSET(INDIRECT($H$3 &amp; "!A71"), 9, 0), "")</f>
        <v>썸씽</v>
      </c>
      <c r="P40" s="37">
        <f t="shared" ca="1" si="11"/>
        <v>123</v>
      </c>
      <c r="Q40" s="75">
        <f t="shared" ca="1" si="12"/>
        <v>4.23728814E-2</v>
      </c>
      <c r="R40" s="83">
        <f t="shared" ca="1" si="15"/>
        <v>1568850515.7169173</v>
      </c>
    </row>
    <row r="41" spans="1:18">
      <c r="A41" s="40" t="s">
        <v>247</v>
      </c>
      <c r="B41" s="11" t="s">
        <v>248</v>
      </c>
      <c r="C41" s="91">
        <v>3170</v>
      </c>
      <c r="D41" s="88">
        <v>1.6025641E-2</v>
      </c>
      <c r="E41" s="89">
        <v>3491902.2867374099</v>
      </c>
      <c r="F41" s="35"/>
      <c r="G41" s="59" t="str">
        <f ca="1">IFERROR(OFFSET(INDIRECT($H$3 &amp; "!A98"), 10, 0), "")</f>
        <v>메인프레임</v>
      </c>
      <c r="H41" s="38">
        <f t="shared" ca="1" si="7"/>
        <v>17.899999999999999</v>
      </c>
      <c r="I41" s="72">
        <f t="shared" ca="1" si="8"/>
        <v>2.2857142899999999E-2</v>
      </c>
      <c r="J41" s="81">
        <f t="shared" ca="1" si="13"/>
        <v>886528687.66298258</v>
      </c>
      <c r="K41" s="55" t="str">
        <f ca="1">IFERROR(OFFSET(INDIRECT($H$3 &amp; "!A44"), 10, 0), "")</f>
        <v>비트토렌트</v>
      </c>
      <c r="L41" s="38">
        <f t="shared" ca="1" si="9"/>
        <v>7.53</v>
      </c>
      <c r="M41" s="72">
        <f t="shared" ca="1" si="10"/>
        <v>-1.3262599000000001E-3</v>
      </c>
      <c r="N41" s="81">
        <f t="shared" ca="1" si="14"/>
        <v>23167713110.493984</v>
      </c>
      <c r="O41" s="55" t="str">
        <f ca="1">IFERROR(OFFSET(INDIRECT($H$3 &amp; "!A71"), 10, 0), "")</f>
        <v>질리카</v>
      </c>
      <c r="P41" s="38">
        <f t="shared" ca="1" si="11"/>
        <v>243</v>
      </c>
      <c r="Q41" s="72">
        <f t="shared" ca="1" si="12"/>
        <v>5.19480519E-2</v>
      </c>
      <c r="R41" s="81">
        <f t="shared" ca="1" si="15"/>
        <v>22037183.183284249</v>
      </c>
    </row>
    <row r="42" spans="1:18">
      <c r="A42" s="40" t="s">
        <v>175</v>
      </c>
      <c r="B42" s="11" t="s">
        <v>176</v>
      </c>
      <c r="C42" s="91">
        <v>2050</v>
      </c>
      <c r="D42" s="88">
        <v>1.4851485100000001E-2</v>
      </c>
      <c r="E42" s="89">
        <v>3247864.9279454499</v>
      </c>
      <c r="F42" s="35"/>
      <c r="G42" s="56" t="str">
        <f ca="1">IFERROR(OFFSET(INDIRECT($H$3 &amp; "!A98"), 11, 0), "")</f>
        <v>비트코인에스브이</v>
      </c>
      <c r="H42" s="39">
        <f t="shared" ca="1" si="7"/>
        <v>409350</v>
      </c>
      <c r="I42" s="73">
        <f t="shared" ca="1" si="8"/>
        <v>2.1714713600000001E-2</v>
      </c>
      <c r="J42" s="82">
        <f t="shared" ca="1" si="13"/>
        <v>57867.57467917</v>
      </c>
      <c r="K42" s="56" t="str">
        <f ca="1">IFERROR(OFFSET(INDIRECT($H$3 &amp; "!A44"), 11, 0), "")</f>
        <v>엠블</v>
      </c>
      <c r="L42" s="39">
        <f t="shared" ca="1" si="9"/>
        <v>24.1</v>
      </c>
      <c r="M42" s="73">
        <f t="shared" ca="1" si="10"/>
        <v>8.3682007999999995E-3</v>
      </c>
      <c r="N42" s="82">
        <f t="shared" ca="1" si="14"/>
        <v>837876363.30143321</v>
      </c>
      <c r="O42" s="56" t="str">
        <f ca="1">IFERROR(OFFSET(INDIRECT($H$3 &amp; "!A71"), 11, 0), "")</f>
        <v>보라</v>
      </c>
      <c r="P42" s="39">
        <f t="shared" ca="1" si="11"/>
        <v>252</v>
      </c>
      <c r="Q42" s="73">
        <f t="shared" ca="1" si="12"/>
        <v>2.4390243900000001E-2</v>
      </c>
      <c r="R42" s="82">
        <f t="shared" ca="1" si="15"/>
        <v>103576700.87241954</v>
      </c>
    </row>
    <row r="43" spans="1:18">
      <c r="A43" s="40" t="s">
        <v>187</v>
      </c>
      <c r="B43" s="11" t="s">
        <v>188</v>
      </c>
      <c r="C43" s="91">
        <v>26720</v>
      </c>
      <c r="D43" s="88">
        <v>1.44267274E-2</v>
      </c>
      <c r="E43" s="89">
        <v>11142368.881315701</v>
      </c>
      <c r="F43" s="35"/>
      <c r="G43" s="56" t="str">
        <f ca="1">IFERROR(OFFSET(INDIRECT($H$3 &amp; "!A98"), 12, 0), "")</f>
        <v>왁스</v>
      </c>
      <c r="H43" s="39">
        <f t="shared" ca="1" si="7"/>
        <v>241</v>
      </c>
      <c r="I43" s="73">
        <f t="shared" ca="1" si="8"/>
        <v>2.5531914900000001E-2</v>
      </c>
      <c r="J43" s="82">
        <f t="shared" ca="1" si="13"/>
        <v>10406770.57768362</v>
      </c>
      <c r="K43" s="56" t="str">
        <f ca="1">IFERROR(OFFSET(INDIRECT($H$3 &amp; "!A44"), 12, 0), "")</f>
        <v>썬더토큰</v>
      </c>
      <c r="L43" s="39">
        <f t="shared" ca="1" si="9"/>
        <v>17.8</v>
      </c>
      <c r="M43" s="73">
        <f t="shared" ca="1" si="10"/>
        <v>5.6497175E-3</v>
      </c>
      <c r="N43" s="82">
        <f t="shared" ca="1" si="14"/>
        <v>442145925.15253943</v>
      </c>
      <c r="O43" s="56" t="str">
        <f ca="1">IFERROR(OFFSET(INDIRECT($H$3 &amp; "!A71"), 12, 0), "")</f>
        <v>크립토닷컴체인</v>
      </c>
      <c r="P43" s="39">
        <f t="shared" ca="1" si="11"/>
        <v>204</v>
      </c>
      <c r="Q43" s="73">
        <f t="shared" ca="1" si="12"/>
        <v>-9.7087379000000001E-3</v>
      </c>
      <c r="R43" s="82">
        <f t="shared" ca="1" si="15"/>
        <v>84749346.902143568</v>
      </c>
    </row>
    <row r="44" spans="1:18">
      <c r="A44" s="40" t="s">
        <v>231</v>
      </c>
      <c r="B44" s="11" t="s">
        <v>232</v>
      </c>
      <c r="C44" s="91">
        <v>150</v>
      </c>
      <c r="D44" s="88">
        <v>1.3513513499999999E-2</v>
      </c>
      <c r="E44" s="89">
        <v>74702205.03641288</v>
      </c>
      <c r="F44" s="35"/>
      <c r="G44" s="56" t="str">
        <f ca="1">IFERROR(OFFSET(INDIRECT($H$3 &amp; "!A98"), 13, 0), "")</f>
        <v>톤</v>
      </c>
      <c r="H44" s="39">
        <f t="shared" ca="1" si="7"/>
        <v>12160</v>
      </c>
      <c r="I44" s="73">
        <f t="shared" ca="1" si="8"/>
        <v>1.8425460599999999E-2</v>
      </c>
      <c r="J44" s="82">
        <f t="shared" ca="1" si="13"/>
        <v>2206847.3994346801</v>
      </c>
      <c r="K44" s="56" t="str">
        <f ca="1">IFERROR(OFFSET(INDIRECT($H$3 &amp; "!A44"), 13, 0), "")</f>
        <v>옵저버</v>
      </c>
      <c r="L44" s="39">
        <f t="shared" ca="1" si="9"/>
        <v>23.6</v>
      </c>
      <c r="M44" s="73">
        <f t="shared" ca="1" si="10"/>
        <v>4.2553191000000001E-3</v>
      </c>
      <c r="N44" s="82">
        <f t="shared" ca="1" si="14"/>
        <v>590506321.78551507</v>
      </c>
      <c r="O44" s="56" t="str">
        <f ca="1">IFERROR(OFFSET(INDIRECT($H$3 &amp; "!A71"), 13, 0), "")</f>
        <v>모스코인</v>
      </c>
      <c r="P44" s="39">
        <f t="shared" ca="1" si="11"/>
        <v>159</v>
      </c>
      <c r="Q44" s="73">
        <f t="shared" ca="1" si="12"/>
        <v>4.6052631599999998E-2</v>
      </c>
      <c r="R44" s="82">
        <f t="shared" ca="1" si="15"/>
        <v>339044619.95868152</v>
      </c>
    </row>
    <row r="45" spans="1:18">
      <c r="A45" s="40" t="s">
        <v>155</v>
      </c>
      <c r="B45" s="11" t="s">
        <v>156</v>
      </c>
      <c r="C45" s="91">
        <v>155</v>
      </c>
      <c r="D45" s="88">
        <v>1.30718954E-2</v>
      </c>
      <c r="E45" s="89">
        <v>499122448.51371592</v>
      </c>
      <c r="F45" s="35"/>
      <c r="G45" s="58" t="str">
        <f ca="1">IFERROR(OFFSET(INDIRECT($H$3 &amp; "!A98"), 14, 0), "")</f>
        <v>체인링크</v>
      </c>
      <c r="H45" s="44">
        <f t="shared" ca="1" si="7"/>
        <v>56700</v>
      </c>
      <c r="I45" s="74">
        <f t="shared" ca="1" si="8"/>
        <v>3.2975040999999997E-2</v>
      </c>
      <c r="J45" s="86">
        <f t="shared" ca="1" si="13"/>
        <v>749906.42331266997</v>
      </c>
      <c r="K45" s="58" t="str">
        <f ca="1">IFERROR(OFFSET(INDIRECT($H$3 &amp; "!A44"), 14, 0), "")</f>
        <v>캐리프로토콜</v>
      </c>
      <c r="L45" s="44">
        <f t="shared" ca="1" si="9"/>
        <v>17.8</v>
      </c>
      <c r="M45" s="74">
        <f t="shared" ca="1" si="10"/>
        <v>5.6497175E-3</v>
      </c>
      <c r="N45" s="86">
        <f t="shared" ca="1" si="14"/>
        <v>879419950.49827492</v>
      </c>
      <c r="O45" s="58" t="str">
        <f ca="1">IFERROR(OFFSET(INDIRECT($H$3 &amp; "!A71"), 14, 0), "")</f>
        <v>골렘</v>
      </c>
      <c r="P45" s="44">
        <f t="shared" ca="1" si="11"/>
        <v>509</v>
      </c>
      <c r="Q45" s="74">
        <f t="shared" ca="1" si="12"/>
        <v>-7.7972709999999997E-3</v>
      </c>
      <c r="R45" s="86">
        <f t="shared" ca="1" si="15"/>
        <v>3651252.2614278998</v>
      </c>
    </row>
    <row r="46" spans="1:18">
      <c r="A46" s="40" t="s">
        <v>62</v>
      </c>
      <c r="B46" s="11" t="s">
        <v>63</v>
      </c>
      <c r="C46" s="91">
        <v>123800</v>
      </c>
      <c r="D46" s="88">
        <v>1.2678936599999999E-2</v>
      </c>
      <c r="E46" s="89">
        <v>806951.74692591</v>
      </c>
      <c r="F46" s="35"/>
      <c r="G46" s="56" t="str">
        <f ca="1">IFERROR(OFFSET(INDIRECT($H$3 &amp; "!A98"), 15, 0), "")</f>
        <v>펀디엑스</v>
      </c>
      <c r="H46" s="39">
        <f t="shared" ca="1" si="7"/>
        <v>3060</v>
      </c>
      <c r="I46" s="73">
        <f t="shared" ca="1" si="8"/>
        <v>3.2786884999999998E-3</v>
      </c>
      <c r="J46" s="95">
        <f t="shared" ca="1" si="13"/>
        <v>5320923.4820248801</v>
      </c>
      <c r="K46" s="56" t="str">
        <f ca="1">IFERROR(OFFSET(INDIRECT($H$3 &amp; "!A44"), 15, 0), "")</f>
        <v>리퍼리움</v>
      </c>
      <c r="L46" s="39">
        <f t="shared" ca="1" si="9"/>
        <v>19.5</v>
      </c>
      <c r="M46" s="73">
        <f t="shared" ca="1" si="10"/>
        <v>-1.51515152E-2</v>
      </c>
      <c r="N46" s="95">
        <f t="shared" ca="1" si="14"/>
        <v>975682420.6807251</v>
      </c>
      <c r="O46" s="56" t="str">
        <f ca="1">IFERROR(OFFSET(INDIRECT($H$3 &amp; "!A71"), 15, 0), "")</f>
        <v>시빅</v>
      </c>
      <c r="P46" s="39">
        <f t="shared" ca="1" si="11"/>
        <v>599</v>
      </c>
      <c r="Q46" s="73">
        <f t="shared" ca="1" si="12"/>
        <v>2.0442930200000001E-2</v>
      </c>
      <c r="R46" s="95">
        <f t="shared" ca="1" si="15"/>
        <v>5704352.3565668399</v>
      </c>
    </row>
    <row r="47" spans="1:18">
      <c r="A47" s="40" t="s">
        <v>221</v>
      </c>
      <c r="B47" s="11" t="s">
        <v>222</v>
      </c>
      <c r="C47" s="91">
        <v>16.100000000000001</v>
      </c>
      <c r="D47" s="88">
        <v>1.2578616399999999E-2</v>
      </c>
      <c r="E47" s="89">
        <v>543996404.07514226</v>
      </c>
      <c r="F47" s="35"/>
      <c r="G47" s="56" t="str">
        <f ca="1">IFERROR(OFFSET(INDIRECT($H$3 &amp; "!A98"), 16, 0), "")</f>
        <v>카바</v>
      </c>
      <c r="H47" s="39">
        <f t="shared" ca="1" si="7"/>
        <v>6955</v>
      </c>
      <c r="I47" s="73">
        <f t="shared" ca="1" si="8"/>
        <v>2.65682657E-2</v>
      </c>
      <c r="J47" s="82">
        <f t="shared" ca="1" si="13"/>
        <v>427742.50001785997</v>
      </c>
      <c r="K47" s="56" t="str">
        <f ca="1">IFERROR(OFFSET(INDIRECT($H$3 &amp; "!A44"), 16, 0), "")</f>
        <v>무비블록</v>
      </c>
      <c r="L47" s="39">
        <f t="shared" ca="1" si="9"/>
        <v>16</v>
      </c>
      <c r="M47" s="73">
        <f t="shared" ca="1" si="10"/>
        <v>6.2893081999999996E-3</v>
      </c>
      <c r="N47" s="82">
        <f t="shared" ca="1" si="14"/>
        <v>1016184979.178771</v>
      </c>
      <c r="O47" s="56" t="str">
        <f ca="1">IFERROR(OFFSET(INDIRECT($H$3 &amp; "!A71"), 16, 0), "")</f>
        <v>샌드박스</v>
      </c>
      <c r="P47" s="39">
        <f t="shared" ca="1" si="11"/>
        <v>552</v>
      </c>
      <c r="Q47" s="73">
        <f t="shared" ca="1" si="12"/>
        <v>2.7932960900000001E-2</v>
      </c>
      <c r="R47" s="82">
        <f t="shared" ca="1" si="15"/>
        <v>11270800.364539869</v>
      </c>
    </row>
    <row r="48" spans="1:18">
      <c r="A48" s="40" t="s">
        <v>179</v>
      </c>
      <c r="B48" s="11" t="s">
        <v>180</v>
      </c>
      <c r="C48" s="91">
        <v>4235</v>
      </c>
      <c r="D48" s="88">
        <v>1.19474313E-2</v>
      </c>
      <c r="E48" s="89">
        <v>2587543.6847602101</v>
      </c>
      <c r="F48" s="35"/>
      <c r="G48" s="56" t="str">
        <f ca="1">IFERROR(OFFSET(INDIRECT($H$3 &amp; "!A98"), 17, 0), "")</f>
        <v>엑시인피니티</v>
      </c>
      <c r="H48" s="39">
        <f t="shared" ca="1" si="7"/>
        <v>8860</v>
      </c>
      <c r="I48" s="73">
        <f t="shared" ca="1" si="8"/>
        <v>3.3975085000000002E-3</v>
      </c>
      <c r="J48" s="82">
        <f t="shared" ca="1" si="13"/>
        <v>643653.86939255998</v>
      </c>
      <c r="K48" s="56" t="str">
        <f ca="1">IFERROR(OFFSET(INDIRECT($H$3 &amp; "!A44"), 17, 0), "")</f>
        <v>엔도르</v>
      </c>
      <c r="L48" s="39">
        <f t="shared" ca="1" si="9"/>
        <v>69.099999999999994</v>
      </c>
      <c r="M48" s="73">
        <f t="shared" ca="1" si="10"/>
        <v>-4.2936288099999997E-2</v>
      </c>
      <c r="N48" s="82">
        <f t="shared" ca="1" si="14"/>
        <v>258356852.77407247</v>
      </c>
      <c r="O48" s="56" t="str">
        <f ca="1">IFERROR(OFFSET(INDIRECT($H$3 &amp; "!A71"), 17, 0), "")</f>
        <v>도지코인</v>
      </c>
      <c r="P48" s="39">
        <f t="shared" ca="1" si="11"/>
        <v>662</v>
      </c>
      <c r="Q48" s="73">
        <f t="shared" ca="1" si="12"/>
        <v>7.4675324700000004E-2</v>
      </c>
      <c r="R48" s="82">
        <f t="shared" ca="1" si="15"/>
        <v>8355690765.7682304</v>
      </c>
    </row>
    <row r="49" spans="1:18">
      <c r="A49" s="40" t="s">
        <v>64</v>
      </c>
      <c r="B49" s="11" t="s">
        <v>65</v>
      </c>
      <c r="C49" s="91">
        <v>64.400000000000006</v>
      </c>
      <c r="D49" s="88">
        <v>1.0989011E-2</v>
      </c>
      <c r="E49" s="89">
        <v>162485202.18962064</v>
      </c>
      <c r="F49" s="35"/>
      <c r="G49" s="56" t="str">
        <f ca="1">IFERROR(OFFSET(INDIRECT($H$3 &amp; "!A98"), 18, 0), "")</f>
        <v>아이오타</v>
      </c>
      <c r="H49" s="39">
        <f t="shared" ca="1" si="7"/>
        <v>2490</v>
      </c>
      <c r="I49" s="73">
        <f t="shared" ca="1" si="8"/>
        <v>-2.35294118E-2</v>
      </c>
      <c r="J49" s="82">
        <f t="shared" ca="1" si="13"/>
        <v>954130.46300660004</v>
      </c>
      <c r="K49" s="56" t="str">
        <f ca="1">IFERROR(OFFSET(INDIRECT($H$3 &amp; "!A44"), 18, 0), "")</f>
        <v>트웰브쉽스</v>
      </c>
      <c r="L49" s="39">
        <f t="shared" ca="1" si="9"/>
        <v>23</v>
      </c>
      <c r="M49" s="73">
        <f t="shared" ca="1" si="10"/>
        <v>-5.7377049200000002E-2</v>
      </c>
      <c r="N49" s="82">
        <f t="shared" ca="1" si="14"/>
        <v>567156568.63214648</v>
      </c>
      <c r="O49" s="56" t="str">
        <f ca="1">IFERROR(OFFSET(INDIRECT($H$3 &amp; "!A71"), 18, 0), "")</f>
        <v>솔브케어</v>
      </c>
      <c r="P49" s="39">
        <f t="shared" ca="1" si="11"/>
        <v>242</v>
      </c>
      <c r="Q49" s="73">
        <f t="shared" ca="1" si="12"/>
        <v>-4.1152263000000001E-3</v>
      </c>
      <c r="R49" s="82">
        <f t="shared" ca="1" si="15"/>
        <v>9360769.6778150704</v>
      </c>
    </row>
    <row r="50" spans="1:18" ht="17.25" thickBot="1">
      <c r="A50" s="40" t="s">
        <v>273</v>
      </c>
      <c r="B50" s="11" t="s">
        <v>274</v>
      </c>
      <c r="C50" s="91">
        <v>7675</v>
      </c>
      <c r="D50" s="88">
        <v>9.2044707E-3</v>
      </c>
      <c r="E50" s="89">
        <v>279693.46910803003</v>
      </c>
      <c r="F50" s="35"/>
      <c r="G50" s="57" t="str">
        <f ca="1">IFERROR(OFFSET(INDIRECT($H$3 &amp; "!A98"), 19, 0), "")</f>
        <v>가스</v>
      </c>
      <c r="H50" s="37">
        <f t="shared" ca="1" si="7"/>
        <v>16280</v>
      </c>
      <c r="I50" s="75">
        <f t="shared" ca="1" si="8"/>
        <v>3.7603569199999999E-2</v>
      </c>
      <c r="J50" s="83">
        <f t="shared" ca="1" si="13"/>
        <v>2533770.5076982402</v>
      </c>
      <c r="K50" s="57" t="str">
        <f ca="1">IFERROR(OFFSET(INDIRECT($H$3 &amp; "!A44"), 19, 0), "")</f>
        <v>오브스</v>
      </c>
      <c r="L50" s="37">
        <f t="shared" ca="1" si="9"/>
        <v>144</v>
      </c>
      <c r="M50" s="75">
        <f t="shared" ca="1" si="10"/>
        <v>6.9930069999999999E-3</v>
      </c>
      <c r="N50" s="83">
        <f t="shared" ca="1" si="14"/>
        <v>124701183.24000888</v>
      </c>
      <c r="O50" s="57" t="str">
        <f ca="1">IFERROR(OFFSET(INDIRECT($H$3 &amp; "!A71"), 19, 0), "")</f>
        <v>헌트</v>
      </c>
      <c r="P50" s="37">
        <f t="shared" ca="1" si="11"/>
        <v>322</v>
      </c>
      <c r="Q50" s="75">
        <f t="shared" ca="1" si="12"/>
        <v>-6.1728395E-3</v>
      </c>
      <c r="R50" s="83">
        <f t="shared" ca="1" si="15"/>
        <v>11457520.618681069</v>
      </c>
    </row>
    <row r="51" spans="1:18">
      <c r="A51" s="40" t="s">
        <v>197</v>
      </c>
      <c r="B51" s="11" t="s">
        <v>198</v>
      </c>
      <c r="C51" s="91">
        <v>24.1</v>
      </c>
      <c r="D51" s="88">
        <v>8.3682007999999995E-3</v>
      </c>
      <c r="E51" s="89">
        <v>837876363.30143321</v>
      </c>
      <c r="F51" s="35"/>
    </row>
    <row r="52" spans="1:18" ht="17.25" thickBot="1">
      <c r="A52" s="40" t="s">
        <v>56</v>
      </c>
      <c r="B52" s="11" t="s">
        <v>57</v>
      </c>
      <c r="C52" s="91">
        <v>395</v>
      </c>
      <c r="D52" s="88">
        <v>7.6530612000000001E-3</v>
      </c>
      <c r="E52" s="89">
        <v>52148362.994512878</v>
      </c>
      <c r="F52" s="35"/>
    </row>
    <row r="53" spans="1:18" ht="17.25" thickBot="1">
      <c r="A53" s="40" t="s">
        <v>133</v>
      </c>
      <c r="B53" s="11" t="s">
        <v>134</v>
      </c>
      <c r="C53" s="91">
        <v>144</v>
      </c>
      <c r="D53" s="88">
        <v>6.9930069999999999E-3</v>
      </c>
      <c r="E53" s="89">
        <v>124701183.24000888</v>
      </c>
      <c r="F53" s="35"/>
      <c r="G53" s="241" t="s">
        <v>285</v>
      </c>
      <c r="H53" s="242"/>
      <c r="I53" s="242"/>
      <c r="J53" s="243"/>
      <c r="K53" s="241" t="s">
        <v>288</v>
      </c>
      <c r="L53" s="242"/>
      <c r="M53" s="242"/>
      <c r="N53" s="243"/>
      <c r="O53" s="241" t="s">
        <v>289</v>
      </c>
      <c r="P53" s="242"/>
      <c r="Q53" s="242"/>
      <c r="R53" s="243"/>
    </row>
    <row r="54" spans="1:18" ht="17.25" thickBot="1">
      <c r="A54" s="40" t="s">
        <v>149</v>
      </c>
      <c r="B54" s="11" t="s">
        <v>150</v>
      </c>
      <c r="C54" s="91">
        <v>5050</v>
      </c>
      <c r="D54" s="88">
        <v>6.9790627999999997E-3</v>
      </c>
      <c r="E54" s="89">
        <v>4047993.8473964399</v>
      </c>
      <c r="F54" s="35"/>
      <c r="G54" s="306" t="s">
        <v>55</v>
      </c>
      <c r="H54" s="327">
        <f ca="1">NOW()</f>
        <v>44331.066325</v>
      </c>
      <c r="I54" s="328"/>
      <c r="J54" s="329"/>
      <c r="K54" s="318" t="s">
        <v>55</v>
      </c>
      <c r="L54" s="327">
        <f ca="1">NOW()</f>
        <v>44331.066325</v>
      </c>
      <c r="M54" s="328"/>
      <c r="N54" s="329"/>
      <c r="O54" s="318" t="s">
        <v>55</v>
      </c>
      <c r="P54" s="327">
        <f ca="1">NOW()</f>
        <v>44331.066325</v>
      </c>
      <c r="Q54" s="328"/>
      <c r="R54" s="329"/>
    </row>
    <row r="55" spans="1:18" ht="17.25" thickBot="1">
      <c r="A55" s="40" t="s">
        <v>77</v>
      </c>
      <c r="B55" s="11" t="s">
        <v>78</v>
      </c>
      <c r="C55" s="91">
        <v>1621000</v>
      </c>
      <c r="D55" s="88">
        <v>6.8322981000000001E-3</v>
      </c>
      <c r="E55" s="89">
        <v>209410.80966837</v>
      </c>
      <c r="F55" s="35"/>
      <c r="G55" s="303"/>
      <c r="H55" s="36" t="s">
        <v>58</v>
      </c>
      <c r="I55" s="69" t="s">
        <v>59</v>
      </c>
      <c r="J55" s="65" t="s">
        <v>294</v>
      </c>
      <c r="K55" s="303"/>
      <c r="L55" s="36" t="s">
        <v>58</v>
      </c>
      <c r="M55" s="69" t="s">
        <v>59</v>
      </c>
      <c r="N55" s="65" t="s">
        <v>294</v>
      </c>
      <c r="O55" s="303"/>
      <c r="P55" s="36" t="s">
        <v>58</v>
      </c>
      <c r="Q55" s="69" t="s">
        <v>59</v>
      </c>
      <c r="R55" s="65" t="s">
        <v>294</v>
      </c>
    </row>
    <row r="56" spans="1:18">
      <c r="A56" s="40" t="s">
        <v>263</v>
      </c>
      <c r="B56" s="11" t="s">
        <v>264</v>
      </c>
      <c r="C56" s="91">
        <v>149</v>
      </c>
      <c r="D56" s="88">
        <v>6.7567568000000003E-3</v>
      </c>
      <c r="E56" s="89">
        <v>11724992.88601849</v>
      </c>
      <c r="F56" s="35"/>
      <c r="G56" s="55" t="str">
        <f ca="1">IFERROR(OFFSET(INDIRECT($H$3 &amp; "!A179"), 0, 0), "")</f>
        <v>아르고</v>
      </c>
      <c r="H56" s="38">
        <f t="shared" ref="H56:H65" ca="1" si="16">_xlfn.IFNA(VLOOKUP(G56, $B$2:$D$200, 2, FALSE), "")</f>
        <v>305</v>
      </c>
      <c r="I56" s="72">
        <f t="shared" ref="I56:I65" ca="1" si="17">_xlfn.IFNA(VLOOKUP(G56, $B$2:$D$200, 3, FALSE), "")</f>
        <v>-6.5146580000000004E-3</v>
      </c>
      <c r="J56" s="81">
        <f ca="1">_xlfn.IFNA(VLOOKUP(G56, $B$2:$E$200, 4, FALSE), "")</f>
        <v>8650807.2852889095</v>
      </c>
      <c r="K56" s="55" t="str">
        <f ca="1">IFERROR(OFFSET(INDIRECT($H$3 &amp; "!A125"), 0, 0), "")</f>
        <v>메인프레임</v>
      </c>
      <c r="L56" s="38">
        <f t="shared" ref="L56:L75" ca="1" si="18">_xlfn.IFNA(VLOOKUP(K56, $B$2:$D$200, 2, FALSE), "")</f>
        <v>17.899999999999999</v>
      </c>
      <c r="M56" s="72">
        <f t="shared" ref="M56:M75" ca="1" si="19">_xlfn.IFNA(VLOOKUP(K56, $B$2:$D$200, 3, FALSE), "")</f>
        <v>2.2857142899999999E-2</v>
      </c>
      <c r="N56" s="81">
        <f ca="1">_xlfn.IFNA(VLOOKUP(K56, $B$2:$E$200, 4, FALSE), "")</f>
        <v>886528687.66298258</v>
      </c>
      <c r="O56" s="55" t="str">
        <f ca="1">IFERROR(OFFSET(INDIRECT($H$3 &amp; "!A152"), 0, 0), "")</f>
        <v>메타디움</v>
      </c>
      <c r="P56" s="38">
        <f t="shared" ref="P56:P75" ca="1" si="20">_xlfn.IFNA(VLOOKUP(O56, $B$2:$D$200, 2, FALSE), "")</f>
        <v>166</v>
      </c>
      <c r="Q56" s="72">
        <f t="shared" ref="Q56:Q75" ca="1" si="21">_xlfn.IFNA(VLOOKUP(O56, $B$2:$D$200, 3, FALSE), "")</f>
        <v>-2.35294118E-2</v>
      </c>
      <c r="R56" s="81">
        <f ca="1">_xlfn.IFNA(VLOOKUP(O56, $B$2:$E$200, 4, FALSE), "")</f>
        <v>81408120.424950466</v>
      </c>
    </row>
    <row r="57" spans="1:18">
      <c r="A57" s="40" t="s">
        <v>163</v>
      </c>
      <c r="B57" s="11" t="s">
        <v>164</v>
      </c>
      <c r="C57" s="91">
        <v>40770</v>
      </c>
      <c r="D57" s="88">
        <v>6.6666666999999997E-3</v>
      </c>
      <c r="E57" s="89">
        <v>1080829.04340528</v>
      </c>
      <c r="F57" s="35"/>
      <c r="G57" s="56" t="str">
        <f ca="1">IFERROR(OFFSET(INDIRECT($H$3 &amp; "!A179"), 1, 0), "")</f>
        <v>트론</v>
      </c>
      <c r="H57" s="39">
        <f t="shared" ca="1" si="16"/>
        <v>155</v>
      </c>
      <c r="I57" s="73">
        <f t="shared" ca="1" si="17"/>
        <v>1.30718954E-2</v>
      </c>
      <c r="J57" s="82">
        <f t="shared" ref="J57:J75" ca="1" si="22">_xlfn.IFNA(VLOOKUP(G57, $B$2:$E$200, 4, FALSE), "")</f>
        <v>499122448.51371592</v>
      </c>
      <c r="K57" s="56" t="str">
        <f ca="1">IFERROR(OFFSET(INDIRECT($H$3 &amp; "!A125"), 1, 0), "")</f>
        <v>람다</v>
      </c>
      <c r="L57" s="39">
        <f t="shared" ca="1" si="18"/>
        <v>79.5</v>
      </c>
      <c r="M57" s="73">
        <f t="shared" ca="1" si="19"/>
        <v>-2.0935960600000001E-2</v>
      </c>
      <c r="N57" s="82">
        <f t="shared" ref="N57:N75" ca="1" si="23">_xlfn.IFNA(VLOOKUP(K57, $B$2:$E$200, 4, FALSE), "")</f>
        <v>71029024.602476954</v>
      </c>
      <c r="O57" s="56" t="str">
        <f ca="1">IFERROR(OFFSET(INDIRECT($H$3 &amp; "!A152"), 1, 0), "")</f>
        <v>룸네트워크</v>
      </c>
      <c r="P57" s="39">
        <f t="shared" ca="1" si="20"/>
        <v>149</v>
      </c>
      <c r="Q57" s="73">
        <f t="shared" ca="1" si="21"/>
        <v>6.7567568000000003E-3</v>
      </c>
      <c r="R57" s="82">
        <f t="shared" ref="R57:R75" ca="1" si="24">_xlfn.IFNA(VLOOKUP(O57, $B$2:$E$200, 4, FALSE), "")</f>
        <v>11724992.88601849</v>
      </c>
    </row>
    <row r="58" spans="1:18">
      <c r="A58" s="40" t="s">
        <v>227</v>
      </c>
      <c r="B58" s="11" t="s">
        <v>228</v>
      </c>
      <c r="C58" s="91">
        <v>16</v>
      </c>
      <c r="D58" s="88">
        <v>6.2893081999999996E-3</v>
      </c>
      <c r="E58" s="89">
        <v>1016184979.178771</v>
      </c>
      <c r="F58" s="35"/>
      <c r="G58" s="56" t="str">
        <f ca="1">IFERROR(OFFSET(INDIRECT($H$3 &amp; "!A179"), 2, 0), "")</f>
        <v>비트코인골드</v>
      </c>
      <c r="H58" s="39">
        <f t="shared" ca="1" si="16"/>
        <v>124950</v>
      </c>
      <c r="I58" s="73">
        <f t="shared" ca="1" si="17"/>
        <v>4.4732441499999998E-2</v>
      </c>
      <c r="J58" s="82">
        <f t="shared" ca="1" si="22"/>
        <v>1054965.3293991601</v>
      </c>
      <c r="K58" s="56" t="str">
        <f ca="1">IFERROR(OFFSET(INDIRECT($H$3 &amp; "!A125"), 2, 0), "")</f>
        <v>스톰엑스</v>
      </c>
      <c r="L58" s="39">
        <f t="shared" ca="1" si="18"/>
        <v>52</v>
      </c>
      <c r="M58" s="73">
        <f t="shared" ca="1" si="19"/>
        <v>5.9063136500000002E-2</v>
      </c>
      <c r="N58" s="82">
        <f t="shared" ca="1" si="23"/>
        <v>365576675.54781848</v>
      </c>
      <c r="O58" s="56" t="str">
        <f ca="1">IFERROR(OFFSET(INDIRECT($H$3 &amp; "!A152"), 2, 0), "")</f>
        <v>앵커</v>
      </c>
      <c r="P58" s="39">
        <f t="shared" ca="1" si="20"/>
        <v>174</v>
      </c>
      <c r="Q58" s="73">
        <f t="shared" ca="1" si="21"/>
        <v>1.75438596E-2</v>
      </c>
      <c r="R58" s="82">
        <f t="shared" ca="1" si="24"/>
        <v>37979187.945613332</v>
      </c>
    </row>
    <row r="59" spans="1:18">
      <c r="A59" s="40" t="s">
        <v>195</v>
      </c>
      <c r="B59" s="11" t="s">
        <v>196</v>
      </c>
      <c r="C59" s="91">
        <v>17.8</v>
      </c>
      <c r="D59" s="88">
        <v>5.6497175E-3</v>
      </c>
      <c r="E59" s="89">
        <v>442145925.15253943</v>
      </c>
      <c r="F59" s="35"/>
      <c r="G59" s="56" t="str">
        <f ca="1">IFERROR(OFFSET(INDIRECT($H$3 &amp; "!A179"), 3, 0), "")</f>
        <v>무비블록</v>
      </c>
      <c r="H59" s="39">
        <f t="shared" ca="1" si="16"/>
        <v>16</v>
      </c>
      <c r="I59" s="73">
        <f t="shared" ca="1" si="17"/>
        <v>6.2893081999999996E-3</v>
      </c>
      <c r="J59" s="82">
        <f t="shared" ca="1" si="22"/>
        <v>1016184979.178771</v>
      </c>
      <c r="K59" s="56" t="str">
        <f ca="1">IFERROR(OFFSET(INDIRECT($H$3 &amp; "!A125"), 3, 0), "")</f>
        <v>에스티피</v>
      </c>
      <c r="L59" s="39">
        <f t="shared" ca="1" si="18"/>
        <v>85.5</v>
      </c>
      <c r="M59" s="73">
        <f t="shared" ca="1" si="19"/>
        <v>1.1709602E-3</v>
      </c>
      <c r="N59" s="82">
        <f t="shared" ca="1" si="23"/>
        <v>29550400.21772825</v>
      </c>
      <c r="O59" s="56" t="str">
        <f ca="1">IFERROR(OFFSET(INDIRECT($H$3 &amp; "!A152"), 3, 0), "")</f>
        <v>넴</v>
      </c>
      <c r="P59" s="39">
        <f t="shared" ca="1" si="20"/>
        <v>395</v>
      </c>
      <c r="Q59" s="73">
        <f t="shared" ca="1" si="21"/>
        <v>7.6530612000000001E-3</v>
      </c>
      <c r="R59" s="82">
        <f t="shared" ca="1" si="24"/>
        <v>52148362.994512878</v>
      </c>
    </row>
    <row r="60" spans="1:18">
      <c r="A60" s="40" t="s">
        <v>153</v>
      </c>
      <c r="B60" s="11" t="s">
        <v>154</v>
      </c>
      <c r="C60" s="91">
        <v>17.8</v>
      </c>
      <c r="D60" s="88">
        <v>5.6497175E-3</v>
      </c>
      <c r="E60" s="89">
        <v>879419950.49827492</v>
      </c>
      <c r="F60" s="35"/>
      <c r="G60" s="56" t="str">
        <f ca="1">IFERROR(OFFSET(INDIRECT($H$3 &amp; "!A179"), 4, 0), "")</f>
        <v>그로스톨코인</v>
      </c>
      <c r="H60" s="39">
        <f t="shared" ca="1" si="16"/>
        <v>1520</v>
      </c>
      <c r="I60" s="73">
        <f t="shared" ca="1" si="17"/>
        <v>-1.6181229799999999E-2</v>
      </c>
      <c r="J60" s="86">
        <f t="shared" ca="1" si="22"/>
        <v>4810460.5312992204</v>
      </c>
      <c r="K60" s="58" t="str">
        <f ca="1">IFERROR(OFFSET(INDIRECT($H$3 &amp; "!A125"), 4, 0), "")</f>
        <v>에브리피디아</v>
      </c>
      <c r="L60" s="44">
        <f t="shared" ca="1" si="18"/>
        <v>23.4</v>
      </c>
      <c r="M60" s="74">
        <f t="shared" ca="1" si="19"/>
        <v>0.1090047393</v>
      </c>
      <c r="N60" s="86">
        <f t="shared" ca="1" si="23"/>
        <v>5582370232.6251097</v>
      </c>
      <c r="O60" s="58" t="str">
        <f ca="1">IFERROR(OFFSET(INDIRECT($H$3 &amp; "!A152"), 4, 0), "")</f>
        <v>피르마체인</v>
      </c>
      <c r="P60" s="44">
        <f t="shared" ca="1" si="20"/>
        <v>165</v>
      </c>
      <c r="Q60" s="74">
        <f t="shared" ca="1" si="21"/>
        <v>-6.0240963999999998E-3</v>
      </c>
      <c r="R60" s="86">
        <f t="shared" ca="1" si="24"/>
        <v>30793942.355077829</v>
      </c>
    </row>
    <row r="61" spans="1:18">
      <c r="A61" s="40" t="s">
        <v>205</v>
      </c>
      <c r="B61" s="11" t="s">
        <v>206</v>
      </c>
      <c r="C61" s="91">
        <v>30670</v>
      </c>
      <c r="D61" s="88">
        <v>5.5737705000000002E-3</v>
      </c>
      <c r="E61" s="89">
        <v>319443.71203171997</v>
      </c>
      <c r="F61" s="35"/>
      <c r="G61" s="60" t="str">
        <f ca="1">IFERROR(OFFSET(INDIRECT($H$3 &amp; "!A179"), 5, 0), "")</f>
        <v>스팀달러</v>
      </c>
      <c r="H61" s="45">
        <f t="shared" ca="1" si="16"/>
        <v>7675</v>
      </c>
      <c r="I61" s="76">
        <f t="shared" ca="1" si="17"/>
        <v>9.2044707E-3</v>
      </c>
      <c r="J61" s="95">
        <f t="shared" ca="1" si="22"/>
        <v>279693.46910803003</v>
      </c>
      <c r="K61" s="56" t="str">
        <f ca="1">IFERROR(OFFSET(INDIRECT($H$3 &amp; "!A125"), 5, 0), "")</f>
        <v>아이오에스티</v>
      </c>
      <c r="L61" s="39">
        <f t="shared" ca="1" si="18"/>
        <v>64.400000000000006</v>
      </c>
      <c r="M61" s="73">
        <f t="shared" ca="1" si="19"/>
        <v>1.0989011E-2</v>
      </c>
      <c r="N61" s="95">
        <f t="shared" ca="1" si="23"/>
        <v>162485202.18962064</v>
      </c>
      <c r="O61" s="56" t="str">
        <f ca="1">IFERROR(OFFSET(INDIRECT($H$3 &amp; "!A152"), 5, 0), "")</f>
        <v>엘프</v>
      </c>
      <c r="P61" s="39">
        <f t="shared" ca="1" si="20"/>
        <v>499</v>
      </c>
      <c r="Q61" s="73">
        <f t="shared" ca="1" si="21"/>
        <v>-5.9760956E-3</v>
      </c>
      <c r="R61" s="95">
        <f t="shared" ca="1" si="24"/>
        <v>2823852.1009158399</v>
      </c>
    </row>
    <row r="62" spans="1:18">
      <c r="A62" s="40" t="s">
        <v>167</v>
      </c>
      <c r="B62" s="11" t="s">
        <v>168</v>
      </c>
      <c r="C62" s="91">
        <v>201</v>
      </c>
      <c r="D62" s="88">
        <v>5.0000000000000001E-3</v>
      </c>
      <c r="E62" s="89">
        <v>176423203.51830372</v>
      </c>
      <c r="F62" s="35"/>
      <c r="G62" s="56" t="str">
        <f ca="1">IFERROR(OFFSET(INDIRECT($H$3 &amp; "!A179"), 6, 0), "")</f>
        <v>알파쿼크</v>
      </c>
      <c r="H62" s="39">
        <f t="shared" ca="1" si="16"/>
        <v>5870</v>
      </c>
      <c r="I62" s="73">
        <f t="shared" ca="1" si="17"/>
        <v>1.64502165E-2</v>
      </c>
      <c r="J62" s="82">
        <f t="shared" ca="1" si="22"/>
        <v>654179.78591653996</v>
      </c>
      <c r="K62" s="56" t="str">
        <f ca="1">IFERROR(OFFSET(INDIRECT($H$3 &amp; "!A125"), 6, 0), "")</f>
        <v>시아코인</v>
      </c>
      <c r="L62" s="39">
        <f t="shared" ca="1" si="18"/>
        <v>39.9</v>
      </c>
      <c r="M62" s="73">
        <f t="shared" ca="1" si="19"/>
        <v>2.8350515499999999E-2</v>
      </c>
      <c r="N62" s="82">
        <f t="shared" ca="1" si="23"/>
        <v>399998890.475932</v>
      </c>
      <c r="O62" s="56" t="str">
        <f ca="1">IFERROR(OFFSET(INDIRECT($H$3 &amp; "!A152"), 6, 0), "")</f>
        <v>저스트</v>
      </c>
      <c r="P62" s="39">
        <f t="shared" ca="1" si="20"/>
        <v>140</v>
      </c>
      <c r="Q62" s="73">
        <f t="shared" ca="1" si="21"/>
        <v>0</v>
      </c>
      <c r="R62" s="82">
        <f t="shared" ca="1" si="24"/>
        <v>17374559.371776141</v>
      </c>
    </row>
    <row r="63" spans="1:18">
      <c r="A63" s="40" t="s">
        <v>217</v>
      </c>
      <c r="B63" s="11" t="s">
        <v>218</v>
      </c>
      <c r="C63" s="91">
        <v>23.6</v>
      </c>
      <c r="D63" s="88">
        <v>4.2553191000000001E-3</v>
      </c>
      <c r="E63" s="89">
        <v>590506321.78551507</v>
      </c>
      <c r="F63" s="35"/>
      <c r="G63" s="56" t="str">
        <f ca="1">IFERROR(OFFSET(INDIRECT($H$3 &amp; "!A179"), 7, 0), "")</f>
        <v>퀀텀</v>
      </c>
      <c r="H63" s="39">
        <f t="shared" ca="1" si="16"/>
        <v>26720</v>
      </c>
      <c r="I63" s="73">
        <f t="shared" ca="1" si="17"/>
        <v>1.44267274E-2</v>
      </c>
      <c r="J63" s="82">
        <f t="shared" ca="1" si="22"/>
        <v>11142368.881315701</v>
      </c>
      <c r="K63" s="56" t="str">
        <f ca="1">IFERROR(OFFSET(INDIRECT($H$3 &amp; "!A125"), 7, 0), "")</f>
        <v>쿼크체인</v>
      </c>
      <c r="L63" s="39">
        <f t="shared" ca="1" si="18"/>
        <v>31.7</v>
      </c>
      <c r="M63" s="73">
        <f t="shared" ca="1" si="19"/>
        <v>-1.5527950299999999E-2</v>
      </c>
      <c r="N63" s="82">
        <f t="shared" ca="1" si="23"/>
        <v>111732153.17817686</v>
      </c>
      <c r="O63" s="56" t="str">
        <f ca="1">IFERROR(OFFSET(INDIRECT($H$3 &amp; "!A152"), 7, 0), "")</f>
        <v>엘비알와이크레딧</v>
      </c>
      <c r="P63" s="39">
        <f t="shared" ca="1" si="20"/>
        <v>179</v>
      </c>
      <c r="Q63" s="73">
        <f t="shared" ca="1" si="21"/>
        <v>1.7045454500000001E-2</v>
      </c>
      <c r="R63" s="82">
        <f t="shared" ca="1" si="24"/>
        <v>11878779.04254951</v>
      </c>
    </row>
    <row r="64" spans="1:18">
      <c r="A64" s="40" t="s">
        <v>159</v>
      </c>
      <c r="B64" s="11" t="s">
        <v>160</v>
      </c>
      <c r="C64" s="91">
        <v>2615</v>
      </c>
      <c r="D64" s="88">
        <v>3.8387716000000001E-3</v>
      </c>
      <c r="E64" s="89">
        <v>2943299.0695276</v>
      </c>
      <c r="F64" s="35"/>
      <c r="G64" s="56" t="str">
        <f ca="1">IFERROR(OFFSET(INDIRECT($H$3 &amp; "!A179"), 8, 0), "")</f>
        <v>코모도</v>
      </c>
      <c r="H64" s="39">
        <f t="shared" ca="1" si="16"/>
        <v>3170</v>
      </c>
      <c r="I64" s="73">
        <f t="shared" ca="1" si="17"/>
        <v>1.6025641E-2</v>
      </c>
      <c r="J64" s="82">
        <f t="shared" ca="1" si="22"/>
        <v>3491902.2867374099</v>
      </c>
      <c r="K64" s="56" t="str">
        <f ca="1">IFERROR(OFFSET(INDIRECT($H$3 &amp; "!A125"), 8, 0), "")</f>
        <v>퀴즈톡</v>
      </c>
      <c r="L64" s="39">
        <f t="shared" ca="1" si="18"/>
        <v>72.900000000000006</v>
      </c>
      <c r="M64" s="73">
        <f t="shared" ca="1" si="19"/>
        <v>-4.0983607000000003E-3</v>
      </c>
      <c r="N64" s="82">
        <f t="shared" ca="1" si="23"/>
        <v>63141356.09417893</v>
      </c>
      <c r="O64" s="56" t="str">
        <f ca="1">IFERROR(OFFSET(INDIRECT($H$3 &amp; "!A152"), 8, 0), "")</f>
        <v>센티넬프로토콜</v>
      </c>
      <c r="P64" s="39">
        <f t="shared" ca="1" si="20"/>
        <v>150</v>
      </c>
      <c r="Q64" s="73">
        <f t="shared" ca="1" si="21"/>
        <v>1.3513513499999999E-2</v>
      </c>
      <c r="R64" s="82">
        <f t="shared" ca="1" si="24"/>
        <v>74702205.03641288</v>
      </c>
    </row>
    <row r="65" spans="1:18" ht="17.25" thickBot="1">
      <c r="A65" s="40" t="s">
        <v>129</v>
      </c>
      <c r="B65" s="11" t="s">
        <v>130</v>
      </c>
      <c r="C65" s="91">
        <v>404600</v>
      </c>
      <c r="D65" s="88">
        <v>3.7211610000000002E-3</v>
      </c>
      <c r="E65" s="89">
        <v>253520.17566430001</v>
      </c>
      <c r="F65" s="35"/>
      <c r="G65" s="57" t="str">
        <f ca="1">IFERROR(OFFSET(INDIRECT($H$3 &amp; "!A179"), 9, 0), "")</f>
        <v>밀크</v>
      </c>
      <c r="H65" s="37">
        <f t="shared" ca="1" si="16"/>
        <v>1930</v>
      </c>
      <c r="I65" s="75">
        <f t="shared" ca="1" si="17"/>
        <v>1.8469657E-2</v>
      </c>
      <c r="J65" s="83">
        <f t="shared" ca="1" si="22"/>
        <v>32856997.15323884</v>
      </c>
      <c r="K65" s="57" t="str">
        <f ca="1">IFERROR(OFFSET(INDIRECT($H$3 &amp; "!A125"), 9, 0), "")</f>
        <v>아하토큰</v>
      </c>
      <c r="L65" s="37">
        <f t="shared" ca="1" si="18"/>
        <v>16.100000000000001</v>
      </c>
      <c r="M65" s="75">
        <f t="shared" ca="1" si="19"/>
        <v>1.2578616399999999E-2</v>
      </c>
      <c r="N65" s="83">
        <f t="shared" ca="1" si="23"/>
        <v>543996404.07514226</v>
      </c>
      <c r="O65" s="57" t="str">
        <f ca="1">IFERROR(OFFSET(INDIRECT($H$3 &amp; "!A152"), 9, 0), "")</f>
        <v>아더</v>
      </c>
      <c r="P65" s="37">
        <f t="shared" ca="1" si="20"/>
        <v>422</v>
      </c>
      <c r="Q65" s="75">
        <f t="shared" ca="1" si="21"/>
        <v>3.6855036899999999E-2</v>
      </c>
      <c r="R65" s="83">
        <f t="shared" ca="1" si="24"/>
        <v>16383886.06476219</v>
      </c>
    </row>
    <row r="66" spans="1:18">
      <c r="A66" s="40" t="s">
        <v>103</v>
      </c>
      <c r="B66" s="11" t="s">
        <v>104</v>
      </c>
      <c r="C66" s="91">
        <v>2700</v>
      </c>
      <c r="D66" s="88">
        <v>3.7174720999999999E-3</v>
      </c>
      <c r="E66" s="89">
        <v>14138486.846118569</v>
      </c>
      <c r="F66" s="35"/>
      <c r="G66" s="56" t="str">
        <f ca="1">IFERROR(OFFSET(INDIRECT($H$3 &amp; "!A179"), 10, 0), "")</f>
        <v>비트코인</v>
      </c>
      <c r="H66" s="38">
        <f t="shared" ref="H66:H75" ca="1" si="25">_xlfn.IFNA(VLOOKUP(G66, $B$2:$D$200, 2, FALSE), "")</f>
        <v>62017000</v>
      </c>
      <c r="I66" s="72">
        <f t="shared" ref="I66:I75" ca="1" si="26">_xlfn.IFNA(VLOOKUP(G66, $B$2:$D$200, 3, FALSE), "")</f>
        <v>-1.6680144000000001E-2</v>
      </c>
      <c r="J66" s="81">
        <f t="shared" ca="1" si="22"/>
        <v>9821.6624259599994</v>
      </c>
      <c r="K66" s="55" t="str">
        <f ca="1">IFERROR(OFFSET(INDIRECT($H$3 &amp; "!A125"), 10, 0), "")</f>
        <v>비트토렌트</v>
      </c>
      <c r="L66" s="38">
        <f t="shared" ca="1" si="18"/>
        <v>7.53</v>
      </c>
      <c r="M66" s="72">
        <f t="shared" ca="1" si="19"/>
        <v>-1.3262599000000001E-3</v>
      </c>
      <c r="N66" s="81">
        <f t="shared" ca="1" si="23"/>
        <v>23167713110.493984</v>
      </c>
      <c r="O66" s="55" t="str">
        <f ca="1">IFERROR(OFFSET(INDIRECT($H$3 &amp; "!A152"), 10, 0), "")</f>
        <v>이그니스</v>
      </c>
      <c r="P66" s="38">
        <f t="shared" ca="1" si="20"/>
        <v>149</v>
      </c>
      <c r="Q66" s="72">
        <f t="shared" ca="1" si="21"/>
        <v>-6.6666666999999997E-3</v>
      </c>
      <c r="R66" s="81">
        <f t="shared" ca="1" si="24"/>
        <v>21117797.253901899</v>
      </c>
    </row>
    <row r="67" spans="1:18">
      <c r="A67" s="40" t="s">
        <v>157</v>
      </c>
      <c r="B67" s="11" t="s">
        <v>158</v>
      </c>
      <c r="C67" s="91">
        <v>8860</v>
      </c>
      <c r="D67" s="88">
        <v>3.3975085000000002E-3</v>
      </c>
      <c r="E67" s="89">
        <v>643653.86939255998</v>
      </c>
      <c r="F67" s="35"/>
      <c r="G67" s="56" t="str">
        <f ca="1">IFERROR(OFFSET(INDIRECT($H$3 &amp; "!A179"), 11, 0), "")</f>
        <v>웨이브</v>
      </c>
      <c r="H67" s="39">
        <f t="shared" ca="1" si="25"/>
        <v>40770</v>
      </c>
      <c r="I67" s="73">
        <f t="shared" ca="1" si="26"/>
        <v>6.6666666999999997E-3</v>
      </c>
      <c r="J67" s="82">
        <f t="shared" ca="1" si="22"/>
        <v>1080829.04340528</v>
      </c>
      <c r="K67" s="56" t="str">
        <f ca="1">IFERROR(OFFSET(INDIRECT($H$3 &amp; "!A125"), 11, 0), "")</f>
        <v>엠블</v>
      </c>
      <c r="L67" s="39">
        <f t="shared" ca="1" si="18"/>
        <v>24.1</v>
      </c>
      <c r="M67" s="73">
        <f t="shared" ca="1" si="19"/>
        <v>8.3682007999999995E-3</v>
      </c>
      <c r="N67" s="82">
        <f t="shared" ca="1" si="23"/>
        <v>837876363.30143321</v>
      </c>
      <c r="O67" s="56" t="str">
        <f ca="1">IFERROR(OFFSET(INDIRECT($H$3 &amp; "!A152"), 11, 0), "")</f>
        <v>디카르고</v>
      </c>
      <c r="P67" s="39">
        <f t="shared" ca="1" si="20"/>
        <v>230</v>
      </c>
      <c r="Q67" s="73">
        <f t="shared" ca="1" si="21"/>
        <v>-1.28755365E-2</v>
      </c>
      <c r="R67" s="82">
        <f t="shared" ca="1" si="24"/>
        <v>58014855.504743852</v>
      </c>
    </row>
    <row r="68" spans="1:18">
      <c r="A68" s="40" t="s">
        <v>243</v>
      </c>
      <c r="B68" s="11" t="s">
        <v>244</v>
      </c>
      <c r="C68" s="91">
        <v>3060</v>
      </c>
      <c r="D68" s="88">
        <v>3.2786884999999998E-3</v>
      </c>
      <c r="E68" s="89">
        <v>5320923.4820248801</v>
      </c>
      <c r="F68" s="35"/>
      <c r="G68" s="56" t="str">
        <f ca="1">IFERROR(OFFSET(INDIRECT($H$3 &amp; "!A179"), 12, 0), "")</f>
        <v>이더리움</v>
      </c>
      <c r="H68" s="39">
        <f t="shared" ca="1" si="25"/>
        <v>4977000</v>
      </c>
      <c r="I68" s="73">
        <f t="shared" ca="1" si="26"/>
        <v>5.4225799599999999E-2</v>
      </c>
      <c r="J68" s="82">
        <f t="shared" ca="1" si="22"/>
        <v>173427.81567677</v>
      </c>
      <c r="K68" s="56" t="str">
        <f ca="1">IFERROR(OFFSET(INDIRECT($H$3 &amp; "!A125"), 12, 0), "")</f>
        <v>썬더토큰</v>
      </c>
      <c r="L68" s="39">
        <f t="shared" ca="1" si="18"/>
        <v>17.8</v>
      </c>
      <c r="M68" s="73">
        <f t="shared" ca="1" si="19"/>
        <v>5.6497175E-3</v>
      </c>
      <c r="N68" s="82">
        <f t="shared" ca="1" si="23"/>
        <v>442145925.15253943</v>
      </c>
      <c r="O68" s="56" t="str">
        <f ca="1">IFERROR(OFFSET(INDIRECT($H$3 &amp; "!A152"), 12, 0), "")</f>
        <v>스텔라루멘</v>
      </c>
      <c r="P68" s="39">
        <f t="shared" ca="1" si="20"/>
        <v>818</v>
      </c>
      <c r="Q68" s="73">
        <f t="shared" ca="1" si="21"/>
        <v>-7.2815533999999998E-3</v>
      </c>
      <c r="R68" s="82">
        <f t="shared" ca="1" si="24"/>
        <v>197984411.8620435</v>
      </c>
    </row>
    <row r="69" spans="1:18">
      <c r="A69" s="40" t="s">
        <v>113</v>
      </c>
      <c r="B69" s="11" t="s">
        <v>114</v>
      </c>
      <c r="C69" s="91">
        <v>12420</v>
      </c>
      <c r="D69" s="88">
        <v>3.2310177999999999E-3</v>
      </c>
      <c r="E69" s="89">
        <v>1439172.8603421799</v>
      </c>
      <c r="F69" s="35"/>
      <c r="G69" s="56" t="str">
        <f ca="1">IFERROR(OFFSET(INDIRECT($H$3 &amp; "!A179"), 13, 0), "")</f>
        <v>리스크</v>
      </c>
      <c r="H69" s="39">
        <f t="shared" ca="1" si="25"/>
        <v>9115</v>
      </c>
      <c r="I69" s="73">
        <f t="shared" ca="1" si="26"/>
        <v>1.61649944E-2</v>
      </c>
      <c r="J69" s="82">
        <f t="shared" ca="1" si="22"/>
        <v>4907282.5162187302</v>
      </c>
      <c r="K69" s="56" t="str">
        <f ca="1">IFERROR(OFFSET(INDIRECT($H$3 &amp; "!A125"), 13, 0), "")</f>
        <v>옵저버</v>
      </c>
      <c r="L69" s="39">
        <f t="shared" ca="1" si="18"/>
        <v>23.6</v>
      </c>
      <c r="M69" s="73">
        <f t="shared" ca="1" si="19"/>
        <v>4.2553191000000001E-3</v>
      </c>
      <c r="N69" s="82">
        <f t="shared" ca="1" si="23"/>
        <v>590506321.78551507</v>
      </c>
      <c r="O69" s="56" t="str">
        <f ca="1">IFERROR(OFFSET(INDIRECT($H$3 &amp; "!A152"), 13, 0), "")</f>
        <v>메디블록</v>
      </c>
      <c r="P69" s="39">
        <f t="shared" ca="1" si="20"/>
        <v>127</v>
      </c>
      <c r="Q69" s="73">
        <f t="shared" ca="1" si="21"/>
        <v>0</v>
      </c>
      <c r="R69" s="82">
        <f t="shared" ca="1" si="24"/>
        <v>376587060.76465201</v>
      </c>
    </row>
    <row r="70" spans="1:18">
      <c r="A70" s="40" t="s">
        <v>161</v>
      </c>
      <c r="B70" s="11" t="s">
        <v>162</v>
      </c>
      <c r="C70" s="91">
        <v>1765</v>
      </c>
      <c r="D70" s="88">
        <v>2.8409091E-3</v>
      </c>
      <c r="E70" s="89">
        <v>13734893.2967724</v>
      </c>
      <c r="F70" s="35"/>
      <c r="G70" s="56" t="str">
        <f ca="1">IFERROR(OFFSET(INDIRECT($H$3 &amp; "!A179"), 14, 0), "")</f>
        <v>스트라티스</v>
      </c>
      <c r="H70" s="39">
        <f t="shared" ca="1" si="25"/>
        <v>4365</v>
      </c>
      <c r="I70" s="73">
        <f t="shared" ca="1" si="26"/>
        <v>-3.4292035399999997E-2</v>
      </c>
      <c r="J70" s="86">
        <f t="shared" ca="1" si="22"/>
        <v>2615067.1949725798</v>
      </c>
      <c r="K70" s="58" t="str">
        <f ca="1">IFERROR(OFFSET(INDIRECT($H$3 &amp; "!A125"), 14, 0), "")</f>
        <v>캐리프로토콜</v>
      </c>
      <c r="L70" s="44">
        <f t="shared" ca="1" si="18"/>
        <v>17.8</v>
      </c>
      <c r="M70" s="74">
        <f t="shared" ca="1" si="19"/>
        <v>5.6497175E-3</v>
      </c>
      <c r="N70" s="86">
        <f t="shared" ca="1" si="23"/>
        <v>879419950.49827492</v>
      </c>
      <c r="O70" s="58" t="str">
        <f ca="1">IFERROR(OFFSET(INDIRECT($H$3 &amp; "!A152"), 14, 0), "")</f>
        <v>스테이터스네트워크토큰</v>
      </c>
      <c r="P70" s="44">
        <f t="shared" ca="1" si="20"/>
        <v>201</v>
      </c>
      <c r="Q70" s="74">
        <f t="shared" ca="1" si="21"/>
        <v>5.0000000000000001E-3</v>
      </c>
      <c r="R70" s="86">
        <f t="shared" ca="1" si="24"/>
        <v>176423203.51830372</v>
      </c>
    </row>
    <row r="71" spans="1:18">
      <c r="A71" s="40" t="s">
        <v>265</v>
      </c>
      <c r="B71" s="11" t="s">
        <v>266</v>
      </c>
      <c r="C71" s="91">
        <v>85.5</v>
      </c>
      <c r="D71" s="88">
        <v>1.1709602E-3</v>
      </c>
      <c r="E71" s="89">
        <v>29550400.21772825</v>
      </c>
      <c r="F71" s="35"/>
      <c r="G71" s="60" t="str">
        <f ca="1">IFERROR(OFFSET(INDIRECT($H$3 &amp; "!A179"), 15, 0), "")</f>
        <v>이오스</v>
      </c>
      <c r="H71" s="45">
        <f t="shared" ca="1" si="25"/>
        <v>13770</v>
      </c>
      <c r="I71" s="76">
        <f t="shared" ca="1" si="26"/>
        <v>2.4553571400000002E-2</v>
      </c>
      <c r="J71" s="95">
        <f t="shared" ca="1" si="22"/>
        <v>73915056.903521061</v>
      </c>
      <c r="K71" s="56" t="str">
        <f ca="1">IFERROR(OFFSET(INDIRECT($H$3 &amp; "!A125"), 15, 0), "")</f>
        <v>리퍼리움</v>
      </c>
      <c r="L71" s="39">
        <f t="shared" ca="1" si="18"/>
        <v>19.5</v>
      </c>
      <c r="M71" s="73">
        <f t="shared" ca="1" si="19"/>
        <v>-1.51515152E-2</v>
      </c>
      <c r="N71" s="95">
        <f t="shared" ca="1" si="23"/>
        <v>975682420.6807251</v>
      </c>
      <c r="O71" s="56" t="str">
        <f ca="1">IFERROR(OFFSET(INDIRECT($H$3 &amp; "!A152"), 15, 0), "")</f>
        <v>아인스타이늄</v>
      </c>
      <c r="P71" s="39">
        <f t="shared" ca="1" si="20"/>
        <v>446</v>
      </c>
      <c r="Q71" s="73">
        <f t="shared" ca="1" si="21"/>
        <v>-2.6200873400000001E-2</v>
      </c>
      <c r="R71" s="95">
        <f t="shared" ca="1" si="24"/>
        <v>14154392.463964051</v>
      </c>
    </row>
    <row r="72" spans="1:18">
      <c r="A72" s="40" t="s">
        <v>60</v>
      </c>
      <c r="B72" s="11" t="s">
        <v>61</v>
      </c>
      <c r="C72" s="91">
        <v>1595</v>
      </c>
      <c r="D72" s="88">
        <v>0</v>
      </c>
      <c r="E72" s="89">
        <v>22609081.119186141</v>
      </c>
      <c r="F72" s="35"/>
      <c r="G72" s="56" t="str">
        <f ca="1">IFERROR(OFFSET(INDIRECT($H$3 &amp; "!A179"), 16, 0), "")</f>
        <v>엔도르</v>
      </c>
      <c r="H72" s="39">
        <f t="shared" ca="1" si="25"/>
        <v>69.099999999999994</v>
      </c>
      <c r="I72" s="73">
        <f t="shared" ca="1" si="26"/>
        <v>-4.2936288099999997E-2</v>
      </c>
      <c r="J72" s="82">
        <f t="shared" ca="1" si="22"/>
        <v>258356852.77407247</v>
      </c>
      <c r="K72" s="56" t="str">
        <f ca="1">IFERROR(OFFSET(INDIRECT($H$3 &amp; "!A125"), 16, 0), "")</f>
        <v>무비블록</v>
      </c>
      <c r="L72" s="39">
        <f t="shared" ca="1" si="18"/>
        <v>16</v>
      </c>
      <c r="M72" s="73">
        <f t="shared" ca="1" si="19"/>
        <v>6.2893081999999996E-3</v>
      </c>
      <c r="N72" s="82">
        <f t="shared" ca="1" si="23"/>
        <v>1016184979.178771</v>
      </c>
      <c r="O72" s="56" t="str">
        <f ca="1">IFERROR(OFFSET(INDIRECT($H$3 &amp; "!A152"), 16, 0), "")</f>
        <v>아르고</v>
      </c>
      <c r="P72" s="39">
        <f t="shared" ca="1" si="20"/>
        <v>305</v>
      </c>
      <c r="Q72" s="73">
        <f t="shared" ca="1" si="21"/>
        <v>-6.5146580000000004E-3</v>
      </c>
      <c r="R72" s="82">
        <f t="shared" ca="1" si="24"/>
        <v>8650807.2852889095</v>
      </c>
    </row>
    <row r="73" spans="1:18">
      <c r="A73" s="40" t="s">
        <v>211</v>
      </c>
      <c r="B73" s="11" t="s">
        <v>212</v>
      </c>
      <c r="C73" s="91">
        <v>127</v>
      </c>
      <c r="D73" s="88">
        <v>0</v>
      </c>
      <c r="E73" s="89">
        <v>376587060.76465201</v>
      </c>
      <c r="F73" s="35"/>
      <c r="G73" s="56" t="str">
        <f ca="1">IFERROR(OFFSET(INDIRECT($H$3 &amp; "!A179"), 17, 0), "")</f>
        <v>마로</v>
      </c>
      <c r="H73" s="39">
        <f t="shared" ca="1" si="25"/>
        <v>450</v>
      </c>
      <c r="I73" s="73">
        <f t="shared" ca="1" si="26"/>
        <v>-5.6603773599999997E-2</v>
      </c>
      <c r="J73" s="82">
        <f t="shared" ca="1" si="22"/>
        <v>131864115.370061</v>
      </c>
      <c r="K73" s="56" t="str">
        <f ca="1">IFERROR(OFFSET(INDIRECT($H$3 &amp; "!A125"), 17, 0), "")</f>
        <v>엔도르</v>
      </c>
      <c r="L73" s="39">
        <f t="shared" ca="1" si="18"/>
        <v>69.099999999999994</v>
      </c>
      <c r="M73" s="73">
        <f t="shared" ca="1" si="19"/>
        <v>-4.2936288099999997E-2</v>
      </c>
      <c r="N73" s="82">
        <f t="shared" ca="1" si="23"/>
        <v>258356852.77407247</v>
      </c>
      <c r="O73" s="56" t="str">
        <f ca="1">IFERROR(OFFSET(INDIRECT($H$3 &amp; "!A152"), 17, 0), "")</f>
        <v>트론</v>
      </c>
      <c r="P73" s="39">
        <f t="shared" ca="1" si="20"/>
        <v>155</v>
      </c>
      <c r="Q73" s="73">
        <f t="shared" ca="1" si="21"/>
        <v>1.30718954E-2</v>
      </c>
      <c r="R73" s="82">
        <f t="shared" ca="1" si="24"/>
        <v>499122448.51371592</v>
      </c>
    </row>
    <row r="74" spans="1:18">
      <c r="A74" s="40" t="s">
        <v>97</v>
      </c>
      <c r="B74" s="11" t="s">
        <v>98</v>
      </c>
      <c r="C74" s="91">
        <v>7700</v>
      </c>
      <c r="D74" s="88">
        <v>0</v>
      </c>
      <c r="E74" s="89">
        <v>2385686.6363146501</v>
      </c>
      <c r="F74" s="35"/>
      <c r="G74" s="56" t="str">
        <f ca="1">IFERROR(OFFSET(INDIRECT($H$3 &amp; "!A179"), 18, 0), "")</f>
        <v>트웰브쉽스</v>
      </c>
      <c r="H74" s="39">
        <f t="shared" ca="1" si="25"/>
        <v>23</v>
      </c>
      <c r="I74" s="73">
        <f t="shared" ca="1" si="26"/>
        <v>-5.7377049200000002E-2</v>
      </c>
      <c r="J74" s="82">
        <f t="shared" ca="1" si="22"/>
        <v>567156568.63214648</v>
      </c>
      <c r="K74" s="56" t="str">
        <f ca="1">IFERROR(OFFSET(INDIRECT($H$3 &amp; "!A125"), 18, 0), "")</f>
        <v>트웰브쉽스</v>
      </c>
      <c r="L74" s="39">
        <f t="shared" ca="1" si="18"/>
        <v>23</v>
      </c>
      <c r="M74" s="73">
        <f t="shared" ca="1" si="19"/>
        <v>-5.7377049200000002E-2</v>
      </c>
      <c r="N74" s="82">
        <f t="shared" ca="1" si="23"/>
        <v>567156568.63214648</v>
      </c>
      <c r="O74" s="56" t="str">
        <f ca="1">IFERROR(OFFSET(INDIRECT($H$3 &amp; "!A152"), 18, 0), "")</f>
        <v>마로</v>
      </c>
      <c r="P74" s="39">
        <f t="shared" ca="1" si="20"/>
        <v>450</v>
      </c>
      <c r="Q74" s="73">
        <f t="shared" ca="1" si="21"/>
        <v>-5.6603773599999997E-2</v>
      </c>
      <c r="R74" s="82">
        <f t="shared" ca="1" si="24"/>
        <v>131864115.370061</v>
      </c>
    </row>
    <row r="75" spans="1:18" ht="17.25" thickBot="1">
      <c r="A75" s="40" t="s">
        <v>277</v>
      </c>
      <c r="B75" s="11" t="s">
        <v>278</v>
      </c>
      <c r="C75" s="91">
        <v>140</v>
      </c>
      <c r="D75" s="88">
        <v>0</v>
      </c>
      <c r="E75" s="89">
        <v>17374559.371776141</v>
      </c>
      <c r="F75" s="35"/>
      <c r="G75" s="57" t="str">
        <f ca="1">IFERROR(OFFSET(INDIRECT($H$3 &amp; "!A179"), 19, 0), "")</f>
        <v>파워렛저</v>
      </c>
      <c r="H75" s="37">
        <f t="shared" ca="1" si="25"/>
        <v>523</v>
      </c>
      <c r="I75" s="75">
        <f t="shared" ca="1" si="26"/>
        <v>-7.4336283200000006E-2</v>
      </c>
      <c r="J75" s="83">
        <f t="shared" ca="1" si="22"/>
        <v>73250661.500004366</v>
      </c>
      <c r="K75" s="57" t="str">
        <f ca="1">IFERROR(OFFSET(INDIRECT($H$3 &amp; "!A125"), 19, 0), "")</f>
        <v>플레이댑</v>
      </c>
      <c r="L75" s="37">
        <f t="shared" ca="1" si="18"/>
        <v>431</v>
      </c>
      <c r="M75" s="75">
        <f t="shared" ca="1" si="19"/>
        <v>-4.6189376000000002E-3</v>
      </c>
      <c r="N75" s="83">
        <f t="shared" ca="1" si="23"/>
        <v>5840890.4709722996</v>
      </c>
      <c r="O75" s="57" t="str">
        <f ca="1">IFERROR(OFFSET(INDIRECT($H$3 &amp; "!A152"), 19, 0), "")</f>
        <v>파워렛저</v>
      </c>
      <c r="P75" s="37">
        <f t="shared" ca="1" si="20"/>
        <v>523</v>
      </c>
      <c r="Q75" s="75">
        <f t="shared" ca="1" si="21"/>
        <v>-7.4336283200000006E-2</v>
      </c>
      <c r="R75" s="83">
        <f t="shared" ca="1" si="24"/>
        <v>73250661.500004366</v>
      </c>
    </row>
    <row r="76" spans="1:18">
      <c r="A76" s="40" t="s">
        <v>99</v>
      </c>
      <c r="B76" s="11" t="s">
        <v>100</v>
      </c>
      <c r="C76" s="91">
        <v>7.53</v>
      </c>
      <c r="D76" s="88">
        <v>-1.3262599000000001E-3</v>
      </c>
      <c r="E76" s="89">
        <v>23167713110.493984</v>
      </c>
      <c r="F76" s="35"/>
      <c r="G76" s="35"/>
      <c r="H76" s="35"/>
      <c r="I76" s="35"/>
    </row>
    <row r="77" spans="1:18">
      <c r="A77" s="40" t="s">
        <v>87</v>
      </c>
      <c r="B77" s="11" t="s">
        <v>88</v>
      </c>
      <c r="C77" s="91">
        <v>540</v>
      </c>
      <c r="D77" s="88">
        <v>-1.8484288000000001E-3</v>
      </c>
      <c r="E77" s="89">
        <v>47701273.29557734</v>
      </c>
      <c r="F77" s="35"/>
      <c r="G77" s="35"/>
      <c r="H77" s="35"/>
      <c r="I77" s="35"/>
    </row>
    <row r="78" spans="1:18">
      <c r="A78" s="40" t="s">
        <v>253</v>
      </c>
      <c r="B78" s="11" t="s">
        <v>254</v>
      </c>
      <c r="C78" s="91">
        <v>72.900000000000006</v>
      </c>
      <c r="D78" s="88">
        <v>-4.0983607000000003E-3</v>
      </c>
      <c r="E78" s="89">
        <v>63141356.09417893</v>
      </c>
      <c r="F78" s="35"/>
      <c r="G78" s="35"/>
      <c r="H78" s="35"/>
      <c r="I78" s="35"/>
    </row>
    <row r="79" spans="1:18">
      <c r="A79" s="40" t="s">
        <v>237</v>
      </c>
      <c r="B79" s="11" t="s">
        <v>238</v>
      </c>
      <c r="C79" s="91">
        <v>242</v>
      </c>
      <c r="D79" s="88">
        <v>-4.1152263000000001E-3</v>
      </c>
      <c r="E79" s="89">
        <v>9360769.6778150704</v>
      </c>
      <c r="F79" s="35"/>
      <c r="G79" s="35"/>
      <c r="H79" s="35"/>
      <c r="I79" s="35"/>
    </row>
    <row r="80" spans="1:18">
      <c r="A80" s="40" t="s">
        <v>131</v>
      </c>
      <c r="B80" s="11" t="s">
        <v>132</v>
      </c>
      <c r="C80" s="91">
        <v>229</v>
      </c>
      <c r="D80" s="88">
        <v>-4.3478261000000004E-3</v>
      </c>
      <c r="E80" s="89">
        <v>403091420.30760902</v>
      </c>
      <c r="F80" s="35"/>
      <c r="G80" s="35"/>
      <c r="H80" s="35"/>
      <c r="I80" s="35"/>
    </row>
    <row r="81" spans="1:9">
      <c r="A81" s="40" t="s">
        <v>225</v>
      </c>
      <c r="B81" s="11" t="s">
        <v>226</v>
      </c>
      <c r="C81" s="91">
        <v>431</v>
      </c>
      <c r="D81" s="88">
        <v>-4.6189376000000002E-3</v>
      </c>
      <c r="E81" s="89">
        <v>5840890.4709722996</v>
      </c>
      <c r="F81" s="35"/>
      <c r="G81" s="35"/>
      <c r="H81" s="35"/>
      <c r="I81" s="35"/>
    </row>
    <row r="82" spans="1:9">
      <c r="A82" s="40" t="s">
        <v>169</v>
      </c>
      <c r="B82" s="11" t="s">
        <v>170</v>
      </c>
      <c r="C82" s="91">
        <v>499</v>
      </c>
      <c r="D82" s="88">
        <v>-5.9760956E-3</v>
      </c>
      <c r="E82" s="89">
        <v>2823852.1009158399</v>
      </c>
      <c r="F82" s="35"/>
      <c r="G82" s="35"/>
      <c r="H82" s="35"/>
      <c r="I82" s="35"/>
    </row>
    <row r="83" spans="1:9">
      <c r="A83" s="40" t="s">
        <v>209</v>
      </c>
      <c r="B83" s="11" t="s">
        <v>210</v>
      </c>
      <c r="C83" s="91">
        <v>165</v>
      </c>
      <c r="D83" s="88">
        <v>-6.0240963999999998E-3</v>
      </c>
      <c r="E83" s="89">
        <v>30793942.355077829</v>
      </c>
      <c r="F83" s="35"/>
      <c r="G83" s="35"/>
      <c r="H83" s="35"/>
      <c r="I83" s="35"/>
    </row>
    <row r="84" spans="1:9">
      <c r="A84" s="40" t="s">
        <v>245</v>
      </c>
      <c r="B84" s="11" t="s">
        <v>246</v>
      </c>
      <c r="C84" s="91">
        <v>322</v>
      </c>
      <c r="D84" s="88">
        <v>-6.1728395E-3</v>
      </c>
      <c r="E84" s="89">
        <v>11457520.618681069</v>
      </c>
      <c r="F84" s="35"/>
      <c r="G84" s="35"/>
      <c r="H84" s="35"/>
      <c r="I84" s="35"/>
    </row>
    <row r="85" spans="1:9">
      <c r="A85" s="40" t="s">
        <v>199</v>
      </c>
      <c r="B85" s="11" t="s">
        <v>200</v>
      </c>
      <c r="C85" s="91">
        <v>305</v>
      </c>
      <c r="D85" s="88">
        <v>-6.5146580000000004E-3</v>
      </c>
      <c r="E85" s="89">
        <v>8650807.2852889095</v>
      </c>
      <c r="F85" s="35"/>
      <c r="G85" s="35"/>
      <c r="H85" s="35"/>
      <c r="I85" s="35"/>
    </row>
    <row r="86" spans="1:9">
      <c r="A86" s="40" t="s">
        <v>281</v>
      </c>
      <c r="B86" s="11" t="s">
        <v>282</v>
      </c>
      <c r="C86" s="91">
        <v>149</v>
      </c>
      <c r="D86" s="88">
        <v>-6.6666666999999997E-3</v>
      </c>
      <c r="E86" s="89">
        <v>21117797.253901899</v>
      </c>
      <c r="F86" s="35"/>
      <c r="G86" s="35"/>
      <c r="H86" s="35"/>
      <c r="I86" s="35"/>
    </row>
    <row r="87" spans="1:9">
      <c r="A87" s="40" t="s">
        <v>229</v>
      </c>
      <c r="B87" s="11" t="s">
        <v>230</v>
      </c>
      <c r="C87" s="91">
        <v>146</v>
      </c>
      <c r="D87" s="88">
        <v>-6.8027210999999999E-3</v>
      </c>
      <c r="E87" s="89">
        <v>76121850.478806034</v>
      </c>
      <c r="F87" s="35"/>
      <c r="G87" s="35"/>
      <c r="H87" s="35"/>
      <c r="I87" s="35"/>
    </row>
    <row r="88" spans="1:9">
      <c r="A88" s="40" t="s">
        <v>50</v>
      </c>
      <c r="B88" s="11" t="s">
        <v>51</v>
      </c>
      <c r="C88" s="91">
        <v>818</v>
      </c>
      <c r="D88" s="88">
        <v>-7.2815533999999998E-3</v>
      </c>
      <c r="E88" s="89">
        <v>197984411.8620435</v>
      </c>
      <c r="F88" s="35"/>
      <c r="G88" s="35"/>
      <c r="H88" s="35"/>
      <c r="I88" s="35"/>
    </row>
    <row r="89" spans="1:9">
      <c r="A89" s="40" t="s">
        <v>269</v>
      </c>
      <c r="B89" s="11" t="s">
        <v>270</v>
      </c>
      <c r="C89" s="91">
        <v>509</v>
      </c>
      <c r="D89" s="88">
        <v>-7.7972709999999997E-3</v>
      </c>
      <c r="E89" s="89">
        <v>3651252.2614278998</v>
      </c>
      <c r="F89" s="35"/>
      <c r="G89" s="35"/>
      <c r="H89" s="35"/>
      <c r="I89" s="35"/>
    </row>
    <row r="90" spans="1:9">
      <c r="A90" s="40" t="s">
        <v>91</v>
      </c>
      <c r="B90" s="11" t="s">
        <v>92</v>
      </c>
      <c r="C90" s="91">
        <v>1710</v>
      </c>
      <c r="D90" s="88">
        <v>-8.6956522000000008E-3</v>
      </c>
      <c r="E90" s="89">
        <v>474860836.26365244</v>
      </c>
      <c r="F90" s="35"/>
      <c r="G90" s="35"/>
      <c r="H90" s="35"/>
      <c r="I90" s="35"/>
    </row>
    <row r="91" spans="1:9">
      <c r="A91" s="40" t="s">
        <v>233</v>
      </c>
      <c r="B91" s="11" t="s">
        <v>234</v>
      </c>
      <c r="C91" s="91">
        <v>1110</v>
      </c>
      <c r="D91" s="88">
        <v>-8.9285713999999999E-3</v>
      </c>
      <c r="E91" s="89">
        <v>2513169.8985335901</v>
      </c>
      <c r="F91" s="35"/>
      <c r="G91" s="35"/>
      <c r="H91" s="35"/>
      <c r="I91" s="35"/>
    </row>
    <row r="92" spans="1:9">
      <c r="A92" s="40" t="s">
        <v>121</v>
      </c>
      <c r="B92" s="11" t="s">
        <v>122</v>
      </c>
      <c r="C92" s="91">
        <v>104</v>
      </c>
      <c r="D92" s="88">
        <v>-9.5238094999999991E-3</v>
      </c>
      <c r="E92" s="89">
        <v>118470208.94830199</v>
      </c>
      <c r="F92" s="35"/>
      <c r="G92" s="35"/>
      <c r="H92" s="35"/>
      <c r="I92" s="35"/>
    </row>
    <row r="93" spans="1:9">
      <c r="A93" s="40" t="s">
        <v>191</v>
      </c>
      <c r="B93" s="11" t="s">
        <v>192</v>
      </c>
      <c r="C93" s="91">
        <v>1020</v>
      </c>
      <c r="D93" s="88">
        <v>-9.7087379000000001E-3</v>
      </c>
      <c r="E93" s="89">
        <v>11798006.0317809</v>
      </c>
      <c r="F93" s="35"/>
      <c r="G93" s="35"/>
      <c r="H93" s="35"/>
      <c r="I93" s="35"/>
    </row>
    <row r="94" spans="1:9">
      <c r="A94" s="40" t="s">
        <v>119</v>
      </c>
      <c r="B94" s="11" t="s">
        <v>120</v>
      </c>
      <c r="C94" s="91">
        <v>204</v>
      </c>
      <c r="D94" s="88">
        <v>-9.7087379000000001E-3</v>
      </c>
      <c r="E94" s="89">
        <v>84749346.902143568</v>
      </c>
      <c r="F94" s="35"/>
      <c r="G94" s="35"/>
      <c r="H94" s="35"/>
      <c r="I94" s="35"/>
    </row>
    <row r="95" spans="1:9">
      <c r="A95" s="40" t="s">
        <v>111</v>
      </c>
      <c r="B95" s="11" t="s">
        <v>112</v>
      </c>
      <c r="C95" s="91">
        <v>230</v>
      </c>
      <c r="D95" s="88">
        <v>-1.28755365E-2</v>
      </c>
      <c r="E95" s="89">
        <v>58014855.504743852</v>
      </c>
      <c r="F95" s="35"/>
      <c r="G95" s="35"/>
      <c r="H95" s="35"/>
      <c r="I95" s="35"/>
    </row>
    <row r="96" spans="1:9">
      <c r="A96" s="40" t="s">
        <v>257</v>
      </c>
      <c r="B96" s="11" t="s">
        <v>258</v>
      </c>
      <c r="C96" s="91">
        <v>600</v>
      </c>
      <c r="D96" s="88">
        <v>-1.3157894700000001E-2</v>
      </c>
      <c r="E96" s="89">
        <v>12953403.533336811</v>
      </c>
      <c r="F96" s="35"/>
      <c r="G96" s="35"/>
      <c r="H96" s="35"/>
      <c r="I96" s="35"/>
    </row>
    <row r="97" spans="1:9">
      <c r="A97" s="40" t="s">
        <v>213</v>
      </c>
      <c r="B97" s="11" t="s">
        <v>214</v>
      </c>
      <c r="C97" s="91">
        <v>19.5</v>
      </c>
      <c r="D97" s="88">
        <v>-1.51515152E-2</v>
      </c>
      <c r="E97" s="89">
        <v>975682420.6807251</v>
      </c>
      <c r="F97" s="35"/>
      <c r="G97" s="35"/>
      <c r="H97" s="35"/>
      <c r="I97" s="35"/>
    </row>
    <row r="98" spans="1:9">
      <c r="A98" s="40" t="s">
        <v>71</v>
      </c>
      <c r="B98" s="11" t="s">
        <v>72</v>
      </c>
      <c r="C98" s="91">
        <v>31.7</v>
      </c>
      <c r="D98" s="88">
        <v>-1.5527950299999999E-2</v>
      </c>
      <c r="E98" s="89">
        <v>111732153.17817686</v>
      </c>
      <c r="F98" s="35"/>
      <c r="G98" s="35"/>
      <c r="H98" s="35"/>
      <c r="I98" s="35"/>
    </row>
    <row r="99" spans="1:9">
      <c r="A99" s="40" t="s">
        <v>271</v>
      </c>
      <c r="B99" s="11" t="s">
        <v>272</v>
      </c>
      <c r="C99" s="91">
        <v>2185</v>
      </c>
      <c r="D99" s="88">
        <v>-1.5765765800000001E-2</v>
      </c>
      <c r="E99" s="89">
        <v>1528859.2359530199</v>
      </c>
      <c r="F99" s="35"/>
      <c r="G99" s="35"/>
      <c r="H99" s="35"/>
      <c r="I99" s="35"/>
    </row>
    <row r="100" spans="1:9">
      <c r="A100" s="40" t="s">
        <v>279</v>
      </c>
      <c r="B100" s="11" t="s">
        <v>280</v>
      </c>
      <c r="C100" s="91">
        <v>1520</v>
      </c>
      <c r="D100" s="88">
        <v>-1.6181229799999999E-2</v>
      </c>
      <c r="E100" s="89">
        <v>4810460.5312992204</v>
      </c>
      <c r="F100" s="35"/>
      <c r="G100" s="35"/>
      <c r="H100" s="35"/>
      <c r="I100" s="35"/>
    </row>
    <row r="101" spans="1:9">
      <c r="A101" s="40" t="s">
        <v>79</v>
      </c>
      <c r="B101" s="11" t="s">
        <v>80</v>
      </c>
      <c r="C101" s="91">
        <v>1495</v>
      </c>
      <c r="D101" s="88">
        <v>-1.6447368399999999E-2</v>
      </c>
      <c r="E101" s="89">
        <v>4950781.0866183797</v>
      </c>
      <c r="F101" s="35"/>
      <c r="G101" s="35"/>
      <c r="H101" s="35"/>
      <c r="I101" s="35"/>
    </row>
    <row r="102" spans="1:9">
      <c r="A102" s="40" t="s">
        <v>141</v>
      </c>
      <c r="B102" s="11" t="s">
        <v>142</v>
      </c>
      <c r="C102" s="91">
        <v>415</v>
      </c>
      <c r="D102" s="88">
        <v>-1.6587677700000001E-2</v>
      </c>
      <c r="E102" s="89">
        <v>19269949.365468569</v>
      </c>
      <c r="F102" s="35"/>
      <c r="G102" s="35"/>
      <c r="H102" s="35"/>
      <c r="I102" s="35"/>
    </row>
    <row r="103" spans="1:9">
      <c r="A103" s="40" t="s">
        <v>48</v>
      </c>
      <c r="B103" s="11" t="s">
        <v>49</v>
      </c>
      <c r="C103" s="91">
        <v>62017000</v>
      </c>
      <c r="D103" s="88">
        <v>-1.6680144000000001E-2</v>
      </c>
      <c r="E103" s="89">
        <v>9821.6624259599994</v>
      </c>
      <c r="F103" s="35"/>
      <c r="G103" s="35"/>
      <c r="H103" s="35"/>
      <c r="I103" s="35"/>
    </row>
    <row r="104" spans="1:9">
      <c r="A104" s="40" t="s">
        <v>267</v>
      </c>
      <c r="B104" s="11" t="s">
        <v>268</v>
      </c>
      <c r="C104" s="91">
        <v>79.5</v>
      </c>
      <c r="D104" s="88">
        <v>-2.0935960600000001E-2</v>
      </c>
      <c r="E104" s="89">
        <v>71029024.602476954</v>
      </c>
      <c r="F104" s="35"/>
      <c r="G104" s="35"/>
      <c r="H104" s="35"/>
      <c r="I104" s="35"/>
    </row>
    <row r="105" spans="1:9">
      <c r="A105" s="40" t="s">
        <v>81</v>
      </c>
      <c r="B105" s="11" t="s">
        <v>82</v>
      </c>
      <c r="C105" s="91">
        <v>1400</v>
      </c>
      <c r="D105" s="88">
        <v>-2.0979021E-2</v>
      </c>
      <c r="E105" s="89">
        <v>1226552.6521000499</v>
      </c>
      <c r="F105" s="35"/>
      <c r="G105" s="35"/>
      <c r="H105" s="35"/>
      <c r="I105" s="35"/>
    </row>
    <row r="106" spans="1:9">
      <c r="A106" s="40" t="s">
        <v>183</v>
      </c>
      <c r="B106" s="11" t="s">
        <v>184</v>
      </c>
      <c r="C106" s="91">
        <v>2490</v>
      </c>
      <c r="D106" s="88">
        <v>-2.35294118E-2</v>
      </c>
      <c r="E106" s="89">
        <v>954130.46300660004</v>
      </c>
      <c r="F106" s="35"/>
      <c r="G106" s="35"/>
      <c r="H106" s="35"/>
      <c r="I106" s="35"/>
    </row>
    <row r="107" spans="1:9">
      <c r="A107" s="40" t="s">
        <v>201</v>
      </c>
      <c r="B107" s="11" t="s">
        <v>202</v>
      </c>
      <c r="C107" s="91">
        <v>166</v>
      </c>
      <c r="D107" s="88">
        <v>-2.35294118E-2</v>
      </c>
      <c r="E107" s="89">
        <v>81408120.424950466</v>
      </c>
      <c r="F107" s="35"/>
      <c r="G107" s="35"/>
      <c r="H107" s="35"/>
      <c r="I107" s="35"/>
    </row>
    <row r="108" spans="1:9">
      <c r="A108" s="40" t="s">
        <v>251</v>
      </c>
      <c r="B108" s="11" t="s">
        <v>252</v>
      </c>
      <c r="C108" s="91">
        <v>446</v>
      </c>
      <c r="D108" s="88">
        <v>-2.6200873400000001E-2</v>
      </c>
      <c r="E108" s="89">
        <v>14154392.463964051</v>
      </c>
      <c r="F108" s="35"/>
      <c r="G108" s="35"/>
      <c r="H108" s="35"/>
      <c r="I108" s="35"/>
    </row>
    <row r="109" spans="1:9">
      <c r="A109" s="40" t="s">
        <v>66</v>
      </c>
      <c r="B109" s="11" t="s">
        <v>67</v>
      </c>
      <c r="C109" s="91">
        <v>7040</v>
      </c>
      <c r="D109" s="88">
        <v>-2.6279391400000001E-2</v>
      </c>
      <c r="E109" s="41">
        <v>1150531.5055120999</v>
      </c>
    </row>
    <row r="110" spans="1:9">
      <c r="A110" s="40" t="s">
        <v>203</v>
      </c>
      <c r="B110" s="11" t="s">
        <v>204</v>
      </c>
      <c r="C110" s="91">
        <v>6370</v>
      </c>
      <c r="D110" s="88">
        <v>-2.67379679E-2</v>
      </c>
      <c r="E110" s="41">
        <v>5452447.5356076201</v>
      </c>
    </row>
    <row r="111" spans="1:9">
      <c r="A111" s="40" t="s">
        <v>275</v>
      </c>
      <c r="B111" s="11" t="s">
        <v>276</v>
      </c>
      <c r="C111" s="91">
        <v>4365</v>
      </c>
      <c r="D111" s="88">
        <v>-3.4292035399999997E-2</v>
      </c>
      <c r="E111" s="41">
        <v>2615067.1949725798</v>
      </c>
    </row>
    <row r="112" spans="1:9">
      <c r="A112" s="40" t="s">
        <v>53</v>
      </c>
      <c r="B112" s="11" t="s">
        <v>54</v>
      </c>
      <c r="C112" s="91">
        <v>402</v>
      </c>
      <c r="D112" s="88">
        <v>-4.2857142899999999E-2</v>
      </c>
      <c r="E112" s="41">
        <v>578339059.28800607</v>
      </c>
    </row>
    <row r="113" spans="1:5">
      <c r="A113" s="40" t="s">
        <v>235</v>
      </c>
      <c r="B113" s="11" t="s">
        <v>236</v>
      </c>
      <c r="C113" s="91">
        <v>69.099999999999994</v>
      </c>
      <c r="D113" s="88">
        <v>-4.2936288099999997E-2</v>
      </c>
      <c r="E113" s="41">
        <v>258356852.77407247</v>
      </c>
    </row>
    <row r="114" spans="1:5">
      <c r="A114" s="40" t="s">
        <v>83</v>
      </c>
      <c r="B114" s="11" t="s">
        <v>84</v>
      </c>
      <c r="C114" s="91">
        <v>2325</v>
      </c>
      <c r="D114" s="88">
        <v>-4.5174538E-2</v>
      </c>
      <c r="E114" s="41">
        <v>120470604.25874159</v>
      </c>
    </row>
    <row r="115" spans="1:5">
      <c r="A115" s="40" t="s">
        <v>189</v>
      </c>
      <c r="B115" s="11" t="s">
        <v>190</v>
      </c>
      <c r="C115" s="91">
        <v>64620</v>
      </c>
      <c r="D115" s="88">
        <v>-4.7745358100000003E-2</v>
      </c>
      <c r="E115" s="41">
        <v>383326.03581405</v>
      </c>
    </row>
    <row r="116" spans="1:5">
      <c r="A116" s="40" t="s">
        <v>207</v>
      </c>
      <c r="B116" s="11" t="s">
        <v>208</v>
      </c>
      <c r="C116" s="91">
        <v>450</v>
      </c>
      <c r="D116" s="88">
        <v>-5.6603773599999997E-2</v>
      </c>
      <c r="E116" s="41">
        <v>131864115.370061</v>
      </c>
    </row>
    <row r="117" spans="1:5">
      <c r="A117" s="40" t="s">
        <v>171</v>
      </c>
      <c r="B117" s="11" t="s">
        <v>172</v>
      </c>
      <c r="C117" s="91">
        <v>23</v>
      </c>
      <c r="D117" s="88">
        <v>-5.7377049200000002E-2</v>
      </c>
      <c r="E117" s="41">
        <v>567156568.63214648</v>
      </c>
    </row>
    <row r="118" spans="1:5">
      <c r="A118" s="40" t="s">
        <v>181</v>
      </c>
      <c r="B118" s="11" t="s">
        <v>182</v>
      </c>
      <c r="C118" s="91">
        <v>523</v>
      </c>
      <c r="D118" s="88">
        <v>-7.4336283200000006E-2</v>
      </c>
      <c r="E118" s="41">
        <v>73250661.500004366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101</v>
      </c>
      <c r="B2" s="11" t="s">
        <v>102</v>
      </c>
      <c r="C2" s="91">
        <v>129600</v>
      </c>
      <c r="D2" s="88">
        <v>0.1363437089</v>
      </c>
      <c r="E2" s="89">
        <v>18621953.768779721</v>
      </c>
      <c r="F2" s="35"/>
      <c r="G2" s="54"/>
      <c r="H2" s="35"/>
      <c r="I2" s="35"/>
    </row>
    <row r="3" spans="1:18" ht="17.25" thickBot="1">
      <c r="A3" s="40" t="s">
        <v>185</v>
      </c>
      <c r="B3" s="11" t="s">
        <v>186</v>
      </c>
      <c r="C3" s="91">
        <v>23.4</v>
      </c>
      <c r="D3" s="88">
        <v>0.1090047393</v>
      </c>
      <c r="E3" s="89">
        <v>5582370232.6251097</v>
      </c>
      <c r="F3" s="35"/>
      <c r="G3" s="302" t="s">
        <v>290</v>
      </c>
      <c r="H3" s="323" t="s">
        <v>406</v>
      </c>
      <c r="I3" s="323"/>
      <c r="K3" s="241" t="s">
        <v>34</v>
      </c>
      <c r="L3" s="242"/>
      <c r="M3" s="242"/>
      <c r="N3" s="243"/>
      <c r="O3" s="241" t="s">
        <v>291</v>
      </c>
      <c r="P3" s="242"/>
      <c r="Q3" s="242"/>
      <c r="R3" s="243"/>
    </row>
    <row r="4" spans="1:18" ht="17.25" thickBot="1">
      <c r="A4" s="40" t="s">
        <v>295</v>
      </c>
      <c r="B4" s="11" t="s">
        <v>296</v>
      </c>
      <c r="C4" s="91">
        <v>662</v>
      </c>
      <c r="D4" s="88">
        <v>7.4675324700000004E-2</v>
      </c>
      <c r="E4" s="89">
        <v>8355690765.7682304</v>
      </c>
      <c r="F4" s="35"/>
      <c r="G4" s="303"/>
      <c r="H4" s="324"/>
      <c r="I4" s="324"/>
      <c r="K4" s="306" t="s">
        <v>55</v>
      </c>
      <c r="L4" s="327">
        <f ca="1">NOW()</f>
        <v>44331.066325</v>
      </c>
      <c r="M4" s="328"/>
      <c r="N4" s="329"/>
      <c r="O4" s="318" t="s">
        <v>55</v>
      </c>
      <c r="P4" s="327">
        <f ca="1">NOW()</f>
        <v>44331.066325</v>
      </c>
      <c r="Q4" s="328"/>
      <c r="R4" s="329"/>
    </row>
    <row r="5" spans="1:18" ht="17.25" thickBot="1">
      <c r="A5" s="40" t="s">
        <v>107</v>
      </c>
      <c r="B5" s="11" t="s">
        <v>108</v>
      </c>
      <c r="C5" s="91">
        <v>55130</v>
      </c>
      <c r="D5" s="88">
        <v>6.4285714300000005E-2</v>
      </c>
      <c r="E5" s="89">
        <v>2160799.8446104801</v>
      </c>
      <c r="F5" s="35"/>
      <c r="K5" s="303"/>
      <c r="L5" s="51" t="s">
        <v>58</v>
      </c>
      <c r="M5" s="69" t="s">
        <v>59</v>
      </c>
      <c r="N5" s="65" t="s">
        <v>294</v>
      </c>
      <c r="O5" s="258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125</v>
      </c>
      <c r="B6" s="11" t="s">
        <v>126</v>
      </c>
      <c r="C6" s="91">
        <v>52</v>
      </c>
      <c r="D6" s="88">
        <v>5.9063136500000002E-2</v>
      </c>
      <c r="E6" s="89">
        <v>365576675.54781848</v>
      </c>
      <c r="F6" s="35"/>
      <c r="G6" s="241" t="s">
        <v>52</v>
      </c>
      <c r="H6" s="242"/>
      <c r="I6" s="243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144</v>
      </c>
      <c r="M6" s="72">
        <f t="shared" ref="M6:M25" ca="1" si="1">_xlfn.IFNA(VLOOKUP(K6, $B$2:$D$200, 3, FALSE), "")</f>
        <v>6.9930069999999999E-3</v>
      </c>
      <c r="N6" s="81">
        <f ca="1">_xlfn.IFNA(VLOOKUP(K6, $B$2:$E$200, 4, FALSE), "")</f>
        <v>124701183.24000888</v>
      </c>
      <c r="O6" s="68" t="s">
        <v>102</v>
      </c>
      <c r="P6" s="38">
        <f t="shared" ref="P6:P25" si="2">_xlfn.IFNA(VLOOKUP(O6, $B$2:$D$200, 2, FALSE), "")</f>
        <v>129600</v>
      </c>
      <c r="Q6" s="72">
        <f t="shared" ref="Q6:Q25" si="3">_xlfn.IFNA(VLOOKUP(O6, $B$2:$D$200, 3, FALSE), "")</f>
        <v>0.1363437089</v>
      </c>
      <c r="R6" s="81">
        <f>_xlfn.IFNA(VLOOKUP(O6, $B$2:$E$200, 4, FALSE), "")</f>
        <v>18621953.768779721</v>
      </c>
    </row>
    <row r="7" spans="1:18">
      <c r="A7" s="40" t="s">
        <v>137</v>
      </c>
      <c r="B7" s="11" t="s">
        <v>138</v>
      </c>
      <c r="C7" s="91">
        <v>53360</v>
      </c>
      <c r="D7" s="88">
        <v>5.4962435699999999E-2</v>
      </c>
      <c r="E7" s="89">
        <v>2161911.7079643901</v>
      </c>
      <c r="F7" s="35"/>
      <c r="G7" s="250" t="s">
        <v>36</v>
      </c>
      <c r="H7" s="251"/>
      <c r="I7" s="252"/>
      <c r="K7" s="56" t="str">
        <f ca="1">IFERROR(OFFSET(INDIRECT($H$3 &amp; "!A17"), 1, 0), "")</f>
        <v>크립토닷컴체인</v>
      </c>
      <c r="L7" s="39">
        <f t="shared" ca="1" si="0"/>
        <v>204</v>
      </c>
      <c r="M7" s="73">
        <f t="shared" ca="1" si="1"/>
        <v>-9.7087379000000001E-3</v>
      </c>
      <c r="N7" s="82">
        <f t="shared" ref="N7:N25" ca="1" si="4">_xlfn.IFNA(VLOOKUP(K7, $B$2:$E$200, 4, FALSE), "")</f>
        <v>84749346.902143568</v>
      </c>
      <c r="O7" s="84" t="s">
        <v>186</v>
      </c>
      <c r="P7" s="39">
        <f t="shared" si="2"/>
        <v>23.4</v>
      </c>
      <c r="Q7" s="73">
        <f t="shared" si="3"/>
        <v>0.1090047393</v>
      </c>
      <c r="R7" s="82">
        <f t="shared" ref="R7:R25" si="5">_xlfn.IFNA(VLOOKUP(O7, $B$2:$E$200, 4, FALSE), "")</f>
        <v>5582370232.6251097</v>
      </c>
    </row>
    <row r="8" spans="1:18" ht="17.25" thickBot="1">
      <c r="A8" s="40" t="s">
        <v>95</v>
      </c>
      <c r="B8" s="11" t="s">
        <v>96</v>
      </c>
      <c r="C8" s="91">
        <v>4977000</v>
      </c>
      <c r="D8" s="88">
        <v>5.4225799599999999E-2</v>
      </c>
      <c r="E8" s="89">
        <v>173427.81567677</v>
      </c>
      <c r="F8" s="35"/>
      <c r="G8" s="256"/>
      <c r="H8" s="257"/>
      <c r="I8" s="258"/>
      <c r="K8" s="56" t="str">
        <f ca="1">IFERROR(OFFSET(INDIRECT($H$3 &amp; "!A17"), 2, 0), "")</f>
        <v>룸네트워크</v>
      </c>
      <c r="L8" s="39">
        <f t="shared" ca="1" si="0"/>
        <v>149</v>
      </c>
      <c r="M8" s="73">
        <f t="shared" ca="1" si="1"/>
        <v>6.7567568000000003E-3</v>
      </c>
      <c r="N8" s="82">
        <f t="shared" ca="1" si="4"/>
        <v>11724992.88601849</v>
      </c>
      <c r="O8" s="84" t="s">
        <v>296</v>
      </c>
      <c r="P8" s="39">
        <f t="shared" si="2"/>
        <v>662</v>
      </c>
      <c r="Q8" s="73">
        <f t="shared" si="3"/>
        <v>7.4675324700000004E-2</v>
      </c>
      <c r="R8" s="82">
        <f t="shared" si="5"/>
        <v>8355690765.7682304</v>
      </c>
    </row>
    <row r="9" spans="1:18" ht="17.25" thickBot="1">
      <c r="A9" s="40" t="s">
        <v>135</v>
      </c>
      <c r="B9" s="11" t="s">
        <v>136</v>
      </c>
      <c r="C9" s="91">
        <v>243</v>
      </c>
      <c r="D9" s="88">
        <v>5.19480519E-2</v>
      </c>
      <c r="E9" s="89">
        <v>22037183.183284249</v>
      </c>
      <c r="F9" s="35"/>
      <c r="G9" s="50" t="s">
        <v>38</v>
      </c>
      <c r="H9" s="242" t="s">
        <v>37</v>
      </c>
      <c r="I9" s="243"/>
      <c r="K9" s="56" t="str">
        <f ca="1">IFERROR(OFFSET(INDIRECT($H$3 &amp; "!A17"), 3, 0), "")</f>
        <v>휴먼스케이프</v>
      </c>
      <c r="L9" s="39">
        <f t="shared" ca="1" si="0"/>
        <v>146</v>
      </c>
      <c r="M9" s="73">
        <f t="shared" ca="1" si="1"/>
        <v>-6.8027210999999999E-3</v>
      </c>
      <c r="N9" s="82">
        <f t="shared" ca="1" si="4"/>
        <v>76121850.478806034</v>
      </c>
      <c r="O9" s="84" t="s">
        <v>108</v>
      </c>
      <c r="P9" s="39">
        <f t="shared" si="2"/>
        <v>55130</v>
      </c>
      <c r="Q9" s="73">
        <f t="shared" si="3"/>
        <v>6.4285714300000005E-2</v>
      </c>
      <c r="R9" s="82">
        <f t="shared" si="5"/>
        <v>2160799.8446104801</v>
      </c>
    </row>
    <row r="10" spans="1:18">
      <c r="A10" s="40" t="s">
        <v>239</v>
      </c>
      <c r="B10" s="11" t="s">
        <v>240</v>
      </c>
      <c r="C10" s="91">
        <v>159</v>
      </c>
      <c r="D10" s="88">
        <v>4.6052631599999998E-2</v>
      </c>
      <c r="E10" s="89">
        <v>339044619.95868152</v>
      </c>
      <c r="F10" s="35"/>
      <c r="G10" s="325">
        <f>_xlfn.IFNA(VLOOKUP(G7, $B$2:$D$200, 3, FALSE), "-")</f>
        <v>-1.6680144000000001E-2</v>
      </c>
      <c r="H10" s="319">
        <f>_xlfn.IFNA(VLOOKUP(G7, $B$2:$D$200, 2, FALSE), "-")</f>
        <v>62017000</v>
      </c>
      <c r="I10" s="320"/>
      <c r="K10" s="58" t="str">
        <f ca="1">IFERROR(OFFSET(INDIRECT($H$3 &amp; "!A17"), 4, 0), "")</f>
        <v>이그니스</v>
      </c>
      <c r="L10" s="44">
        <f t="shared" ca="1" si="0"/>
        <v>149</v>
      </c>
      <c r="M10" s="74">
        <f t="shared" ca="1" si="1"/>
        <v>-6.6666666999999997E-3</v>
      </c>
      <c r="N10" s="86">
        <f t="shared" ca="1" si="4"/>
        <v>21117797.253901899</v>
      </c>
      <c r="O10" s="84" t="s">
        <v>126</v>
      </c>
      <c r="P10" s="39">
        <f t="shared" si="2"/>
        <v>52</v>
      </c>
      <c r="Q10" s="73">
        <f t="shared" si="3"/>
        <v>5.9063136500000002E-2</v>
      </c>
      <c r="R10" s="86">
        <f t="shared" si="5"/>
        <v>365576675.54781848</v>
      </c>
    </row>
    <row r="11" spans="1:18" ht="17.25" thickBot="1">
      <c r="A11" s="40" t="s">
        <v>93</v>
      </c>
      <c r="B11" s="11" t="s">
        <v>94</v>
      </c>
      <c r="C11" s="91">
        <v>124950</v>
      </c>
      <c r="D11" s="88">
        <v>4.4732441499999998E-2</v>
      </c>
      <c r="E11" s="89">
        <v>1054965.3293991601</v>
      </c>
      <c r="F11" s="35"/>
      <c r="G11" s="326"/>
      <c r="H11" s="321"/>
      <c r="I11" s="322"/>
      <c r="K11" s="56" t="str">
        <f ca="1">IFERROR(OFFSET(INDIRECT($H$3 &amp; "!A17"), 5, 0), "")</f>
        <v>모스코인</v>
      </c>
      <c r="L11" s="39">
        <f t="shared" ca="1" si="0"/>
        <v>159</v>
      </c>
      <c r="M11" s="73">
        <f t="shared" ca="1" si="1"/>
        <v>4.6052631599999998E-2</v>
      </c>
      <c r="N11" s="95">
        <f t="shared" ca="1" si="4"/>
        <v>339044619.95868152</v>
      </c>
      <c r="O11" s="85" t="s">
        <v>138</v>
      </c>
      <c r="P11" s="45">
        <f t="shared" si="2"/>
        <v>53360</v>
      </c>
      <c r="Q11" s="76">
        <f t="shared" si="3"/>
        <v>5.4962435699999999E-2</v>
      </c>
      <c r="R11" s="95">
        <f t="shared" si="5"/>
        <v>2161911.7079643901</v>
      </c>
    </row>
    <row r="12" spans="1:18" ht="17.25" thickBot="1">
      <c r="A12" s="40" t="s">
        <v>259</v>
      </c>
      <c r="B12" s="11" t="s">
        <v>260</v>
      </c>
      <c r="C12" s="91">
        <v>123</v>
      </c>
      <c r="D12" s="88">
        <v>4.23728814E-2</v>
      </c>
      <c r="E12" s="89">
        <v>1568850515.7169173</v>
      </c>
      <c r="F12" s="35"/>
      <c r="K12" s="56" t="str">
        <f ca="1">IFERROR(OFFSET(INDIRECT($H$3 &amp; "!A17"), 6, 0), "")</f>
        <v>헌트</v>
      </c>
      <c r="L12" s="39">
        <f t="shared" ca="1" si="0"/>
        <v>322</v>
      </c>
      <c r="M12" s="73">
        <f t="shared" ca="1" si="1"/>
        <v>-6.1728395E-3</v>
      </c>
      <c r="N12" s="82">
        <f t="shared" ca="1" si="4"/>
        <v>11457520.618681069</v>
      </c>
      <c r="O12" s="84" t="s">
        <v>96</v>
      </c>
      <c r="P12" s="39">
        <f t="shared" si="2"/>
        <v>4977000</v>
      </c>
      <c r="Q12" s="73">
        <f t="shared" si="3"/>
        <v>5.4225799599999999E-2</v>
      </c>
      <c r="R12" s="82">
        <f t="shared" si="5"/>
        <v>173427.81567677</v>
      </c>
    </row>
    <row r="13" spans="1:18" ht="17.25" thickBot="1">
      <c r="A13" s="40" t="s">
        <v>145</v>
      </c>
      <c r="B13" s="11" t="s">
        <v>146</v>
      </c>
      <c r="C13" s="91">
        <v>16280</v>
      </c>
      <c r="D13" s="88">
        <v>3.7603569199999999E-2</v>
      </c>
      <c r="E13" s="89">
        <v>2533770.5076982402</v>
      </c>
      <c r="F13" s="35"/>
      <c r="G13" s="241" t="s">
        <v>70</v>
      </c>
      <c r="H13" s="242"/>
      <c r="I13" s="243"/>
      <c r="K13" s="56" t="str">
        <f ca="1">IFERROR(OFFSET(INDIRECT($H$3 &amp; "!A17"), 7, 0), "")</f>
        <v>아르고</v>
      </c>
      <c r="L13" s="39">
        <f t="shared" ca="1" si="0"/>
        <v>305</v>
      </c>
      <c r="M13" s="73">
        <f t="shared" ca="1" si="1"/>
        <v>-6.5146580000000004E-3</v>
      </c>
      <c r="N13" s="82">
        <f t="shared" ca="1" si="4"/>
        <v>8650807.2852889095</v>
      </c>
      <c r="O13" s="84" t="s">
        <v>136</v>
      </c>
      <c r="P13" s="39">
        <f t="shared" si="2"/>
        <v>243</v>
      </c>
      <c r="Q13" s="73">
        <f t="shared" si="3"/>
        <v>5.19480519E-2</v>
      </c>
      <c r="R13" s="82">
        <f t="shared" si="5"/>
        <v>22037183.183284249</v>
      </c>
    </row>
    <row r="14" spans="1:18">
      <c r="A14" s="40" t="s">
        <v>283</v>
      </c>
      <c r="B14" s="11" t="s">
        <v>284</v>
      </c>
      <c r="C14" s="91">
        <v>422</v>
      </c>
      <c r="D14" s="88">
        <v>3.6855036899999999E-2</v>
      </c>
      <c r="E14" s="89">
        <v>16383886.06476219</v>
      </c>
      <c r="F14" s="35"/>
      <c r="G14" s="250" t="s">
        <v>36</v>
      </c>
      <c r="H14" s="251"/>
      <c r="I14" s="252"/>
      <c r="K14" s="56" t="str">
        <f ca="1">IFERROR(OFFSET(INDIRECT($H$3 &amp; "!A17"), 8, 0), "")</f>
        <v>센티넬프로토콜</v>
      </c>
      <c r="L14" s="39">
        <f t="shared" ca="1" si="0"/>
        <v>150</v>
      </c>
      <c r="M14" s="73">
        <f t="shared" ca="1" si="1"/>
        <v>1.3513513499999999E-2</v>
      </c>
      <c r="N14" s="82">
        <f t="shared" ca="1" si="4"/>
        <v>74702205.03641288</v>
      </c>
      <c r="O14" s="84" t="s">
        <v>240</v>
      </c>
      <c r="P14" s="39">
        <f t="shared" si="2"/>
        <v>159</v>
      </c>
      <c r="Q14" s="73">
        <f t="shared" si="3"/>
        <v>4.6052631599999998E-2</v>
      </c>
      <c r="R14" s="82">
        <f t="shared" si="5"/>
        <v>339044619.95868152</v>
      </c>
    </row>
    <row r="15" spans="1:18" ht="17.25" thickBot="1">
      <c r="A15" s="40" t="s">
        <v>75</v>
      </c>
      <c r="B15" s="11" t="s">
        <v>76</v>
      </c>
      <c r="C15" s="91">
        <v>56700</v>
      </c>
      <c r="D15" s="88">
        <v>3.2975040999999997E-2</v>
      </c>
      <c r="E15" s="89">
        <v>749906.42331266997</v>
      </c>
      <c r="F15" s="35"/>
      <c r="G15" s="256"/>
      <c r="H15" s="257"/>
      <c r="I15" s="258"/>
      <c r="K15" s="57" t="str">
        <f ca="1">IFERROR(OFFSET(INDIRECT($H$3 &amp; "!A17"), 9, 0), "")</f>
        <v>보라</v>
      </c>
      <c r="L15" s="37">
        <f t="shared" ca="1" si="0"/>
        <v>252</v>
      </c>
      <c r="M15" s="75">
        <f t="shared" ca="1" si="1"/>
        <v>2.4390243900000001E-2</v>
      </c>
      <c r="N15" s="83">
        <f t="shared" ca="1" si="4"/>
        <v>103576700.87241954</v>
      </c>
      <c r="O15" s="70" t="s">
        <v>94</v>
      </c>
      <c r="P15" s="37">
        <f t="shared" si="2"/>
        <v>124950</v>
      </c>
      <c r="Q15" s="75">
        <f t="shared" si="3"/>
        <v>4.4732441499999998E-2</v>
      </c>
      <c r="R15" s="83">
        <f t="shared" si="5"/>
        <v>1054965.3293991601</v>
      </c>
    </row>
    <row r="16" spans="1:18" ht="17.25" thickBot="1">
      <c r="A16" s="40" t="s">
        <v>143</v>
      </c>
      <c r="B16" s="11" t="s">
        <v>144</v>
      </c>
      <c r="C16" s="91">
        <v>12630</v>
      </c>
      <c r="D16" s="88">
        <v>3.1020408199999999E-2</v>
      </c>
      <c r="E16" s="89">
        <v>3041995.94564771</v>
      </c>
      <c r="F16" s="35"/>
      <c r="G16" s="50" t="s">
        <v>38</v>
      </c>
      <c r="H16" s="242" t="s">
        <v>37</v>
      </c>
      <c r="I16" s="243"/>
      <c r="K16" s="55" t="str">
        <f ca="1">IFERROR(OFFSET(INDIRECT($H$3 &amp; "!A17"), 10, 0), "")</f>
        <v>디카르고</v>
      </c>
      <c r="L16" s="38">
        <f t="shared" ca="1" si="0"/>
        <v>230</v>
      </c>
      <c r="M16" s="72">
        <f t="shared" ca="1" si="1"/>
        <v>-1.28755365E-2</v>
      </c>
      <c r="N16" s="81">
        <f t="shared" ca="1" si="4"/>
        <v>58014855.504743852</v>
      </c>
      <c r="O16" s="68" t="s">
        <v>260</v>
      </c>
      <c r="P16" s="38">
        <f t="shared" si="2"/>
        <v>123</v>
      </c>
      <c r="Q16" s="72">
        <f t="shared" si="3"/>
        <v>4.23728814E-2</v>
      </c>
      <c r="R16" s="81">
        <f t="shared" si="5"/>
        <v>1568850515.7169173</v>
      </c>
    </row>
    <row r="17" spans="1:18">
      <c r="A17" s="40" t="s">
        <v>151</v>
      </c>
      <c r="B17" s="11" t="s">
        <v>152</v>
      </c>
      <c r="C17" s="91">
        <v>39.9</v>
      </c>
      <c r="D17" s="88">
        <v>2.8350515499999999E-2</v>
      </c>
      <c r="E17" s="89">
        <v>399998890.475932</v>
      </c>
      <c r="F17" s="35"/>
      <c r="G17" s="325">
        <f>_xlfn.IFNA(VLOOKUP(G14, $B$2:$D$200, 3, FALSE), "-")</f>
        <v>-1.6680144000000001E-2</v>
      </c>
      <c r="H17" s="319">
        <f>_xlfn.IFNA(VLOOKUP(G14, $B$2:$D$200, 2, FALSE), "-")</f>
        <v>62017000</v>
      </c>
      <c r="I17" s="320"/>
      <c r="K17" s="56" t="str">
        <f ca="1">IFERROR(OFFSET(INDIRECT($H$3 &amp; "!A17"), 11, 0), "")</f>
        <v>픽셀</v>
      </c>
      <c r="L17" s="39">
        <f t="shared" ca="1" si="0"/>
        <v>104</v>
      </c>
      <c r="M17" s="73">
        <f t="shared" ca="1" si="1"/>
        <v>-9.5238094999999991E-3</v>
      </c>
      <c r="N17" s="82">
        <f t="shared" ca="1" si="4"/>
        <v>118470208.94830199</v>
      </c>
      <c r="O17" s="84" t="s">
        <v>146</v>
      </c>
      <c r="P17" s="39">
        <f t="shared" si="2"/>
        <v>16280</v>
      </c>
      <c r="Q17" s="73">
        <f t="shared" si="3"/>
        <v>3.7603569199999999E-2</v>
      </c>
      <c r="R17" s="82">
        <f t="shared" si="5"/>
        <v>2533770.5076982402</v>
      </c>
    </row>
    <row r="18" spans="1:18" ht="17.25" thickBot="1">
      <c r="A18" s="40" t="s">
        <v>115</v>
      </c>
      <c r="B18" s="11" t="s">
        <v>116</v>
      </c>
      <c r="C18" s="91">
        <v>552</v>
      </c>
      <c r="D18" s="88">
        <v>2.7932960900000001E-2</v>
      </c>
      <c r="E18" s="89">
        <v>11270800.364539869</v>
      </c>
      <c r="F18" s="35"/>
      <c r="G18" s="326"/>
      <c r="H18" s="321"/>
      <c r="I18" s="322"/>
      <c r="K18" s="56" t="str">
        <f ca="1">IFERROR(OFFSET(INDIRECT($H$3 &amp; "!A17"), 12, 0), "")</f>
        <v>메타디움</v>
      </c>
      <c r="L18" s="39">
        <f t="shared" ca="1" si="0"/>
        <v>166</v>
      </c>
      <c r="M18" s="73">
        <f t="shared" ca="1" si="1"/>
        <v>-2.35294118E-2</v>
      </c>
      <c r="N18" s="82">
        <f t="shared" ca="1" si="4"/>
        <v>81408120.424950466</v>
      </c>
      <c r="O18" s="84" t="s">
        <v>284</v>
      </c>
      <c r="P18" s="39">
        <f t="shared" si="2"/>
        <v>422</v>
      </c>
      <c r="Q18" s="73">
        <f t="shared" si="3"/>
        <v>3.6855036899999999E-2</v>
      </c>
      <c r="R18" s="82">
        <f t="shared" si="5"/>
        <v>16383886.06476219</v>
      </c>
    </row>
    <row r="19" spans="1:18" ht="17.25" thickBot="1">
      <c r="A19" s="40" t="s">
        <v>215</v>
      </c>
      <c r="B19" s="11" t="s">
        <v>216</v>
      </c>
      <c r="C19" s="91">
        <v>444</v>
      </c>
      <c r="D19" s="88">
        <v>2.77777778E-2</v>
      </c>
      <c r="E19" s="89">
        <v>12345622.468190391</v>
      </c>
      <c r="F19" s="35"/>
      <c r="K19" s="56" t="str">
        <f ca="1">IFERROR(OFFSET(INDIRECT($H$3 &amp; "!A17"), 13, 0), "")</f>
        <v>솔브케어</v>
      </c>
      <c r="L19" s="39">
        <f t="shared" ca="1" si="0"/>
        <v>242</v>
      </c>
      <c r="M19" s="73">
        <f t="shared" ca="1" si="1"/>
        <v>-4.1152263000000001E-3</v>
      </c>
      <c r="N19" s="82">
        <f t="shared" ca="1" si="4"/>
        <v>9360769.6778150704</v>
      </c>
      <c r="O19" s="84" t="s">
        <v>76</v>
      </c>
      <c r="P19" s="39">
        <f t="shared" si="2"/>
        <v>56700</v>
      </c>
      <c r="Q19" s="73">
        <f t="shared" si="3"/>
        <v>3.2975040999999997E-2</v>
      </c>
      <c r="R19" s="82">
        <f t="shared" si="5"/>
        <v>749906.42331266997</v>
      </c>
    </row>
    <row r="20" spans="1:18" ht="17.25" thickBot="1">
      <c r="A20" s="40" t="s">
        <v>105</v>
      </c>
      <c r="B20" s="11" t="s">
        <v>106</v>
      </c>
      <c r="C20" s="91">
        <v>2105</v>
      </c>
      <c r="D20" s="88">
        <v>2.68292683E-2</v>
      </c>
      <c r="E20" s="89">
        <v>2177676.1729120002</v>
      </c>
      <c r="F20" s="35"/>
      <c r="G20" s="241" t="s">
        <v>286</v>
      </c>
      <c r="H20" s="242"/>
      <c r="I20" s="243"/>
      <c r="K20" s="58" t="str">
        <f ca="1">IFERROR(OFFSET(INDIRECT($H$3 &amp; "!A17"), 14, 0), "")</f>
        <v>피르마체인</v>
      </c>
      <c r="L20" s="44">
        <f t="shared" ca="1" si="0"/>
        <v>165</v>
      </c>
      <c r="M20" s="74">
        <f t="shared" ca="1" si="1"/>
        <v>-6.0240963999999998E-3</v>
      </c>
      <c r="N20" s="86">
        <f t="shared" ca="1" si="4"/>
        <v>30793942.355077829</v>
      </c>
      <c r="O20" s="84" t="s">
        <v>144</v>
      </c>
      <c r="P20" s="39">
        <f t="shared" si="2"/>
        <v>12630</v>
      </c>
      <c r="Q20" s="73">
        <f t="shared" si="3"/>
        <v>3.1020408199999999E-2</v>
      </c>
      <c r="R20" s="86">
        <f t="shared" si="5"/>
        <v>3041995.94564771</v>
      </c>
    </row>
    <row r="21" spans="1:18">
      <c r="A21" s="40" t="s">
        <v>261</v>
      </c>
      <c r="B21" s="11" t="s">
        <v>262</v>
      </c>
      <c r="C21" s="91">
        <v>1150</v>
      </c>
      <c r="D21" s="88">
        <v>2.6785714299999999E-2</v>
      </c>
      <c r="E21" s="89">
        <v>13625158.416340159</v>
      </c>
      <c r="F21" s="35"/>
      <c r="G21" s="250" t="s">
        <v>36</v>
      </c>
      <c r="H21" s="251"/>
      <c r="I21" s="252"/>
      <c r="K21" s="56" t="str">
        <f ca="1">IFERROR(OFFSET(INDIRECT($H$3 &amp; "!A17"), 15, 0), "")</f>
        <v>메디블록</v>
      </c>
      <c r="L21" s="39">
        <f t="shared" ca="1" si="0"/>
        <v>127</v>
      </c>
      <c r="M21" s="73">
        <f t="shared" ca="1" si="1"/>
        <v>0</v>
      </c>
      <c r="N21" s="95">
        <f t="shared" ca="1" si="4"/>
        <v>376587060.76465201</v>
      </c>
      <c r="O21" s="85" t="s">
        <v>152</v>
      </c>
      <c r="P21" s="45">
        <f t="shared" si="2"/>
        <v>39.9</v>
      </c>
      <c r="Q21" s="76">
        <f t="shared" si="3"/>
        <v>2.8350515499999999E-2</v>
      </c>
      <c r="R21" s="95">
        <f t="shared" si="5"/>
        <v>399998890.475932</v>
      </c>
    </row>
    <row r="22" spans="1:18" ht="17.25" thickBot="1">
      <c r="A22" s="40" t="s">
        <v>117</v>
      </c>
      <c r="B22" s="11" t="s">
        <v>118</v>
      </c>
      <c r="C22" s="91">
        <v>6955</v>
      </c>
      <c r="D22" s="88">
        <v>2.65682657E-2</v>
      </c>
      <c r="E22" s="89">
        <v>427742.50001785997</v>
      </c>
      <c r="F22" s="35"/>
      <c r="G22" s="256"/>
      <c r="H22" s="257"/>
      <c r="I22" s="258"/>
      <c r="K22" s="56" t="str">
        <f ca="1">IFERROR(OFFSET(INDIRECT($H$3 &amp; "!A17"), 16, 0), "")</f>
        <v>플레이댑</v>
      </c>
      <c r="L22" s="39">
        <f t="shared" ca="1" si="0"/>
        <v>431</v>
      </c>
      <c r="M22" s="73">
        <f t="shared" ca="1" si="1"/>
        <v>-4.6189376000000002E-3</v>
      </c>
      <c r="N22" s="82">
        <f t="shared" ca="1" si="4"/>
        <v>5840890.4709722996</v>
      </c>
      <c r="O22" s="84" t="s">
        <v>116</v>
      </c>
      <c r="P22" s="39">
        <f t="shared" si="2"/>
        <v>552</v>
      </c>
      <c r="Q22" s="73">
        <f t="shared" si="3"/>
        <v>2.7932960900000001E-2</v>
      </c>
      <c r="R22" s="82">
        <f t="shared" si="5"/>
        <v>11270800.364539869</v>
      </c>
    </row>
    <row r="23" spans="1:18" ht="17.25" thickBot="1">
      <c r="A23" s="40" t="s">
        <v>255</v>
      </c>
      <c r="B23" s="11" t="s">
        <v>256</v>
      </c>
      <c r="C23" s="91">
        <v>241</v>
      </c>
      <c r="D23" s="88">
        <v>2.5531914900000001E-2</v>
      </c>
      <c r="E23" s="89">
        <v>10406770.57768362</v>
      </c>
      <c r="F23" s="35"/>
      <c r="G23" s="50" t="s">
        <v>38</v>
      </c>
      <c r="H23" s="242" t="s">
        <v>37</v>
      </c>
      <c r="I23" s="243"/>
      <c r="K23" s="56" t="str">
        <f ca="1">IFERROR(OFFSET(INDIRECT($H$3 &amp; "!A17"), 17, 0), "")</f>
        <v>엔도르</v>
      </c>
      <c r="L23" s="39">
        <f t="shared" ca="1" si="0"/>
        <v>69.099999999999994</v>
      </c>
      <c r="M23" s="73">
        <f t="shared" ca="1" si="1"/>
        <v>-4.2936288099999997E-2</v>
      </c>
      <c r="N23" s="82">
        <f t="shared" ca="1" si="4"/>
        <v>258356852.77407247</v>
      </c>
      <c r="O23" s="84" t="s">
        <v>216</v>
      </c>
      <c r="P23" s="39">
        <f t="shared" si="2"/>
        <v>444</v>
      </c>
      <c r="Q23" s="73">
        <f t="shared" si="3"/>
        <v>2.77777778E-2</v>
      </c>
      <c r="R23" s="82">
        <f t="shared" si="5"/>
        <v>12345622.468190391</v>
      </c>
    </row>
    <row r="24" spans="1:18">
      <c r="A24" s="40" t="s">
        <v>68</v>
      </c>
      <c r="B24" s="11" t="s">
        <v>69</v>
      </c>
      <c r="C24" s="91">
        <v>10910</v>
      </c>
      <c r="D24" s="88">
        <v>2.53759398E-2</v>
      </c>
      <c r="E24" s="89">
        <v>867058.7663888</v>
      </c>
      <c r="F24" s="35"/>
      <c r="G24" s="325">
        <f>_xlfn.IFNA(VLOOKUP(G21, $B$2:$D$200, 3, FALSE), "-")</f>
        <v>-1.6680144000000001E-2</v>
      </c>
      <c r="H24" s="319">
        <f>_xlfn.IFNA(VLOOKUP(G21, $B$2:$D$200, 2, FALSE), "-")</f>
        <v>62017000</v>
      </c>
      <c r="I24" s="320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84" t="s">
        <v>106</v>
      </c>
      <c r="P24" s="39">
        <f t="shared" si="2"/>
        <v>2105</v>
      </c>
      <c r="Q24" s="73">
        <f t="shared" si="3"/>
        <v>2.68292683E-2</v>
      </c>
      <c r="R24" s="82">
        <f t="shared" si="5"/>
        <v>2177676.1729120002</v>
      </c>
    </row>
    <row r="25" spans="1:18" ht="17.25" thickBot="1">
      <c r="A25" s="40" t="s">
        <v>85</v>
      </c>
      <c r="B25" s="11" t="s">
        <v>86</v>
      </c>
      <c r="C25" s="91">
        <v>13770</v>
      </c>
      <c r="D25" s="88">
        <v>2.4553571400000002E-2</v>
      </c>
      <c r="E25" s="89">
        <v>73915056.903521061</v>
      </c>
      <c r="F25" s="35"/>
      <c r="G25" s="326"/>
      <c r="H25" s="321"/>
      <c r="I25" s="322"/>
      <c r="K25" s="57">
        <f ca="1">IFERROR(OFFSET(INDIRECT($H$3 &amp; "!A17"), 19, 0), "")</f>
        <v>0</v>
      </c>
      <c r="L25" s="37" t="str">
        <f t="shared" ca="1" si="0"/>
        <v/>
      </c>
      <c r="M25" s="75" t="str">
        <f t="shared" ca="1" si="1"/>
        <v/>
      </c>
      <c r="N25" s="83" t="str">
        <f t="shared" ca="1" si="4"/>
        <v/>
      </c>
      <c r="O25" s="70" t="s">
        <v>262</v>
      </c>
      <c r="P25" s="37">
        <f t="shared" si="2"/>
        <v>1150</v>
      </c>
      <c r="Q25" s="75">
        <f t="shared" si="3"/>
        <v>2.6785714299999999E-2</v>
      </c>
      <c r="R25" s="83">
        <f t="shared" si="5"/>
        <v>13625158.416340159</v>
      </c>
    </row>
    <row r="26" spans="1:18">
      <c r="A26" s="40" t="s">
        <v>173</v>
      </c>
      <c r="B26" s="11" t="s">
        <v>174</v>
      </c>
      <c r="C26" s="91">
        <v>252</v>
      </c>
      <c r="D26" s="88">
        <v>2.4390243900000001E-2</v>
      </c>
      <c r="E26" s="89">
        <v>103576700.87241954</v>
      </c>
      <c r="F26" s="35"/>
    </row>
    <row r="27" spans="1:18" ht="17.25" thickBot="1">
      <c r="A27" s="40" t="s">
        <v>219</v>
      </c>
      <c r="B27" s="11" t="s">
        <v>220</v>
      </c>
      <c r="C27" s="91">
        <v>17.899999999999999</v>
      </c>
      <c r="D27" s="88">
        <v>2.2857142899999999E-2</v>
      </c>
      <c r="E27" s="89">
        <v>886528687.66298258</v>
      </c>
      <c r="F27" s="35"/>
    </row>
    <row r="28" spans="1:18" ht="17.25" thickBot="1">
      <c r="A28" s="40" t="s">
        <v>89</v>
      </c>
      <c r="B28" s="11" t="s">
        <v>90</v>
      </c>
      <c r="C28" s="91">
        <v>409350</v>
      </c>
      <c r="D28" s="88">
        <v>2.1714713600000001E-2</v>
      </c>
      <c r="E28" s="89">
        <v>57867.57467917</v>
      </c>
      <c r="F28" s="35"/>
      <c r="G28" s="241" t="s">
        <v>46</v>
      </c>
      <c r="H28" s="242"/>
      <c r="I28" s="242"/>
      <c r="J28" s="243"/>
      <c r="K28" s="241" t="s">
        <v>44</v>
      </c>
      <c r="L28" s="242"/>
      <c r="M28" s="242"/>
      <c r="N28" s="243"/>
      <c r="O28" s="241" t="s">
        <v>45</v>
      </c>
      <c r="P28" s="242"/>
      <c r="Q28" s="242"/>
      <c r="R28" s="243"/>
    </row>
    <row r="29" spans="1:18" ht="17.25" thickBot="1">
      <c r="A29" s="40" t="s">
        <v>165</v>
      </c>
      <c r="B29" s="11" t="s">
        <v>166</v>
      </c>
      <c r="C29" s="91">
        <v>2200</v>
      </c>
      <c r="D29" s="88">
        <v>2.0881670500000001E-2</v>
      </c>
      <c r="E29" s="89">
        <v>1529893.8361695099</v>
      </c>
      <c r="F29" s="35"/>
      <c r="G29" s="306" t="s">
        <v>55</v>
      </c>
      <c r="H29" s="327">
        <f ca="1">NOW()</f>
        <v>44331.066325</v>
      </c>
      <c r="I29" s="328"/>
      <c r="J29" s="329"/>
      <c r="K29" s="318" t="s">
        <v>55</v>
      </c>
      <c r="L29" s="327">
        <f ca="1">NOW()</f>
        <v>44331.066325</v>
      </c>
      <c r="M29" s="328"/>
      <c r="N29" s="329"/>
      <c r="O29" s="318" t="s">
        <v>55</v>
      </c>
      <c r="P29" s="327">
        <f ca="1">NOW()</f>
        <v>44331.066325</v>
      </c>
      <c r="Q29" s="328"/>
      <c r="R29" s="329"/>
    </row>
    <row r="30" spans="1:18" ht="17.25" thickBot="1">
      <c r="A30" s="40" t="s">
        <v>73</v>
      </c>
      <c r="B30" s="11" t="s">
        <v>74</v>
      </c>
      <c r="C30" s="91">
        <v>30440</v>
      </c>
      <c r="D30" s="88">
        <v>2.07914152E-2</v>
      </c>
      <c r="E30" s="89">
        <v>296110.88987030002</v>
      </c>
      <c r="F30" s="35"/>
      <c r="G30" s="303"/>
      <c r="H30" s="51" t="s">
        <v>58</v>
      </c>
      <c r="I30" s="69" t="s">
        <v>59</v>
      </c>
      <c r="J30" s="65" t="s">
        <v>294</v>
      </c>
      <c r="K30" s="258"/>
      <c r="L30" s="51" t="s">
        <v>58</v>
      </c>
      <c r="M30" s="69" t="s">
        <v>59</v>
      </c>
      <c r="N30" s="87" t="s">
        <v>294</v>
      </c>
      <c r="O30" s="258"/>
      <c r="P30" s="51" t="s">
        <v>58</v>
      </c>
      <c r="Q30" s="69" t="s">
        <v>59</v>
      </c>
      <c r="R30" s="87" t="s">
        <v>294</v>
      </c>
    </row>
    <row r="31" spans="1:18">
      <c r="A31" s="40" t="s">
        <v>127</v>
      </c>
      <c r="B31" s="11" t="s">
        <v>128</v>
      </c>
      <c r="C31" s="91">
        <v>599</v>
      </c>
      <c r="D31" s="88">
        <v>2.0442930200000001E-2</v>
      </c>
      <c r="E31" s="89">
        <v>5704352.3565668399</v>
      </c>
      <c r="F31" s="35"/>
      <c r="G31" s="52" t="s">
        <v>102</v>
      </c>
      <c r="H31" s="38">
        <f t="shared" ref="H31:H50" si="6">_xlfn.IFNA(VLOOKUP(G31, $B$2:$D$200, 2, FALSE), "")</f>
        <v>129600</v>
      </c>
      <c r="I31" s="72">
        <f t="shared" ref="I31:I50" si="7">_xlfn.IFNA(VLOOKUP(G31, $B$2:$D$200, 3, FALSE), "")</f>
        <v>0.1363437089</v>
      </c>
      <c r="J31" s="81">
        <f>_xlfn.IFNA(VLOOKUP(G31, $B$2:$E$200, 4, FALSE), "")</f>
        <v>18621953.768779721</v>
      </c>
      <c r="K31" s="77" t="s">
        <v>186</v>
      </c>
      <c r="L31" s="38">
        <f t="shared" ref="L31:L50" si="8">_xlfn.IFNA(VLOOKUP(K31, $B$2:$D$200, 2, FALSE), "")</f>
        <v>23.4</v>
      </c>
      <c r="M31" s="72">
        <f t="shared" ref="M31:M50" si="9">_xlfn.IFNA(VLOOKUP(K31, $B$2:$D$200, 3, FALSE), "")</f>
        <v>0.1090047393</v>
      </c>
      <c r="N31" s="81">
        <f>_xlfn.IFNA(VLOOKUP(K31, $B$2:$E$200, 4, FALSE), "")</f>
        <v>5582370232.6251097</v>
      </c>
      <c r="O31" s="77" t="s">
        <v>296</v>
      </c>
      <c r="P31" s="38">
        <f t="shared" ref="P31:P50" si="10">_xlfn.IFNA(VLOOKUP(O31, $B$2:$D$200, 2, FALSE), "")</f>
        <v>662</v>
      </c>
      <c r="Q31" s="72">
        <f t="shared" ref="Q31:Q50" si="11">_xlfn.IFNA(VLOOKUP(O31, $B$2:$D$200, 3, FALSE), "")</f>
        <v>7.4675324700000004E-2</v>
      </c>
      <c r="R31" s="81">
        <f>_xlfn.IFNA(VLOOKUP(O31, $B$2:$E$200, 4, FALSE), "")</f>
        <v>8355690765.7682304</v>
      </c>
    </row>
    <row r="32" spans="1:18">
      <c r="A32" s="40" t="s">
        <v>139</v>
      </c>
      <c r="B32" s="11" t="s">
        <v>140</v>
      </c>
      <c r="C32" s="91">
        <v>3825</v>
      </c>
      <c r="D32" s="88">
        <v>0.02</v>
      </c>
      <c r="E32" s="89">
        <v>724304.02546080004</v>
      </c>
      <c r="F32" s="35"/>
      <c r="G32" s="47" t="s">
        <v>186</v>
      </c>
      <c r="H32" s="39">
        <f t="shared" si="6"/>
        <v>23.4</v>
      </c>
      <c r="I32" s="73">
        <f t="shared" si="7"/>
        <v>0.1090047393</v>
      </c>
      <c r="J32" s="82">
        <f t="shared" ref="J32:J50" si="12">_xlfn.IFNA(VLOOKUP(G32, $B$2:$E$200, 4, FALSE), "")</f>
        <v>5582370232.6251097</v>
      </c>
      <c r="K32" s="78" t="s">
        <v>126</v>
      </c>
      <c r="L32" s="39">
        <f t="shared" si="8"/>
        <v>52</v>
      </c>
      <c r="M32" s="73">
        <f t="shared" si="9"/>
        <v>5.9063136500000002E-2</v>
      </c>
      <c r="N32" s="82">
        <f t="shared" ref="N32:N50" si="13">_xlfn.IFNA(VLOOKUP(K32, $B$2:$E$200, 4, FALSE), "")</f>
        <v>365576675.54781848</v>
      </c>
      <c r="O32" s="78" t="s">
        <v>136</v>
      </c>
      <c r="P32" s="39">
        <f t="shared" si="10"/>
        <v>243</v>
      </c>
      <c r="Q32" s="73">
        <f t="shared" si="11"/>
        <v>5.19480519E-2</v>
      </c>
      <c r="R32" s="82">
        <f t="shared" ref="R32:R50" si="14">_xlfn.IFNA(VLOOKUP(O32, $B$2:$E$200, 4, FALSE), "")</f>
        <v>22037183.183284249</v>
      </c>
    </row>
    <row r="33" spans="1:18">
      <c r="A33" s="40" t="s">
        <v>223</v>
      </c>
      <c r="B33" s="11" t="s">
        <v>224</v>
      </c>
      <c r="C33" s="91">
        <v>1930</v>
      </c>
      <c r="D33" s="88">
        <v>1.8469657E-2</v>
      </c>
      <c r="E33" s="89">
        <v>32856997.15323884</v>
      </c>
      <c r="F33" s="35"/>
      <c r="G33" s="47" t="s">
        <v>296</v>
      </c>
      <c r="H33" s="39">
        <f t="shared" si="6"/>
        <v>662</v>
      </c>
      <c r="I33" s="73">
        <f t="shared" si="7"/>
        <v>7.4675324700000004E-2</v>
      </c>
      <c r="J33" s="82">
        <f t="shared" si="12"/>
        <v>8355690765.7682304</v>
      </c>
      <c r="K33" s="78" t="s">
        <v>152</v>
      </c>
      <c r="L33" s="39">
        <f t="shared" si="8"/>
        <v>39.9</v>
      </c>
      <c r="M33" s="73">
        <f t="shared" si="9"/>
        <v>2.8350515499999999E-2</v>
      </c>
      <c r="N33" s="82">
        <f t="shared" si="13"/>
        <v>399998890.475932</v>
      </c>
      <c r="O33" s="78" t="s">
        <v>240</v>
      </c>
      <c r="P33" s="39">
        <f t="shared" si="10"/>
        <v>159</v>
      </c>
      <c r="Q33" s="73">
        <f t="shared" si="11"/>
        <v>4.6052631599999998E-2</v>
      </c>
      <c r="R33" s="82">
        <f t="shared" si="14"/>
        <v>339044619.95868152</v>
      </c>
    </row>
    <row r="34" spans="1:18">
      <c r="A34" s="40" t="s">
        <v>193</v>
      </c>
      <c r="B34" s="11" t="s">
        <v>194</v>
      </c>
      <c r="C34" s="91">
        <v>12160</v>
      </c>
      <c r="D34" s="88">
        <v>1.8425460599999999E-2</v>
      </c>
      <c r="E34" s="89">
        <v>2206847.3994346801</v>
      </c>
      <c r="F34" s="35"/>
      <c r="G34" s="47" t="s">
        <v>108</v>
      </c>
      <c r="H34" s="39">
        <f t="shared" si="6"/>
        <v>55130</v>
      </c>
      <c r="I34" s="73">
        <f t="shared" si="7"/>
        <v>6.4285714300000005E-2</v>
      </c>
      <c r="J34" s="82">
        <f t="shared" si="12"/>
        <v>2160799.8446104801</v>
      </c>
      <c r="K34" s="78" t="s">
        <v>220</v>
      </c>
      <c r="L34" s="39">
        <f t="shared" si="8"/>
        <v>17.899999999999999</v>
      </c>
      <c r="M34" s="73">
        <f t="shared" si="9"/>
        <v>2.2857142899999999E-2</v>
      </c>
      <c r="N34" s="82">
        <f t="shared" si="13"/>
        <v>886528687.66298258</v>
      </c>
      <c r="O34" s="78" t="s">
        <v>260</v>
      </c>
      <c r="P34" s="39">
        <f t="shared" si="10"/>
        <v>123</v>
      </c>
      <c r="Q34" s="73">
        <f t="shared" si="11"/>
        <v>4.23728814E-2</v>
      </c>
      <c r="R34" s="82">
        <f t="shared" si="14"/>
        <v>1568850515.7169173</v>
      </c>
    </row>
    <row r="35" spans="1:18">
      <c r="A35" s="40" t="s">
        <v>147</v>
      </c>
      <c r="B35" s="11" t="s">
        <v>148</v>
      </c>
      <c r="C35" s="91">
        <v>174</v>
      </c>
      <c r="D35" s="88">
        <v>1.75438596E-2</v>
      </c>
      <c r="E35" s="89">
        <v>37979187.945613332</v>
      </c>
      <c r="F35" s="35"/>
      <c r="G35" s="47" t="s">
        <v>126</v>
      </c>
      <c r="H35" s="44">
        <f t="shared" si="6"/>
        <v>52</v>
      </c>
      <c r="I35" s="74">
        <f t="shared" si="7"/>
        <v>5.9063136500000002E-2</v>
      </c>
      <c r="J35" s="86">
        <f t="shared" si="12"/>
        <v>365576675.54781848</v>
      </c>
      <c r="K35" s="79" t="s">
        <v>222</v>
      </c>
      <c r="L35" s="44">
        <f t="shared" si="8"/>
        <v>16.100000000000001</v>
      </c>
      <c r="M35" s="74">
        <f t="shared" si="9"/>
        <v>1.2578616399999999E-2</v>
      </c>
      <c r="N35" s="86">
        <f t="shared" si="13"/>
        <v>543996404.07514226</v>
      </c>
      <c r="O35" s="79" t="s">
        <v>284</v>
      </c>
      <c r="P35" s="44">
        <f t="shared" si="10"/>
        <v>422</v>
      </c>
      <c r="Q35" s="74">
        <f t="shared" si="11"/>
        <v>3.6855036899999999E-2</v>
      </c>
      <c r="R35" s="86">
        <f t="shared" si="14"/>
        <v>16383886.06476219</v>
      </c>
    </row>
    <row r="36" spans="1:18">
      <c r="A36" s="40" t="s">
        <v>249</v>
      </c>
      <c r="B36" s="11" t="s">
        <v>250</v>
      </c>
      <c r="C36" s="91">
        <v>179</v>
      </c>
      <c r="D36" s="88">
        <v>1.7045454500000001E-2</v>
      </c>
      <c r="E36" s="89">
        <v>11878779.04254951</v>
      </c>
      <c r="F36" s="35"/>
      <c r="G36" s="49" t="s">
        <v>138</v>
      </c>
      <c r="H36" s="39">
        <f t="shared" si="6"/>
        <v>53360</v>
      </c>
      <c r="I36" s="73">
        <f t="shared" si="7"/>
        <v>5.4962435699999999E-2</v>
      </c>
      <c r="J36" s="95">
        <f t="shared" si="12"/>
        <v>2161911.7079643901</v>
      </c>
      <c r="K36" s="78" t="s">
        <v>65</v>
      </c>
      <c r="L36" s="39">
        <f t="shared" si="8"/>
        <v>64.400000000000006</v>
      </c>
      <c r="M36" s="73">
        <f t="shared" si="9"/>
        <v>1.0989011E-2</v>
      </c>
      <c r="N36" s="95">
        <f t="shared" si="13"/>
        <v>162485202.18962064</v>
      </c>
      <c r="O36" s="78" t="s">
        <v>116</v>
      </c>
      <c r="P36" s="39">
        <f t="shared" si="10"/>
        <v>552</v>
      </c>
      <c r="Q36" s="73">
        <f t="shared" si="11"/>
        <v>2.7932960900000001E-2</v>
      </c>
      <c r="R36" s="95">
        <f t="shared" si="14"/>
        <v>11270800.364539869</v>
      </c>
    </row>
    <row r="37" spans="1:18">
      <c r="A37" s="40" t="s">
        <v>109</v>
      </c>
      <c r="B37" s="11" t="s">
        <v>110</v>
      </c>
      <c r="C37" s="91">
        <v>2695</v>
      </c>
      <c r="D37" s="88">
        <v>1.6981132100000001E-2</v>
      </c>
      <c r="E37" s="89">
        <v>1423258.90718585</v>
      </c>
      <c r="F37" s="35"/>
      <c r="G37" s="47" t="s">
        <v>96</v>
      </c>
      <c r="H37" s="39">
        <f t="shared" si="6"/>
        <v>4977000</v>
      </c>
      <c r="I37" s="73">
        <f t="shared" si="7"/>
        <v>5.4225799599999999E-2</v>
      </c>
      <c r="J37" s="82">
        <f t="shared" si="12"/>
        <v>173427.81567677</v>
      </c>
      <c r="K37" s="78" t="s">
        <v>198</v>
      </c>
      <c r="L37" s="39">
        <f t="shared" si="8"/>
        <v>24.1</v>
      </c>
      <c r="M37" s="73">
        <f t="shared" si="9"/>
        <v>8.3682007999999995E-3</v>
      </c>
      <c r="N37" s="82">
        <f t="shared" si="13"/>
        <v>837876363.30143321</v>
      </c>
      <c r="O37" s="78" t="s">
        <v>216</v>
      </c>
      <c r="P37" s="39">
        <f t="shared" si="10"/>
        <v>444</v>
      </c>
      <c r="Q37" s="73">
        <f t="shared" si="11"/>
        <v>2.77777778E-2</v>
      </c>
      <c r="R37" s="82">
        <f t="shared" si="14"/>
        <v>12345622.468190391</v>
      </c>
    </row>
    <row r="38" spans="1:18">
      <c r="A38" s="40" t="s">
        <v>177</v>
      </c>
      <c r="B38" s="11" t="s">
        <v>178</v>
      </c>
      <c r="C38" s="91">
        <v>47150</v>
      </c>
      <c r="D38" s="88">
        <v>1.6601983599999998E-2</v>
      </c>
      <c r="E38" s="89">
        <v>109242.37474939</v>
      </c>
      <c r="F38" s="35"/>
      <c r="G38" s="47" t="s">
        <v>136</v>
      </c>
      <c r="H38" s="39">
        <f t="shared" si="6"/>
        <v>243</v>
      </c>
      <c r="I38" s="73">
        <f t="shared" si="7"/>
        <v>5.19480519E-2</v>
      </c>
      <c r="J38" s="82">
        <f t="shared" si="12"/>
        <v>22037183.183284249</v>
      </c>
      <c r="K38" s="78" t="s">
        <v>228</v>
      </c>
      <c r="L38" s="39">
        <f t="shared" si="8"/>
        <v>16</v>
      </c>
      <c r="M38" s="73">
        <f t="shared" si="9"/>
        <v>6.2893081999999996E-3</v>
      </c>
      <c r="N38" s="82">
        <f t="shared" si="13"/>
        <v>1016184979.178771</v>
      </c>
      <c r="O38" s="78" t="s">
        <v>256</v>
      </c>
      <c r="P38" s="39">
        <f t="shared" si="10"/>
        <v>241</v>
      </c>
      <c r="Q38" s="73">
        <f t="shared" si="11"/>
        <v>2.5531914900000001E-2</v>
      </c>
      <c r="R38" s="82">
        <f t="shared" si="14"/>
        <v>10406770.57768362</v>
      </c>
    </row>
    <row r="39" spans="1:18">
      <c r="A39" s="40" t="s">
        <v>123</v>
      </c>
      <c r="B39" s="11" t="s">
        <v>124</v>
      </c>
      <c r="C39" s="91">
        <v>5870</v>
      </c>
      <c r="D39" s="88">
        <v>1.64502165E-2</v>
      </c>
      <c r="E39" s="89">
        <v>654179.78591653996</v>
      </c>
      <c r="F39" s="35"/>
      <c r="G39" s="47" t="s">
        <v>240</v>
      </c>
      <c r="H39" s="39">
        <f t="shared" si="6"/>
        <v>159</v>
      </c>
      <c r="I39" s="73">
        <f t="shared" si="7"/>
        <v>4.6052631599999998E-2</v>
      </c>
      <c r="J39" s="82">
        <f t="shared" si="12"/>
        <v>339044619.95868152</v>
      </c>
      <c r="K39" s="78" t="s">
        <v>196</v>
      </c>
      <c r="L39" s="39">
        <f t="shared" si="8"/>
        <v>17.8</v>
      </c>
      <c r="M39" s="73">
        <f t="shared" si="9"/>
        <v>5.6497175E-3</v>
      </c>
      <c r="N39" s="82">
        <f t="shared" si="13"/>
        <v>442145925.15253943</v>
      </c>
      <c r="O39" s="78" t="s">
        <v>174</v>
      </c>
      <c r="P39" s="39">
        <f t="shared" si="10"/>
        <v>252</v>
      </c>
      <c r="Q39" s="73">
        <f t="shared" si="11"/>
        <v>2.4390243900000001E-2</v>
      </c>
      <c r="R39" s="82">
        <f t="shared" si="14"/>
        <v>103576700.87241954</v>
      </c>
    </row>
    <row r="40" spans="1:18" ht="17.25" thickBot="1">
      <c r="A40" s="40" t="s">
        <v>241</v>
      </c>
      <c r="B40" s="11" t="s">
        <v>242</v>
      </c>
      <c r="C40" s="91">
        <v>9115</v>
      </c>
      <c r="D40" s="88">
        <v>1.61649944E-2</v>
      </c>
      <c r="E40" s="89">
        <v>4907282.5162187302</v>
      </c>
      <c r="F40" s="35"/>
      <c r="G40" s="53" t="s">
        <v>94</v>
      </c>
      <c r="H40" s="37">
        <f t="shared" si="6"/>
        <v>124950</v>
      </c>
      <c r="I40" s="75">
        <f t="shared" si="7"/>
        <v>4.4732441499999998E-2</v>
      </c>
      <c r="J40" s="83">
        <f t="shared" si="12"/>
        <v>1054965.3293991601</v>
      </c>
      <c r="K40" s="80" t="s">
        <v>154</v>
      </c>
      <c r="L40" s="37">
        <f t="shared" si="8"/>
        <v>17.8</v>
      </c>
      <c r="M40" s="75">
        <f t="shared" si="9"/>
        <v>5.6497175E-3</v>
      </c>
      <c r="N40" s="83">
        <f t="shared" si="13"/>
        <v>879419950.49827492</v>
      </c>
      <c r="O40" s="80" t="s">
        <v>128</v>
      </c>
      <c r="P40" s="37">
        <f t="shared" si="10"/>
        <v>599</v>
      </c>
      <c r="Q40" s="75">
        <f t="shared" si="11"/>
        <v>2.0442930200000001E-2</v>
      </c>
      <c r="R40" s="83">
        <f t="shared" si="14"/>
        <v>5704352.3565668399</v>
      </c>
    </row>
    <row r="41" spans="1:18">
      <c r="A41" s="40" t="s">
        <v>247</v>
      </c>
      <c r="B41" s="11" t="s">
        <v>248</v>
      </c>
      <c r="C41" s="91">
        <v>3170</v>
      </c>
      <c r="D41" s="88">
        <v>1.6025641E-2</v>
      </c>
      <c r="E41" s="89">
        <v>3491902.2867374099</v>
      </c>
      <c r="F41" s="35"/>
      <c r="G41" s="52" t="s">
        <v>260</v>
      </c>
      <c r="H41" s="38">
        <f t="shared" si="6"/>
        <v>123</v>
      </c>
      <c r="I41" s="72">
        <f t="shared" si="7"/>
        <v>4.23728814E-2</v>
      </c>
      <c r="J41" s="81">
        <f t="shared" si="12"/>
        <v>1568850515.7169173</v>
      </c>
      <c r="K41" s="77" t="s">
        <v>218</v>
      </c>
      <c r="L41" s="38">
        <f t="shared" si="8"/>
        <v>23.6</v>
      </c>
      <c r="M41" s="72">
        <f t="shared" si="9"/>
        <v>4.2553191000000001E-3</v>
      </c>
      <c r="N41" s="81">
        <f t="shared" si="13"/>
        <v>590506321.78551507</v>
      </c>
      <c r="O41" s="77" t="s">
        <v>148</v>
      </c>
      <c r="P41" s="38">
        <f t="shared" si="10"/>
        <v>174</v>
      </c>
      <c r="Q41" s="72">
        <f t="shared" si="11"/>
        <v>1.75438596E-2</v>
      </c>
      <c r="R41" s="81">
        <f t="shared" si="14"/>
        <v>37979187.945613332</v>
      </c>
    </row>
    <row r="42" spans="1:18">
      <c r="A42" s="40" t="s">
        <v>175</v>
      </c>
      <c r="B42" s="11" t="s">
        <v>176</v>
      </c>
      <c r="C42" s="91">
        <v>2050</v>
      </c>
      <c r="D42" s="88">
        <v>1.4851485100000001E-2</v>
      </c>
      <c r="E42" s="89">
        <v>3247864.9279454499</v>
      </c>
      <c r="F42" s="35"/>
      <c r="G42" s="47" t="s">
        <v>146</v>
      </c>
      <c r="H42" s="39">
        <f t="shared" si="6"/>
        <v>16280</v>
      </c>
      <c r="I42" s="73">
        <f t="shared" si="7"/>
        <v>3.7603569199999999E-2</v>
      </c>
      <c r="J42" s="82">
        <f t="shared" si="12"/>
        <v>2533770.5076982402</v>
      </c>
      <c r="K42" s="78" t="s">
        <v>266</v>
      </c>
      <c r="L42" s="39">
        <f t="shared" si="8"/>
        <v>85.5</v>
      </c>
      <c r="M42" s="73">
        <f t="shared" si="9"/>
        <v>1.1709602E-3</v>
      </c>
      <c r="N42" s="82">
        <f t="shared" si="13"/>
        <v>29550400.21772825</v>
      </c>
      <c r="O42" s="78" t="s">
        <v>250</v>
      </c>
      <c r="P42" s="39">
        <f t="shared" si="10"/>
        <v>179</v>
      </c>
      <c r="Q42" s="73">
        <f t="shared" si="11"/>
        <v>1.7045454500000001E-2</v>
      </c>
      <c r="R42" s="82">
        <f t="shared" si="14"/>
        <v>11878779.04254951</v>
      </c>
    </row>
    <row r="43" spans="1:18">
      <c r="A43" s="40" t="s">
        <v>187</v>
      </c>
      <c r="B43" s="11" t="s">
        <v>188</v>
      </c>
      <c r="C43" s="91">
        <v>26720</v>
      </c>
      <c r="D43" s="88">
        <v>1.44267274E-2</v>
      </c>
      <c r="E43" s="89">
        <v>11142368.881315701</v>
      </c>
      <c r="F43" s="35"/>
      <c r="G43" s="47" t="s">
        <v>284</v>
      </c>
      <c r="H43" s="39">
        <f t="shared" si="6"/>
        <v>422</v>
      </c>
      <c r="I43" s="73">
        <f t="shared" si="7"/>
        <v>3.6855036899999999E-2</v>
      </c>
      <c r="J43" s="82">
        <f t="shared" si="12"/>
        <v>16383886.06476219</v>
      </c>
      <c r="K43" s="78" t="s">
        <v>100</v>
      </c>
      <c r="L43" s="39">
        <f t="shared" si="8"/>
        <v>7.53</v>
      </c>
      <c r="M43" s="73">
        <f t="shared" si="9"/>
        <v>-1.3262599000000001E-3</v>
      </c>
      <c r="N43" s="82">
        <f t="shared" si="13"/>
        <v>23167713110.493984</v>
      </c>
      <c r="O43" s="78" t="s">
        <v>232</v>
      </c>
      <c r="P43" s="39">
        <f t="shared" si="10"/>
        <v>150</v>
      </c>
      <c r="Q43" s="73">
        <f t="shared" si="11"/>
        <v>1.3513513499999999E-2</v>
      </c>
      <c r="R43" s="82">
        <f t="shared" si="14"/>
        <v>74702205.03641288</v>
      </c>
    </row>
    <row r="44" spans="1:18">
      <c r="A44" s="40" t="s">
        <v>231</v>
      </c>
      <c r="B44" s="11" t="s">
        <v>232</v>
      </c>
      <c r="C44" s="91">
        <v>150</v>
      </c>
      <c r="D44" s="88">
        <v>1.3513513499999999E-2</v>
      </c>
      <c r="E44" s="89">
        <v>74702205.03641288</v>
      </c>
      <c r="F44" s="35"/>
      <c r="G44" s="47" t="s">
        <v>76</v>
      </c>
      <c r="H44" s="39">
        <f t="shared" si="6"/>
        <v>56700</v>
      </c>
      <c r="I44" s="73">
        <f t="shared" si="7"/>
        <v>3.2975040999999997E-2</v>
      </c>
      <c r="J44" s="82">
        <f t="shared" si="12"/>
        <v>749906.42331266997</v>
      </c>
      <c r="K44" s="78" t="s">
        <v>254</v>
      </c>
      <c r="L44" s="39">
        <f t="shared" si="8"/>
        <v>72.900000000000006</v>
      </c>
      <c r="M44" s="73">
        <f t="shared" si="9"/>
        <v>-4.0983607000000003E-3</v>
      </c>
      <c r="N44" s="82">
        <f t="shared" si="13"/>
        <v>63141356.09417893</v>
      </c>
      <c r="O44" s="78" t="s">
        <v>156</v>
      </c>
      <c r="P44" s="39">
        <f t="shared" si="10"/>
        <v>155</v>
      </c>
      <c r="Q44" s="73">
        <f t="shared" si="11"/>
        <v>1.30718954E-2</v>
      </c>
      <c r="R44" s="82">
        <f t="shared" si="14"/>
        <v>499122448.51371592</v>
      </c>
    </row>
    <row r="45" spans="1:18">
      <c r="A45" s="40" t="s">
        <v>155</v>
      </c>
      <c r="B45" s="11" t="s">
        <v>156</v>
      </c>
      <c r="C45" s="91">
        <v>155</v>
      </c>
      <c r="D45" s="88">
        <v>1.30718954E-2</v>
      </c>
      <c r="E45" s="89">
        <v>499122448.51371592</v>
      </c>
      <c r="F45" s="35"/>
      <c r="G45" s="47" t="s">
        <v>144</v>
      </c>
      <c r="H45" s="44">
        <f t="shared" si="6"/>
        <v>12630</v>
      </c>
      <c r="I45" s="74">
        <f t="shared" si="7"/>
        <v>3.1020408199999999E-2</v>
      </c>
      <c r="J45" s="86">
        <f t="shared" si="12"/>
        <v>3041995.94564771</v>
      </c>
      <c r="K45" s="79" t="s">
        <v>214</v>
      </c>
      <c r="L45" s="44">
        <f t="shared" si="8"/>
        <v>19.5</v>
      </c>
      <c r="M45" s="74">
        <f t="shared" si="9"/>
        <v>-1.51515152E-2</v>
      </c>
      <c r="N45" s="86">
        <f t="shared" si="13"/>
        <v>975682420.6807251</v>
      </c>
      <c r="O45" s="79" t="s">
        <v>57</v>
      </c>
      <c r="P45" s="44">
        <f t="shared" si="10"/>
        <v>395</v>
      </c>
      <c r="Q45" s="74">
        <f t="shared" si="11"/>
        <v>7.6530612000000001E-3</v>
      </c>
      <c r="R45" s="86">
        <f t="shared" si="14"/>
        <v>52148362.994512878</v>
      </c>
    </row>
    <row r="46" spans="1:18">
      <c r="A46" s="40" t="s">
        <v>62</v>
      </c>
      <c r="B46" s="11" t="s">
        <v>63</v>
      </c>
      <c r="C46" s="91">
        <v>123800</v>
      </c>
      <c r="D46" s="88">
        <v>1.2678936599999999E-2</v>
      </c>
      <c r="E46" s="89">
        <v>806951.74692591</v>
      </c>
      <c r="F46" s="35"/>
      <c r="G46" s="49" t="s">
        <v>152</v>
      </c>
      <c r="H46" s="39">
        <f t="shared" si="6"/>
        <v>39.9</v>
      </c>
      <c r="I46" s="73">
        <f t="shared" si="7"/>
        <v>2.8350515499999999E-2</v>
      </c>
      <c r="J46" s="95">
        <f t="shared" si="12"/>
        <v>399998890.475932</v>
      </c>
      <c r="K46" s="78" t="s">
        <v>72</v>
      </c>
      <c r="L46" s="39">
        <f t="shared" si="8"/>
        <v>31.7</v>
      </c>
      <c r="M46" s="73">
        <f t="shared" si="9"/>
        <v>-1.5527950299999999E-2</v>
      </c>
      <c r="N46" s="95">
        <f t="shared" si="13"/>
        <v>111732153.17817686</v>
      </c>
      <c r="O46" s="78" t="s">
        <v>134</v>
      </c>
      <c r="P46" s="39">
        <f t="shared" si="10"/>
        <v>144</v>
      </c>
      <c r="Q46" s="73">
        <f t="shared" si="11"/>
        <v>6.9930069999999999E-3</v>
      </c>
      <c r="R46" s="95">
        <f t="shared" si="14"/>
        <v>124701183.24000888</v>
      </c>
    </row>
    <row r="47" spans="1:18">
      <c r="A47" s="40" t="s">
        <v>221</v>
      </c>
      <c r="B47" s="11" t="s">
        <v>222</v>
      </c>
      <c r="C47" s="91">
        <v>16.100000000000001</v>
      </c>
      <c r="D47" s="88">
        <v>1.2578616399999999E-2</v>
      </c>
      <c r="E47" s="89">
        <v>543996404.07514226</v>
      </c>
      <c r="F47" s="35"/>
      <c r="G47" s="47" t="s">
        <v>116</v>
      </c>
      <c r="H47" s="39">
        <f t="shared" si="6"/>
        <v>552</v>
      </c>
      <c r="I47" s="73">
        <f t="shared" si="7"/>
        <v>2.7932960900000001E-2</v>
      </c>
      <c r="J47" s="82">
        <f t="shared" si="12"/>
        <v>11270800.364539869</v>
      </c>
      <c r="K47" s="78" t="s">
        <v>268</v>
      </c>
      <c r="L47" s="39">
        <f t="shared" si="8"/>
        <v>79.5</v>
      </c>
      <c r="M47" s="73">
        <f t="shared" si="9"/>
        <v>-2.0935960600000001E-2</v>
      </c>
      <c r="N47" s="82">
        <f t="shared" si="13"/>
        <v>71029024.602476954</v>
      </c>
      <c r="O47" s="78" t="s">
        <v>264</v>
      </c>
      <c r="P47" s="39">
        <f t="shared" si="10"/>
        <v>149</v>
      </c>
      <c r="Q47" s="73">
        <f t="shared" si="11"/>
        <v>6.7567568000000003E-3</v>
      </c>
      <c r="R47" s="82">
        <f t="shared" si="14"/>
        <v>11724992.88601849</v>
      </c>
    </row>
    <row r="48" spans="1:18">
      <c r="A48" s="40" t="s">
        <v>179</v>
      </c>
      <c r="B48" s="11" t="s">
        <v>180</v>
      </c>
      <c r="C48" s="91">
        <v>4235</v>
      </c>
      <c r="D48" s="88">
        <v>1.19474313E-2</v>
      </c>
      <c r="E48" s="89">
        <v>2587543.6847602101</v>
      </c>
      <c r="F48" s="35"/>
      <c r="G48" s="47" t="s">
        <v>216</v>
      </c>
      <c r="H48" s="39">
        <f t="shared" si="6"/>
        <v>444</v>
      </c>
      <c r="I48" s="73">
        <f t="shared" si="7"/>
        <v>2.77777778E-2</v>
      </c>
      <c r="J48" s="82">
        <f t="shared" si="12"/>
        <v>12345622.468190391</v>
      </c>
      <c r="K48" s="78" t="s">
        <v>236</v>
      </c>
      <c r="L48" s="39">
        <f t="shared" si="8"/>
        <v>69.099999999999994</v>
      </c>
      <c r="M48" s="73">
        <f t="shared" si="9"/>
        <v>-4.2936288099999997E-2</v>
      </c>
      <c r="N48" s="82">
        <f t="shared" si="13"/>
        <v>258356852.77407247</v>
      </c>
      <c r="O48" s="78" t="s">
        <v>168</v>
      </c>
      <c r="P48" s="39">
        <f t="shared" si="10"/>
        <v>201</v>
      </c>
      <c r="Q48" s="73">
        <f t="shared" si="11"/>
        <v>5.0000000000000001E-3</v>
      </c>
      <c r="R48" s="82">
        <f t="shared" si="14"/>
        <v>176423203.51830372</v>
      </c>
    </row>
    <row r="49" spans="1:18">
      <c r="A49" s="40" t="s">
        <v>64</v>
      </c>
      <c r="B49" s="11" t="s">
        <v>65</v>
      </c>
      <c r="C49" s="91">
        <v>64.400000000000006</v>
      </c>
      <c r="D49" s="88">
        <v>1.0989011E-2</v>
      </c>
      <c r="E49" s="89">
        <v>162485202.18962064</v>
      </c>
      <c r="F49" s="35"/>
      <c r="G49" s="47" t="s">
        <v>106</v>
      </c>
      <c r="H49" s="39">
        <f t="shared" si="6"/>
        <v>2105</v>
      </c>
      <c r="I49" s="73">
        <f t="shared" si="7"/>
        <v>2.68292683E-2</v>
      </c>
      <c r="J49" s="82">
        <f t="shared" si="12"/>
        <v>2177676.1729120002</v>
      </c>
      <c r="K49" s="78" t="s">
        <v>172</v>
      </c>
      <c r="L49" s="39">
        <f t="shared" si="8"/>
        <v>23</v>
      </c>
      <c r="M49" s="73">
        <f t="shared" si="9"/>
        <v>-5.7377049200000002E-2</v>
      </c>
      <c r="N49" s="82">
        <f t="shared" si="13"/>
        <v>567156568.63214648</v>
      </c>
      <c r="O49" s="78" t="s">
        <v>212</v>
      </c>
      <c r="P49" s="39">
        <f t="shared" si="10"/>
        <v>127</v>
      </c>
      <c r="Q49" s="73">
        <f t="shared" si="11"/>
        <v>0</v>
      </c>
      <c r="R49" s="82">
        <f t="shared" si="14"/>
        <v>376587060.76465201</v>
      </c>
    </row>
    <row r="50" spans="1:18" ht="17.25" thickBot="1">
      <c r="A50" s="40" t="s">
        <v>273</v>
      </c>
      <c r="B50" s="11" t="s">
        <v>274</v>
      </c>
      <c r="C50" s="91">
        <v>7675</v>
      </c>
      <c r="D50" s="88">
        <v>9.2044707E-3</v>
      </c>
      <c r="E50" s="89">
        <v>279693.46910803003</v>
      </c>
      <c r="F50" s="35"/>
      <c r="G50" s="53" t="s">
        <v>262</v>
      </c>
      <c r="H50" s="37">
        <f t="shared" si="6"/>
        <v>1150</v>
      </c>
      <c r="I50" s="75">
        <f t="shared" si="7"/>
        <v>2.6785714299999999E-2</v>
      </c>
      <c r="J50" s="83">
        <f t="shared" si="12"/>
        <v>13625158.416340159</v>
      </c>
      <c r="K50" s="80"/>
      <c r="L50" s="37" t="str">
        <f t="shared" si="8"/>
        <v/>
      </c>
      <c r="M50" s="75" t="str">
        <f t="shared" si="9"/>
        <v/>
      </c>
      <c r="N50" s="83" t="str">
        <f t="shared" si="13"/>
        <v/>
      </c>
      <c r="O50" s="80" t="s">
        <v>278</v>
      </c>
      <c r="P50" s="37">
        <f t="shared" si="10"/>
        <v>140</v>
      </c>
      <c r="Q50" s="75">
        <f t="shared" si="11"/>
        <v>0</v>
      </c>
      <c r="R50" s="83">
        <f t="shared" si="14"/>
        <v>17374559.371776141</v>
      </c>
    </row>
    <row r="51" spans="1:18">
      <c r="A51" s="40" t="s">
        <v>197</v>
      </c>
      <c r="B51" s="11" t="s">
        <v>198</v>
      </c>
      <c r="C51" s="91">
        <v>24.1</v>
      </c>
      <c r="D51" s="88">
        <v>8.3682007999999995E-3</v>
      </c>
      <c r="E51" s="89">
        <v>837876363.30143321</v>
      </c>
      <c r="F51" s="35"/>
    </row>
    <row r="52" spans="1:18" ht="17.25" thickBot="1">
      <c r="A52" s="40" t="s">
        <v>56</v>
      </c>
      <c r="B52" s="11" t="s">
        <v>57</v>
      </c>
      <c r="C52" s="91">
        <v>395</v>
      </c>
      <c r="D52" s="88">
        <v>7.6530612000000001E-3</v>
      </c>
      <c r="E52" s="89">
        <v>52148362.994512878</v>
      </c>
      <c r="F52" s="35"/>
    </row>
    <row r="53" spans="1:18" ht="17.25" thickBot="1">
      <c r="A53" s="40" t="s">
        <v>133</v>
      </c>
      <c r="B53" s="11" t="s">
        <v>134</v>
      </c>
      <c r="C53" s="91">
        <v>144</v>
      </c>
      <c r="D53" s="88">
        <v>6.9930069999999999E-3</v>
      </c>
      <c r="E53" s="89">
        <v>124701183.24000888</v>
      </c>
      <c r="F53" s="35"/>
      <c r="G53" s="241" t="s">
        <v>285</v>
      </c>
      <c r="H53" s="242"/>
      <c r="I53" s="242"/>
      <c r="J53" s="243"/>
      <c r="K53" s="241" t="s">
        <v>288</v>
      </c>
      <c r="L53" s="242"/>
      <c r="M53" s="242"/>
      <c r="N53" s="243"/>
      <c r="O53" s="241" t="s">
        <v>289</v>
      </c>
      <c r="P53" s="242"/>
      <c r="Q53" s="242"/>
      <c r="R53" s="243"/>
    </row>
    <row r="54" spans="1:18" ht="17.25" thickBot="1">
      <c r="A54" s="40" t="s">
        <v>149</v>
      </c>
      <c r="B54" s="11" t="s">
        <v>150</v>
      </c>
      <c r="C54" s="91">
        <v>5050</v>
      </c>
      <c r="D54" s="88">
        <v>6.9790627999999997E-3</v>
      </c>
      <c r="E54" s="89">
        <v>4047993.8473964399</v>
      </c>
      <c r="F54" s="35"/>
      <c r="G54" s="306" t="s">
        <v>55</v>
      </c>
      <c r="H54" s="327">
        <f ca="1">NOW()</f>
        <v>44331.066325</v>
      </c>
      <c r="I54" s="328"/>
      <c r="J54" s="329"/>
      <c r="K54" s="318" t="s">
        <v>55</v>
      </c>
      <c r="L54" s="327">
        <f ca="1">NOW()</f>
        <v>44331.066325</v>
      </c>
      <c r="M54" s="328"/>
      <c r="N54" s="329"/>
      <c r="O54" s="318" t="s">
        <v>55</v>
      </c>
      <c r="P54" s="327">
        <f ca="1">NOW()</f>
        <v>44331.066325</v>
      </c>
      <c r="Q54" s="328"/>
      <c r="R54" s="329"/>
    </row>
    <row r="55" spans="1:18" ht="17.25" thickBot="1">
      <c r="A55" s="40" t="s">
        <v>77</v>
      </c>
      <c r="B55" s="11" t="s">
        <v>78</v>
      </c>
      <c r="C55" s="91">
        <v>1621000</v>
      </c>
      <c r="D55" s="88">
        <v>6.8322981000000001E-3</v>
      </c>
      <c r="E55" s="89">
        <v>209410.80966837</v>
      </c>
      <c r="F55" s="35"/>
      <c r="G55" s="303"/>
      <c r="H55" s="51" t="s">
        <v>58</v>
      </c>
      <c r="I55" s="69" t="s">
        <v>59</v>
      </c>
      <c r="J55" s="65" t="s">
        <v>294</v>
      </c>
      <c r="K55" s="258"/>
      <c r="L55" s="51" t="s">
        <v>58</v>
      </c>
      <c r="M55" s="69" t="s">
        <v>59</v>
      </c>
      <c r="N55" s="65" t="s">
        <v>294</v>
      </c>
      <c r="O55" s="258"/>
      <c r="P55" s="51" t="s">
        <v>58</v>
      </c>
      <c r="Q55" s="69" t="s">
        <v>59</v>
      </c>
      <c r="R55" s="65" t="s">
        <v>294</v>
      </c>
    </row>
    <row r="56" spans="1:18">
      <c r="A56" s="40" t="s">
        <v>263</v>
      </c>
      <c r="B56" s="11" t="s">
        <v>264</v>
      </c>
      <c r="C56" s="91">
        <v>149</v>
      </c>
      <c r="D56" s="88">
        <v>6.7567568000000003E-3</v>
      </c>
      <c r="E56" s="89">
        <v>11724992.88601849</v>
      </c>
      <c r="F56" s="35"/>
      <c r="G56" s="55" t="s">
        <v>272</v>
      </c>
      <c r="H56" s="38">
        <f t="shared" ref="H56:H75" si="15">_xlfn.IFNA(VLOOKUP(G56, $B$2:$D$200, 2, FALSE), "")</f>
        <v>2185</v>
      </c>
      <c r="I56" s="72">
        <f t="shared" ref="I56:I65" si="16">_xlfn.IFNA(VLOOKUP(G56, $B$2:$D$200, 3, FALSE), "")</f>
        <v>-1.5765765800000001E-2</v>
      </c>
      <c r="J56" s="81">
        <f>_xlfn.IFNA(VLOOKUP(G56, $B$2:$E$200, 4, FALSE), "")</f>
        <v>1528859.2359530199</v>
      </c>
      <c r="K56" s="77" t="s">
        <v>186</v>
      </c>
      <c r="L56" s="38">
        <f t="shared" ref="L56:L75" si="17">_xlfn.IFNA(VLOOKUP(K56, $B$2:$D$200, 2, FALSE), "")</f>
        <v>23.4</v>
      </c>
      <c r="M56" s="72">
        <f t="shared" ref="M56:M75" si="18">_xlfn.IFNA(VLOOKUP(K56, $B$2:$D$200, 3, FALSE), "")</f>
        <v>0.1090047393</v>
      </c>
      <c r="N56" s="81">
        <f>_xlfn.IFNA(VLOOKUP(K56, $B$2:$E$200, 4, FALSE), "")</f>
        <v>5582370232.6251097</v>
      </c>
      <c r="O56" s="77" t="s">
        <v>132</v>
      </c>
      <c r="P56" s="38">
        <f t="shared" ref="P56:P75" si="19">_xlfn.IFNA(VLOOKUP(O56, $B$2:$D$200, 2, FALSE), "")</f>
        <v>229</v>
      </c>
      <c r="Q56" s="72">
        <f t="shared" ref="Q56:Q75" si="20">_xlfn.IFNA(VLOOKUP(O56, $B$2:$D$200, 3, FALSE), "")</f>
        <v>-4.3478261000000004E-3</v>
      </c>
      <c r="R56" s="81">
        <f>_xlfn.IFNA(VLOOKUP(O56, $B$2:$E$200, 4, FALSE), "")</f>
        <v>403091420.30760902</v>
      </c>
    </row>
    <row r="57" spans="1:18">
      <c r="A57" s="40" t="s">
        <v>163</v>
      </c>
      <c r="B57" s="11" t="s">
        <v>164</v>
      </c>
      <c r="C57" s="91">
        <v>40770</v>
      </c>
      <c r="D57" s="88">
        <v>6.6666666999999997E-3</v>
      </c>
      <c r="E57" s="89">
        <v>1080829.04340528</v>
      </c>
      <c r="F57" s="35"/>
      <c r="G57" s="56" t="s">
        <v>280</v>
      </c>
      <c r="H57" s="39">
        <f t="shared" si="15"/>
        <v>1520</v>
      </c>
      <c r="I57" s="73">
        <f t="shared" si="16"/>
        <v>-1.6181229799999999E-2</v>
      </c>
      <c r="J57" s="82">
        <f t="shared" ref="J57:J75" si="21">_xlfn.IFNA(VLOOKUP(G57, $B$2:$E$200, 4, FALSE), "")</f>
        <v>4810460.5312992204</v>
      </c>
      <c r="K57" s="78" t="s">
        <v>126</v>
      </c>
      <c r="L57" s="39">
        <f t="shared" si="17"/>
        <v>52</v>
      </c>
      <c r="M57" s="73">
        <f t="shared" si="18"/>
        <v>5.9063136500000002E-2</v>
      </c>
      <c r="N57" s="82">
        <f t="shared" ref="N57:N75" si="22">_xlfn.IFNA(VLOOKUP(K57, $B$2:$E$200, 4, FALSE), "")</f>
        <v>365576675.54781848</v>
      </c>
      <c r="O57" s="78" t="s">
        <v>226</v>
      </c>
      <c r="P57" s="39">
        <f t="shared" si="19"/>
        <v>431</v>
      </c>
      <c r="Q57" s="73">
        <f t="shared" si="20"/>
        <v>-4.6189376000000002E-3</v>
      </c>
      <c r="R57" s="82">
        <f t="shared" ref="R57:R75" si="23">_xlfn.IFNA(VLOOKUP(O57, $B$2:$E$200, 4, FALSE), "")</f>
        <v>5840890.4709722996</v>
      </c>
    </row>
    <row r="58" spans="1:18">
      <c r="A58" s="40" t="s">
        <v>227</v>
      </c>
      <c r="B58" s="11" t="s">
        <v>228</v>
      </c>
      <c r="C58" s="91">
        <v>16</v>
      </c>
      <c r="D58" s="88">
        <v>6.2893081999999996E-3</v>
      </c>
      <c r="E58" s="89">
        <v>1016184979.178771</v>
      </c>
      <c r="F58" s="35"/>
      <c r="G58" s="56" t="s">
        <v>80</v>
      </c>
      <c r="H58" s="39">
        <f t="shared" si="15"/>
        <v>1495</v>
      </c>
      <c r="I58" s="73">
        <f t="shared" si="16"/>
        <v>-1.6447368399999999E-2</v>
      </c>
      <c r="J58" s="82">
        <f t="shared" si="21"/>
        <v>4950781.0866183797</v>
      </c>
      <c r="K58" s="78" t="s">
        <v>152</v>
      </c>
      <c r="L58" s="39">
        <f t="shared" si="17"/>
        <v>39.9</v>
      </c>
      <c r="M58" s="73">
        <f t="shared" si="18"/>
        <v>2.8350515499999999E-2</v>
      </c>
      <c r="N58" s="82">
        <f t="shared" si="22"/>
        <v>399998890.475932</v>
      </c>
      <c r="O58" s="78" t="s">
        <v>170</v>
      </c>
      <c r="P58" s="39">
        <f t="shared" si="19"/>
        <v>499</v>
      </c>
      <c r="Q58" s="73">
        <f t="shared" si="20"/>
        <v>-5.9760956E-3</v>
      </c>
      <c r="R58" s="82">
        <f t="shared" si="23"/>
        <v>2823852.1009158399</v>
      </c>
    </row>
    <row r="59" spans="1:18">
      <c r="A59" s="40" t="s">
        <v>195</v>
      </c>
      <c r="B59" s="11" t="s">
        <v>196</v>
      </c>
      <c r="C59" s="91">
        <v>17.8</v>
      </c>
      <c r="D59" s="88">
        <v>5.6497175E-3</v>
      </c>
      <c r="E59" s="89">
        <v>442145925.15253943</v>
      </c>
      <c r="F59" s="35"/>
      <c r="G59" s="56" t="s">
        <v>142</v>
      </c>
      <c r="H59" s="39">
        <f t="shared" si="15"/>
        <v>415</v>
      </c>
      <c r="I59" s="73">
        <f t="shared" si="16"/>
        <v>-1.6587677700000001E-2</v>
      </c>
      <c r="J59" s="82">
        <f t="shared" si="21"/>
        <v>19269949.365468569</v>
      </c>
      <c r="K59" s="78" t="s">
        <v>220</v>
      </c>
      <c r="L59" s="39">
        <f t="shared" si="17"/>
        <v>17.899999999999999</v>
      </c>
      <c r="M59" s="73">
        <f t="shared" si="18"/>
        <v>2.2857142899999999E-2</v>
      </c>
      <c r="N59" s="82">
        <f t="shared" si="22"/>
        <v>886528687.66298258</v>
      </c>
      <c r="O59" s="78" t="s">
        <v>210</v>
      </c>
      <c r="P59" s="39">
        <f t="shared" si="19"/>
        <v>165</v>
      </c>
      <c r="Q59" s="73">
        <f t="shared" si="20"/>
        <v>-6.0240963999999998E-3</v>
      </c>
      <c r="R59" s="82">
        <f t="shared" si="23"/>
        <v>30793942.355077829</v>
      </c>
    </row>
    <row r="60" spans="1:18">
      <c r="A60" s="40" t="s">
        <v>153</v>
      </c>
      <c r="B60" s="11" t="s">
        <v>154</v>
      </c>
      <c r="C60" s="91">
        <v>17.8</v>
      </c>
      <c r="D60" s="88">
        <v>5.6497175E-3</v>
      </c>
      <c r="E60" s="89">
        <v>879419950.49827492</v>
      </c>
      <c r="F60" s="35"/>
      <c r="G60" s="56" t="s">
        <v>49</v>
      </c>
      <c r="H60" s="39">
        <f t="shared" si="15"/>
        <v>62017000</v>
      </c>
      <c r="I60" s="73">
        <f t="shared" si="16"/>
        <v>-1.6680144000000001E-2</v>
      </c>
      <c r="J60" s="86">
        <f t="shared" si="21"/>
        <v>9821.6624259599994</v>
      </c>
      <c r="K60" s="79" t="s">
        <v>222</v>
      </c>
      <c r="L60" s="44">
        <f t="shared" si="17"/>
        <v>16.100000000000001</v>
      </c>
      <c r="M60" s="74">
        <f t="shared" si="18"/>
        <v>1.2578616399999999E-2</v>
      </c>
      <c r="N60" s="86">
        <f t="shared" si="22"/>
        <v>543996404.07514226</v>
      </c>
      <c r="O60" s="79" t="s">
        <v>246</v>
      </c>
      <c r="P60" s="44">
        <f t="shared" si="19"/>
        <v>322</v>
      </c>
      <c r="Q60" s="74">
        <f t="shared" si="20"/>
        <v>-6.1728395E-3</v>
      </c>
      <c r="R60" s="86">
        <f t="shared" si="23"/>
        <v>11457520.618681069</v>
      </c>
    </row>
    <row r="61" spans="1:18">
      <c r="A61" s="40" t="s">
        <v>205</v>
      </c>
      <c r="B61" s="11" t="s">
        <v>206</v>
      </c>
      <c r="C61" s="91">
        <v>30670</v>
      </c>
      <c r="D61" s="88">
        <v>5.5737705000000002E-3</v>
      </c>
      <c r="E61" s="89">
        <v>319443.71203171997</v>
      </c>
      <c r="F61" s="35"/>
      <c r="G61" s="60" t="s">
        <v>268</v>
      </c>
      <c r="H61" s="45">
        <f t="shared" si="15"/>
        <v>79.5</v>
      </c>
      <c r="I61" s="76">
        <f t="shared" si="16"/>
        <v>-2.0935960600000001E-2</v>
      </c>
      <c r="J61" s="95">
        <f t="shared" si="21"/>
        <v>71029024.602476954</v>
      </c>
      <c r="K61" s="78" t="s">
        <v>65</v>
      </c>
      <c r="L61" s="39">
        <f t="shared" si="17"/>
        <v>64.400000000000006</v>
      </c>
      <c r="M61" s="73">
        <f t="shared" si="18"/>
        <v>1.0989011E-2</v>
      </c>
      <c r="N61" s="95">
        <f t="shared" si="22"/>
        <v>162485202.18962064</v>
      </c>
      <c r="O61" s="78" t="s">
        <v>200</v>
      </c>
      <c r="P61" s="39">
        <f t="shared" si="19"/>
        <v>305</v>
      </c>
      <c r="Q61" s="73">
        <f t="shared" si="20"/>
        <v>-6.5146580000000004E-3</v>
      </c>
      <c r="R61" s="95">
        <f t="shared" si="23"/>
        <v>8650807.2852889095</v>
      </c>
    </row>
    <row r="62" spans="1:18">
      <c r="A62" s="40" t="s">
        <v>167</v>
      </c>
      <c r="B62" s="11" t="s">
        <v>168</v>
      </c>
      <c r="C62" s="91">
        <v>201</v>
      </c>
      <c r="D62" s="88">
        <v>5.0000000000000001E-3</v>
      </c>
      <c r="E62" s="89">
        <v>176423203.51830372</v>
      </c>
      <c r="F62" s="35"/>
      <c r="G62" s="56" t="s">
        <v>82</v>
      </c>
      <c r="H62" s="39">
        <f t="shared" si="15"/>
        <v>1400</v>
      </c>
      <c r="I62" s="73">
        <f t="shared" si="16"/>
        <v>-2.0979021E-2</v>
      </c>
      <c r="J62" s="82">
        <f t="shared" si="21"/>
        <v>1226552.6521000499</v>
      </c>
      <c r="K62" s="78" t="s">
        <v>198</v>
      </c>
      <c r="L62" s="39">
        <f t="shared" si="17"/>
        <v>24.1</v>
      </c>
      <c r="M62" s="73">
        <f t="shared" si="18"/>
        <v>8.3682007999999995E-3</v>
      </c>
      <c r="N62" s="82">
        <f t="shared" si="22"/>
        <v>837876363.30143321</v>
      </c>
      <c r="O62" s="78" t="s">
        <v>282</v>
      </c>
      <c r="P62" s="39">
        <f t="shared" si="19"/>
        <v>149</v>
      </c>
      <c r="Q62" s="73">
        <f t="shared" si="20"/>
        <v>-6.6666666999999997E-3</v>
      </c>
      <c r="R62" s="82">
        <f t="shared" si="23"/>
        <v>21117797.253901899</v>
      </c>
    </row>
    <row r="63" spans="1:18">
      <c r="A63" s="40" t="s">
        <v>217</v>
      </c>
      <c r="B63" s="11" t="s">
        <v>218</v>
      </c>
      <c r="C63" s="91">
        <v>23.6</v>
      </c>
      <c r="D63" s="88">
        <v>4.2553191000000001E-3</v>
      </c>
      <c r="E63" s="89">
        <v>590506321.78551507</v>
      </c>
      <c r="F63" s="35"/>
      <c r="G63" s="56" t="s">
        <v>184</v>
      </c>
      <c r="H63" s="39">
        <f t="shared" si="15"/>
        <v>2490</v>
      </c>
      <c r="I63" s="73">
        <f t="shared" si="16"/>
        <v>-2.35294118E-2</v>
      </c>
      <c r="J63" s="82">
        <f t="shared" si="21"/>
        <v>954130.46300660004</v>
      </c>
      <c r="K63" s="78" t="s">
        <v>228</v>
      </c>
      <c r="L63" s="39">
        <f t="shared" si="17"/>
        <v>16</v>
      </c>
      <c r="M63" s="73">
        <f t="shared" si="18"/>
        <v>6.2893081999999996E-3</v>
      </c>
      <c r="N63" s="82">
        <f t="shared" si="22"/>
        <v>1016184979.178771</v>
      </c>
      <c r="O63" s="78" t="s">
        <v>230</v>
      </c>
      <c r="P63" s="39">
        <f t="shared" si="19"/>
        <v>146</v>
      </c>
      <c r="Q63" s="73">
        <f t="shared" si="20"/>
        <v>-6.8027210999999999E-3</v>
      </c>
      <c r="R63" s="82">
        <f t="shared" si="23"/>
        <v>76121850.478806034</v>
      </c>
    </row>
    <row r="64" spans="1:18">
      <c r="A64" s="40" t="s">
        <v>159</v>
      </c>
      <c r="B64" s="11" t="s">
        <v>160</v>
      </c>
      <c r="C64" s="91">
        <v>2615</v>
      </c>
      <c r="D64" s="88">
        <v>3.8387716000000001E-3</v>
      </c>
      <c r="E64" s="89">
        <v>2943299.0695276</v>
      </c>
      <c r="F64" s="35"/>
      <c r="G64" s="56" t="s">
        <v>202</v>
      </c>
      <c r="H64" s="39">
        <f t="shared" si="15"/>
        <v>166</v>
      </c>
      <c r="I64" s="73">
        <f t="shared" si="16"/>
        <v>-2.35294118E-2</v>
      </c>
      <c r="J64" s="82">
        <f t="shared" si="21"/>
        <v>81408120.424950466</v>
      </c>
      <c r="K64" s="78" t="s">
        <v>196</v>
      </c>
      <c r="L64" s="39">
        <f t="shared" si="17"/>
        <v>17.8</v>
      </c>
      <c r="M64" s="73">
        <f t="shared" si="18"/>
        <v>5.6497175E-3</v>
      </c>
      <c r="N64" s="82">
        <f t="shared" si="22"/>
        <v>442145925.15253943</v>
      </c>
      <c r="O64" s="78" t="s">
        <v>51</v>
      </c>
      <c r="P64" s="39">
        <f t="shared" si="19"/>
        <v>818</v>
      </c>
      <c r="Q64" s="73">
        <f t="shared" si="20"/>
        <v>-7.2815533999999998E-3</v>
      </c>
      <c r="R64" s="82">
        <f t="shared" si="23"/>
        <v>197984411.8620435</v>
      </c>
    </row>
    <row r="65" spans="1:18" ht="17.25" thickBot="1">
      <c r="A65" s="40" t="s">
        <v>129</v>
      </c>
      <c r="B65" s="11" t="s">
        <v>130</v>
      </c>
      <c r="C65" s="91">
        <v>404600</v>
      </c>
      <c r="D65" s="88">
        <v>3.7211610000000002E-3</v>
      </c>
      <c r="E65" s="89">
        <v>253520.17566430001</v>
      </c>
      <c r="F65" s="35"/>
      <c r="G65" s="57" t="s">
        <v>252</v>
      </c>
      <c r="H65" s="37">
        <f t="shared" si="15"/>
        <v>446</v>
      </c>
      <c r="I65" s="75">
        <f t="shared" si="16"/>
        <v>-2.6200873400000001E-2</v>
      </c>
      <c r="J65" s="83">
        <f t="shared" si="21"/>
        <v>14154392.463964051</v>
      </c>
      <c r="K65" s="80" t="s">
        <v>154</v>
      </c>
      <c r="L65" s="37">
        <f t="shared" si="17"/>
        <v>17.8</v>
      </c>
      <c r="M65" s="75">
        <f t="shared" si="18"/>
        <v>5.6497175E-3</v>
      </c>
      <c r="N65" s="83">
        <f t="shared" si="22"/>
        <v>879419950.49827492</v>
      </c>
      <c r="O65" s="80" t="s">
        <v>270</v>
      </c>
      <c r="P65" s="37">
        <f t="shared" si="19"/>
        <v>509</v>
      </c>
      <c r="Q65" s="75">
        <f t="shared" si="20"/>
        <v>-7.7972709999999997E-3</v>
      </c>
      <c r="R65" s="83">
        <f t="shared" si="23"/>
        <v>3651252.2614278998</v>
      </c>
    </row>
    <row r="66" spans="1:18">
      <c r="A66" s="40" t="s">
        <v>103</v>
      </c>
      <c r="B66" s="11" t="s">
        <v>104</v>
      </c>
      <c r="C66" s="91">
        <v>2700</v>
      </c>
      <c r="D66" s="88">
        <v>3.7174720999999999E-3</v>
      </c>
      <c r="E66" s="89">
        <v>14138486.846118569</v>
      </c>
      <c r="F66" s="35"/>
      <c r="G66" s="56" t="s">
        <v>67</v>
      </c>
      <c r="H66" s="38">
        <f t="shared" si="15"/>
        <v>7040</v>
      </c>
      <c r="I66" s="72">
        <f t="shared" ref="I66:I75" si="24">_xlfn.IFNA(VLOOKUP(G66, $B$2:$D$200, 3, FALSE), "")</f>
        <v>-2.6279391400000001E-2</v>
      </c>
      <c r="J66" s="81">
        <f t="shared" si="21"/>
        <v>1150531.5055120999</v>
      </c>
      <c r="K66" s="77" t="s">
        <v>218</v>
      </c>
      <c r="L66" s="38">
        <f t="shared" si="17"/>
        <v>23.6</v>
      </c>
      <c r="M66" s="72">
        <f t="shared" si="18"/>
        <v>4.2553191000000001E-3</v>
      </c>
      <c r="N66" s="81">
        <f t="shared" si="22"/>
        <v>590506321.78551507</v>
      </c>
      <c r="O66" s="77" t="s">
        <v>122</v>
      </c>
      <c r="P66" s="38">
        <f t="shared" si="19"/>
        <v>104</v>
      </c>
      <c r="Q66" s="72">
        <f t="shared" si="20"/>
        <v>-9.5238094999999991E-3</v>
      </c>
      <c r="R66" s="81">
        <f t="shared" si="23"/>
        <v>118470208.94830199</v>
      </c>
    </row>
    <row r="67" spans="1:18">
      <c r="A67" s="40" t="s">
        <v>157</v>
      </c>
      <c r="B67" s="11" t="s">
        <v>158</v>
      </c>
      <c r="C67" s="91">
        <v>8860</v>
      </c>
      <c r="D67" s="88">
        <v>3.3975085000000002E-3</v>
      </c>
      <c r="E67" s="89">
        <v>643653.86939255998</v>
      </c>
      <c r="F67" s="35"/>
      <c r="G67" s="56" t="s">
        <v>204</v>
      </c>
      <c r="H67" s="39">
        <f t="shared" si="15"/>
        <v>6370</v>
      </c>
      <c r="I67" s="73">
        <f t="shared" si="24"/>
        <v>-2.67379679E-2</v>
      </c>
      <c r="J67" s="82">
        <f t="shared" si="21"/>
        <v>5452447.5356076201</v>
      </c>
      <c r="K67" s="78" t="s">
        <v>266</v>
      </c>
      <c r="L67" s="39">
        <f t="shared" si="17"/>
        <v>85.5</v>
      </c>
      <c r="M67" s="73">
        <f t="shared" si="18"/>
        <v>1.1709602E-3</v>
      </c>
      <c r="N67" s="82">
        <f t="shared" si="22"/>
        <v>29550400.21772825</v>
      </c>
      <c r="O67" s="78" t="s">
        <v>120</v>
      </c>
      <c r="P67" s="39">
        <f t="shared" si="19"/>
        <v>204</v>
      </c>
      <c r="Q67" s="73">
        <f t="shared" si="20"/>
        <v>-9.7087379000000001E-3</v>
      </c>
      <c r="R67" s="82">
        <f t="shared" si="23"/>
        <v>84749346.902143568</v>
      </c>
    </row>
    <row r="68" spans="1:18">
      <c r="A68" s="40" t="s">
        <v>243</v>
      </c>
      <c r="B68" s="11" t="s">
        <v>244</v>
      </c>
      <c r="C68" s="91">
        <v>3060</v>
      </c>
      <c r="D68" s="88">
        <v>3.2786884999999998E-3</v>
      </c>
      <c r="E68" s="89">
        <v>5320923.4820248801</v>
      </c>
      <c r="F68" s="35"/>
      <c r="G68" s="56" t="s">
        <v>276</v>
      </c>
      <c r="H68" s="39">
        <f t="shared" si="15"/>
        <v>4365</v>
      </c>
      <c r="I68" s="73">
        <f t="shared" si="24"/>
        <v>-3.4292035399999997E-2</v>
      </c>
      <c r="J68" s="82">
        <f t="shared" si="21"/>
        <v>2615067.1949725798</v>
      </c>
      <c r="K68" s="78" t="s">
        <v>100</v>
      </c>
      <c r="L68" s="39">
        <f t="shared" si="17"/>
        <v>7.53</v>
      </c>
      <c r="M68" s="73">
        <f t="shared" si="18"/>
        <v>-1.3262599000000001E-3</v>
      </c>
      <c r="N68" s="82">
        <f t="shared" si="22"/>
        <v>23167713110.493984</v>
      </c>
      <c r="O68" s="78" t="s">
        <v>112</v>
      </c>
      <c r="P68" s="39">
        <f t="shared" si="19"/>
        <v>230</v>
      </c>
      <c r="Q68" s="73">
        <f t="shared" si="20"/>
        <v>-1.28755365E-2</v>
      </c>
      <c r="R68" s="82">
        <f t="shared" si="23"/>
        <v>58014855.504743852</v>
      </c>
    </row>
    <row r="69" spans="1:18">
      <c r="A69" s="40" t="s">
        <v>113</v>
      </c>
      <c r="B69" s="11" t="s">
        <v>114</v>
      </c>
      <c r="C69" s="91">
        <v>12420</v>
      </c>
      <c r="D69" s="88">
        <v>3.2310177999999999E-3</v>
      </c>
      <c r="E69" s="89">
        <v>1439172.8603421799</v>
      </c>
      <c r="F69" s="35"/>
      <c r="G69" s="56" t="s">
        <v>54</v>
      </c>
      <c r="H69" s="39">
        <f t="shared" si="15"/>
        <v>402</v>
      </c>
      <c r="I69" s="73">
        <f t="shared" si="24"/>
        <v>-4.2857142899999999E-2</v>
      </c>
      <c r="J69" s="82">
        <f t="shared" si="21"/>
        <v>578339059.28800607</v>
      </c>
      <c r="K69" s="78" t="s">
        <v>254</v>
      </c>
      <c r="L69" s="39">
        <f t="shared" si="17"/>
        <v>72.900000000000006</v>
      </c>
      <c r="M69" s="73">
        <f t="shared" si="18"/>
        <v>-4.0983607000000003E-3</v>
      </c>
      <c r="N69" s="82">
        <f t="shared" si="22"/>
        <v>63141356.09417893</v>
      </c>
      <c r="O69" s="78" t="s">
        <v>258</v>
      </c>
      <c r="P69" s="39">
        <f t="shared" si="19"/>
        <v>600</v>
      </c>
      <c r="Q69" s="73">
        <f t="shared" si="20"/>
        <v>-1.3157894700000001E-2</v>
      </c>
      <c r="R69" s="82">
        <f t="shared" si="23"/>
        <v>12953403.533336811</v>
      </c>
    </row>
    <row r="70" spans="1:18">
      <c r="A70" s="40" t="s">
        <v>161</v>
      </c>
      <c r="B70" s="11" t="s">
        <v>162</v>
      </c>
      <c r="C70" s="91">
        <v>1765</v>
      </c>
      <c r="D70" s="88">
        <v>2.8409091E-3</v>
      </c>
      <c r="E70" s="89">
        <v>13734893.2967724</v>
      </c>
      <c r="F70" s="35"/>
      <c r="G70" s="56" t="s">
        <v>236</v>
      </c>
      <c r="H70" s="39">
        <f t="shared" si="15"/>
        <v>69.099999999999994</v>
      </c>
      <c r="I70" s="73">
        <f t="shared" si="24"/>
        <v>-4.2936288099999997E-2</v>
      </c>
      <c r="J70" s="86">
        <f t="shared" si="21"/>
        <v>258356852.77407247</v>
      </c>
      <c r="K70" s="79" t="s">
        <v>214</v>
      </c>
      <c r="L70" s="44">
        <f t="shared" si="17"/>
        <v>19.5</v>
      </c>
      <c r="M70" s="74">
        <f t="shared" si="18"/>
        <v>-1.51515152E-2</v>
      </c>
      <c r="N70" s="86">
        <f t="shared" si="22"/>
        <v>975682420.6807251</v>
      </c>
      <c r="O70" s="79" t="s">
        <v>142</v>
      </c>
      <c r="P70" s="44">
        <f t="shared" si="19"/>
        <v>415</v>
      </c>
      <c r="Q70" s="74">
        <f t="shared" si="20"/>
        <v>-1.6587677700000001E-2</v>
      </c>
      <c r="R70" s="86">
        <f t="shared" si="23"/>
        <v>19269949.365468569</v>
      </c>
    </row>
    <row r="71" spans="1:18">
      <c r="A71" s="40" t="s">
        <v>265</v>
      </c>
      <c r="B71" s="11" t="s">
        <v>266</v>
      </c>
      <c r="C71" s="91">
        <v>85.5</v>
      </c>
      <c r="D71" s="88">
        <v>1.1709602E-3</v>
      </c>
      <c r="E71" s="89">
        <v>29550400.21772825</v>
      </c>
      <c r="F71" s="35"/>
      <c r="G71" s="60" t="s">
        <v>84</v>
      </c>
      <c r="H71" s="45">
        <f t="shared" si="15"/>
        <v>2325</v>
      </c>
      <c r="I71" s="76">
        <f t="shared" si="24"/>
        <v>-4.5174538E-2</v>
      </c>
      <c r="J71" s="95">
        <f t="shared" si="21"/>
        <v>120470604.25874159</v>
      </c>
      <c r="K71" s="78" t="s">
        <v>72</v>
      </c>
      <c r="L71" s="39">
        <f t="shared" si="17"/>
        <v>31.7</v>
      </c>
      <c r="M71" s="73">
        <f t="shared" si="18"/>
        <v>-1.5527950299999999E-2</v>
      </c>
      <c r="N71" s="95">
        <f t="shared" si="22"/>
        <v>111732153.17817686</v>
      </c>
      <c r="O71" s="78" t="s">
        <v>202</v>
      </c>
      <c r="P71" s="39">
        <f t="shared" si="19"/>
        <v>166</v>
      </c>
      <c r="Q71" s="73">
        <f t="shared" si="20"/>
        <v>-2.35294118E-2</v>
      </c>
      <c r="R71" s="95">
        <f t="shared" si="23"/>
        <v>81408120.424950466</v>
      </c>
    </row>
    <row r="72" spans="1:18">
      <c r="A72" s="40" t="s">
        <v>60</v>
      </c>
      <c r="B72" s="11" t="s">
        <v>61</v>
      </c>
      <c r="C72" s="91">
        <v>1595</v>
      </c>
      <c r="D72" s="88">
        <v>0</v>
      </c>
      <c r="E72" s="89">
        <v>22609081.119186141</v>
      </c>
      <c r="F72" s="35"/>
      <c r="G72" s="56" t="s">
        <v>190</v>
      </c>
      <c r="H72" s="39">
        <f t="shared" si="15"/>
        <v>64620</v>
      </c>
      <c r="I72" s="73">
        <f t="shared" si="24"/>
        <v>-4.7745358100000003E-2</v>
      </c>
      <c r="J72" s="82">
        <f t="shared" si="21"/>
        <v>383326.03581405</v>
      </c>
      <c r="K72" s="78" t="s">
        <v>268</v>
      </c>
      <c r="L72" s="39">
        <f t="shared" si="17"/>
        <v>79.5</v>
      </c>
      <c r="M72" s="73">
        <f t="shared" si="18"/>
        <v>-2.0935960600000001E-2</v>
      </c>
      <c r="N72" s="82">
        <f t="shared" si="22"/>
        <v>71029024.602476954</v>
      </c>
      <c r="O72" s="78" t="s">
        <v>252</v>
      </c>
      <c r="P72" s="39">
        <f t="shared" si="19"/>
        <v>446</v>
      </c>
      <c r="Q72" s="73">
        <f t="shared" si="20"/>
        <v>-2.6200873400000001E-2</v>
      </c>
      <c r="R72" s="82">
        <f t="shared" si="23"/>
        <v>14154392.463964051</v>
      </c>
    </row>
    <row r="73" spans="1:18">
      <c r="A73" s="40" t="s">
        <v>211</v>
      </c>
      <c r="B73" s="11" t="s">
        <v>212</v>
      </c>
      <c r="C73" s="91">
        <v>127</v>
      </c>
      <c r="D73" s="88">
        <v>0</v>
      </c>
      <c r="E73" s="89">
        <v>376587060.76465201</v>
      </c>
      <c r="F73" s="35"/>
      <c r="G73" s="56" t="s">
        <v>208</v>
      </c>
      <c r="H73" s="39">
        <f t="shared" si="15"/>
        <v>450</v>
      </c>
      <c r="I73" s="73">
        <f t="shared" si="24"/>
        <v>-5.6603773599999997E-2</v>
      </c>
      <c r="J73" s="82">
        <f t="shared" si="21"/>
        <v>131864115.370061</v>
      </c>
      <c r="K73" s="78" t="s">
        <v>236</v>
      </c>
      <c r="L73" s="39">
        <f t="shared" si="17"/>
        <v>69.099999999999994</v>
      </c>
      <c r="M73" s="73">
        <f t="shared" si="18"/>
        <v>-4.2936288099999997E-2</v>
      </c>
      <c r="N73" s="82">
        <f t="shared" si="22"/>
        <v>258356852.77407247</v>
      </c>
      <c r="O73" s="78" t="s">
        <v>54</v>
      </c>
      <c r="P73" s="39">
        <f t="shared" si="19"/>
        <v>402</v>
      </c>
      <c r="Q73" s="73">
        <f t="shared" si="20"/>
        <v>-4.2857142899999999E-2</v>
      </c>
      <c r="R73" s="82">
        <f t="shared" si="23"/>
        <v>578339059.28800607</v>
      </c>
    </row>
    <row r="74" spans="1:18">
      <c r="A74" s="40" t="s">
        <v>97</v>
      </c>
      <c r="B74" s="11" t="s">
        <v>98</v>
      </c>
      <c r="C74" s="91">
        <v>7700</v>
      </c>
      <c r="D74" s="88">
        <v>0</v>
      </c>
      <c r="E74" s="89">
        <v>2385686.6363146501</v>
      </c>
      <c r="F74" s="35"/>
      <c r="G74" s="56" t="s">
        <v>172</v>
      </c>
      <c r="H74" s="39">
        <f t="shared" si="15"/>
        <v>23</v>
      </c>
      <c r="I74" s="73">
        <f t="shared" si="24"/>
        <v>-5.7377049200000002E-2</v>
      </c>
      <c r="J74" s="82">
        <f t="shared" si="21"/>
        <v>567156568.63214648</v>
      </c>
      <c r="K74" s="78" t="s">
        <v>172</v>
      </c>
      <c r="L74" s="39">
        <f t="shared" si="17"/>
        <v>23</v>
      </c>
      <c r="M74" s="73">
        <f t="shared" si="18"/>
        <v>-5.7377049200000002E-2</v>
      </c>
      <c r="N74" s="82">
        <f t="shared" si="22"/>
        <v>567156568.63214648</v>
      </c>
      <c r="O74" s="78" t="s">
        <v>208</v>
      </c>
      <c r="P74" s="39">
        <f t="shared" si="19"/>
        <v>450</v>
      </c>
      <c r="Q74" s="73">
        <f t="shared" si="20"/>
        <v>-5.6603773599999997E-2</v>
      </c>
      <c r="R74" s="82">
        <f t="shared" si="23"/>
        <v>131864115.370061</v>
      </c>
    </row>
    <row r="75" spans="1:18" ht="17.25" thickBot="1">
      <c r="A75" s="40" t="s">
        <v>277</v>
      </c>
      <c r="B75" s="11" t="s">
        <v>278</v>
      </c>
      <c r="C75" s="91">
        <v>140</v>
      </c>
      <c r="D75" s="88">
        <v>0</v>
      </c>
      <c r="E75" s="89">
        <v>17374559.371776141</v>
      </c>
      <c r="F75" s="35"/>
      <c r="G75" s="57" t="s">
        <v>182</v>
      </c>
      <c r="H75" s="37">
        <f t="shared" si="15"/>
        <v>523</v>
      </c>
      <c r="I75" s="75">
        <f t="shared" si="24"/>
        <v>-7.4336283200000006E-2</v>
      </c>
      <c r="J75" s="83">
        <f t="shared" si="21"/>
        <v>73250661.500004366</v>
      </c>
      <c r="K75" s="80"/>
      <c r="L75" s="37" t="str">
        <f t="shared" si="17"/>
        <v/>
      </c>
      <c r="M75" s="75" t="str">
        <f t="shared" si="18"/>
        <v/>
      </c>
      <c r="N75" s="83" t="str">
        <f t="shared" si="22"/>
        <v/>
      </c>
      <c r="O75" s="80" t="s">
        <v>182</v>
      </c>
      <c r="P75" s="37">
        <f t="shared" si="19"/>
        <v>523</v>
      </c>
      <c r="Q75" s="75">
        <f t="shared" si="20"/>
        <v>-7.4336283200000006E-2</v>
      </c>
      <c r="R75" s="83">
        <f t="shared" si="23"/>
        <v>73250661.500004366</v>
      </c>
    </row>
    <row r="76" spans="1:18">
      <c r="A76" s="40" t="s">
        <v>99</v>
      </c>
      <c r="B76" s="11" t="s">
        <v>100</v>
      </c>
      <c r="C76" s="91">
        <v>7.53</v>
      </c>
      <c r="D76" s="88">
        <v>-1.3262599000000001E-3</v>
      </c>
      <c r="E76" s="89">
        <v>23167713110.493984</v>
      </c>
      <c r="F76" s="35"/>
      <c r="G76" s="35"/>
      <c r="H76" s="35"/>
      <c r="I76" s="35"/>
    </row>
    <row r="77" spans="1:18">
      <c r="A77" s="40" t="s">
        <v>87</v>
      </c>
      <c r="B77" s="11" t="s">
        <v>88</v>
      </c>
      <c r="C77" s="91">
        <v>540</v>
      </c>
      <c r="D77" s="88">
        <v>-1.8484288000000001E-3</v>
      </c>
      <c r="E77" s="89">
        <v>47701273.29557734</v>
      </c>
      <c r="F77" s="35"/>
      <c r="G77" s="35"/>
      <c r="H77" s="35"/>
      <c r="I77" s="35"/>
    </row>
    <row r="78" spans="1:18">
      <c r="A78" s="40" t="s">
        <v>253</v>
      </c>
      <c r="B78" s="11" t="s">
        <v>254</v>
      </c>
      <c r="C78" s="91">
        <v>72.900000000000006</v>
      </c>
      <c r="D78" s="88">
        <v>-4.0983607000000003E-3</v>
      </c>
      <c r="E78" s="89">
        <v>63141356.09417893</v>
      </c>
      <c r="F78" s="35"/>
      <c r="G78" s="35"/>
      <c r="H78" s="35"/>
      <c r="I78" s="35"/>
    </row>
    <row r="79" spans="1:18">
      <c r="A79" s="40" t="s">
        <v>237</v>
      </c>
      <c r="B79" s="11" t="s">
        <v>238</v>
      </c>
      <c r="C79" s="91">
        <v>242</v>
      </c>
      <c r="D79" s="88">
        <v>-4.1152263000000001E-3</v>
      </c>
      <c r="E79" s="89">
        <v>9360769.6778150704</v>
      </c>
      <c r="F79" s="35"/>
      <c r="G79" s="35"/>
      <c r="H79" s="35"/>
      <c r="I79" s="35"/>
    </row>
    <row r="80" spans="1:18">
      <c r="A80" s="40" t="s">
        <v>131</v>
      </c>
      <c r="B80" s="11" t="s">
        <v>132</v>
      </c>
      <c r="C80" s="91">
        <v>229</v>
      </c>
      <c r="D80" s="88">
        <v>-4.3478261000000004E-3</v>
      </c>
      <c r="E80" s="89">
        <v>403091420.30760902</v>
      </c>
      <c r="F80" s="35"/>
      <c r="G80" s="35"/>
      <c r="H80" s="35"/>
      <c r="I80" s="35"/>
    </row>
    <row r="81" spans="1:9">
      <c r="A81" s="40" t="s">
        <v>225</v>
      </c>
      <c r="B81" s="11" t="s">
        <v>226</v>
      </c>
      <c r="C81" s="91">
        <v>431</v>
      </c>
      <c r="D81" s="88">
        <v>-4.6189376000000002E-3</v>
      </c>
      <c r="E81" s="89">
        <v>5840890.4709722996</v>
      </c>
      <c r="F81" s="35"/>
      <c r="G81" s="35"/>
      <c r="H81" s="35"/>
      <c r="I81" s="35"/>
    </row>
    <row r="82" spans="1:9">
      <c r="A82" s="40" t="s">
        <v>169</v>
      </c>
      <c r="B82" s="11" t="s">
        <v>170</v>
      </c>
      <c r="C82" s="91">
        <v>499</v>
      </c>
      <c r="D82" s="88">
        <v>-5.9760956E-3</v>
      </c>
      <c r="E82" s="89">
        <v>2823852.1009158399</v>
      </c>
      <c r="F82" s="35"/>
      <c r="G82" s="35"/>
      <c r="H82" s="35"/>
      <c r="I82" s="35"/>
    </row>
    <row r="83" spans="1:9">
      <c r="A83" s="40" t="s">
        <v>209</v>
      </c>
      <c r="B83" s="11" t="s">
        <v>210</v>
      </c>
      <c r="C83" s="91">
        <v>165</v>
      </c>
      <c r="D83" s="88">
        <v>-6.0240963999999998E-3</v>
      </c>
      <c r="E83" s="89">
        <v>30793942.355077829</v>
      </c>
      <c r="F83" s="35"/>
      <c r="G83" s="35"/>
      <c r="H83" s="35"/>
      <c r="I83" s="35"/>
    </row>
    <row r="84" spans="1:9">
      <c r="A84" s="40" t="s">
        <v>245</v>
      </c>
      <c r="B84" s="11" t="s">
        <v>246</v>
      </c>
      <c r="C84" s="91">
        <v>322</v>
      </c>
      <c r="D84" s="88">
        <v>-6.1728395E-3</v>
      </c>
      <c r="E84" s="89">
        <v>11457520.618681069</v>
      </c>
      <c r="F84" s="35"/>
      <c r="G84" s="35"/>
      <c r="H84" s="35"/>
      <c r="I84" s="35"/>
    </row>
    <row r="85" spans="1:9">
      <c r="A85" s="40" t="s">
        <v>199</v>
      </c>
      <c r="B85" s="11" t="s">
        <v>200</v>
      </c>
      <c r="C85" s="91">
        <v>305</v>
      </c>
      <c r="D85" s="88">
        <v>-6.5146580000000004E-3</v>
      </c>
      <c r="E85" s="89">
        <v>8650807.2852889095</v>
      </c>
      <c r="F85" s="35"/>
      <c r="G85" s="35"/>
      <c r="H85" s="35"/>
      <c r="I85" s="35"/>
    </row>
    <row r="86" spans="1:9">
      <c r="A86" s="40" t="s">
        <v>281</v>
      </c>
      <c r="B86" s="11" t="s">
        <v>282</v>
      </c>
      <c r="C86" s="91">
        <v>149</v>
      </c>
      <c r="D86" s="88">
        <v>-6.6666666999999997E-3</v>
      </c>
      <c r="E86" s="89">
        <v>21117797.253901899</v>
      </c>
      <c r="F86" s="35"/>
      <c r="G86" s="35"/>
      <c r="H86" s="35"/>
      <c r="I86" s="35"/>
    </row>
    <row r="87" spans="1:9">
      <c r="A87" s="40" t="s">
        <v>229</v>
      </c>
      <c r="B87" s="11" t="s">
        <v>230</v>
      </c>
      <c r="C87" s="91">
        <v>146</v>
      </c>
      <c r="D87" s="88">
        <v>-6.8027210999999999E-3</v>
      </c>
      <c r="E87" s="89">
        <v>76121850.478806034</v>
      </c>
      <c r="F87" s="35"/>
      <c r="G87" s="35"/>
      <c r="H87" s="35"/>
      <c r="I87" s="35"/>
    </row>
    <row r="88" spans="1:9">
      <c r="A88" s="40" t="s">
        <v>50</v>
      </c>
      <c r="B88" s="11" t="s">
        <v>51</v>
      </c>
      <c r="C88" s="91">
        <v>818</v>
      </c>
      <c r="D88" s="88">
        <v>-7.2815533999999998E-3</v>
      </c>
      <c r="E88" s="89">
        <v>197984411.8620435</v>
      </c>
      <c r="F88" s="35"/>
      <c r="G88" s="35"/>
      <c r="H88" s="35"/>
      <c r="I88" s="35"/>
    </row>
    <row r="89" spans="1:9">
      <c r="A89" s="40" t="s">
        <v>269</v>
      </c>
      <c r="B89" s="11" t="s">
        <v>270</v>
      </c>
      <c r="C89" s="91">
        <v>509</v>
      </c>
      <c r="D89" s="88">
        <v>-7.7972709999999997E-3</v>
      </c>
      <c r="E89" s="89">
        <v>3651252.2614278998</v>
      </c>
      <c r="F89" s="35"/>
      <c r="G89" s="35"/>
      <c r="H89" s="35"/>
      <c r="I89" s="35"/>
    </row>
    <row r="90" spans="1:9">
      <c r="A90" s="40" t="s">
        <v>91</v>
      </c>
      <c r="B90" s="11" t="s">
        <v>92</v>
      </c>
      <c r="C90" s="91">
        <v>1710</v>
      </c>
      <c r="D90" s="88">
        <v>-8.6956522000000008E-3</v>
      </c>
      <c r="E90" s="89">
        <v>474860836.26365244</v>
      </c>
      <c r="F90" s="35"/>
      <c r="G90" s="35"/>
      <c r="H90" s="35"/>
      <c r="I90" s="35"/>
    </row>
    <row r="91" spans="1:9">
      <c r="A91" s="40" t="s">
        <v>233</v>
      </c>
      <c r="B91" s="11" t="s">
        <v>234</v>
      </c>
      <c r="C91" s="91">
        <v>1110</v>
      </c>
      <c r="D91" s="88">
        <v>-8.9285713999999999E-3</v>
      </c>
      <c r="E91" s="89">
        <v>2513169.8985335901</v>
      </c>
      <c r="F91" s="35"/>
      <c r="G91" s="35"/>
      <c r="H91" s="35"/>
      <c r="I91" s="35"/>
    </row>
    <row r="92" spans="1:9">
      <c r="A92" s="40" t="s">
        <v>121</v>
      </c>
      <c r="B92" s="11" t="s">
        <v>122</v>
      </c>
      <c r="C92" s="91">
        <v>104</v>
      </c>
      <c r="D92" s="88">
        <v>-9.5238094999999991E-3</v>
      </c>
      <c r="E92" s="89">
        <v>118470208.94830199</v>
      </c>
      <c r="F92" s="35"/>
      <c r="G92" s="35"/>
      <c r="H92" s="35"/>
      <c r="I92" s="35"/>
    </row>
    <row r="93" spans="1:9">
      <c r="A93" s="40" t="s">
        <v>191</v>
      </c>
      <c r="B93" s="11" t="s">
        <v>192</v>
      </c>
      <c r="C93" s="91">
        <v>1020</v>
      </c>
      <c r="D93" s="88">
        <v>-9.7087379000000001E-3</v>
      </c>
      <c r="E93" s="89">
        <v>11798006.0317809</v>
      </c>
      <c r="F93" s="35"/>
      <c r="G93" s="35"/>
      <c r="H93" s="35"/>
      <c r="I93" s="35"/>
    </row>
    <row r="94" spans="1:9">
      <c r="A94" s="40" t="s">
        <v>119</v>
      </c>
      <c r="B94" s="11" t="s">
        <v>120</v>
      </c>
      <c r="C94" s="91">
        <v>204</v>
      </c>
      <c r="D94" s="88">
        <v>-9.7087379000000001E-3</v>
      </c>
      <c r="E94" s="89">
        <v>84749346.902143568</v>
      </c>
      <c r="F94" s="35"/>
      <c r="G94" s="35"/>
      <c r="H94" s="35"/>
      <c r="I94" s="35"/>
    </row>
    <row r="95" spans="1:9">
      <c r="A95" s="40" t="s">
        <v>111</v>
      </c>
      <c r="B95" s="11" t="s">
        <v>112</v>
      </c>
      <c r="C95" s="91">
        <v>230</v>
      </c>
      <c r="D95" s="88">
        <v>-1.28755365E-2</v>
      </c>
      <c r="E95" s="89">
        <v>58014855.504743852</v>
      </c>
      <c r="F95" s="35"/>
      <c r="G95" s="35"/>
      <c r="H95" s="35"/>
      <c r="I95" s="35"/>
    </row>
    <row r="96" spans="1:9">
      <c r="A96" s="40" t="s">
        <v>257</v>
      </c>
      <c r="B96" s="11" t="s">
        <v>258</v>
      </c>
      <c r="C96" s="91">
        <v>600</v>
      </c>
      <c r="D96" s="88">
        <v>-1.3157894700000001E-2</v>
      </c>
      <c r="E96" s="89">
        <v>12953403.533336811</v>
      </c>
      <c r="F96" s="35"/>
      <c r="G96" s="35"/>
      <c r="H96" s="35"/>
      <c r="I96" s="35"/>
    </row>
    <row r="97" spans="1:9">
      <c r="A97" s="40" t="s">
        <v>213</v>
      </c>
      <c r="B97" s="11" t="s">
        <v>214</v>
      </c>
      <c r="C97" s="91">
        <v>19.5</v>
      </c>
      <c r="D97" s="88">
        <v>-1.51515152E-2</v>
      </c>
      <c r="E97" s="89">
        <v>975682420.6807251</v>
      </c>
      <c r="F97" s="35"/>
      <c r="G97" s="35"/>
      <c r="H97" s="35"/>
      <c r="I97" s="35"/>
    </row>
    <row r="98" spans="1:9">
      <c r="A98" s="40" t="s">
        <v>71</v>
      </c>
      <c r="B98" s="11" t="s">
        <v>72</v>
      </c>
      <c r="C98" s="91">
        <v>31.7</v>
      </c>
      <c r="D98" s="88">
        <v>-1.5527950299999999E-2</v>
      </c>
      <c r="E98" s="89">
        <v>111732153.17817686</v>
      </c>
      <c r="F98" s="35"/>
      <c r="G98" s="35"/>
      <c r="H98" s="35"/>
      <c r="I98" s="35"/>
    </row>
    <row r="99" spans="1:9">
      <c r="A99" s="40" t="s">
        <v>271</v>
      </c>
      <c r="B99" s="11" t="s">
        <v>272</v>
      </c>
      <c r="C99" s="91">
        <v>2185</v>
      </c>
      <c r="D99" s="88">
        <v>-1.5765765800000001E-2</v>
      </c>
      <c r="E99" s="89">
        <v>1528859.2359530199</v>
      </c>
      <c r="F99" s="35"/>
      <c r="G99" s="35"/>
      <c r="H99" s="35"/>
      <c r="I99" s="35"/>
    </row>
    <row r="100" spans="1:9">
      <c r="A100" s="40" t="s">
        <v>279</v>
      </c>
      <c r="B100" s="11" t="s">
        <v>280</v>
      </c>
      <c r="C100" s="91">
        <v>1520</v>
      </c>
      <c r="D100" s="88">
        <v>-1.6181229799999999E-2</v>
      </c>
      <c r="E100" s="89">
        <v>4810460.5312992204</v>
      </c>
      <c r="F100" s="35"/>
      <c r="G100" s="35"/>
      <c r="H100" s="35"/>
      <c r="I100" s="35"/>
    </row>
    <row r="101" spans="1:9">
      <c r="A101" s="40" t="s">
        <v>79</v>
      </c>
      <c r="B101" s="11" t="s">
        <v>80</v>
      </c>
      <c r="C101" s="91">
        <v>1495</v>
      </c>
      <c r="D101" s="88">
        <v>-1.6447368399999999E-2</v>
      </c>
      <c r="E101" s="89">
        <v>4950781.0866183797</v>
      </c>
      <c r="F101" s="35"/>
      <c r="G101" s="35"/>
      <c r="H101" s="35"/>
      <c r="I101" s="35"/>
    </row>
    <row r="102" spans="1:9">
      <c r="A102" s="40" t="s">
        <v>141</v>
      </c>
      <c r="B102" s="11" t="s">
        <v>142</v>
      </c>
      <c r="C102" s="91">
        <v>415</v>
      </c>
      <c r="D102" s="88">
        <v>-1.6587677700000001E-2</v>
      </c>
      <c r="E102" s="89">
        <v>19269949.365468569</v>
      </c>
      <c r="F102" s="35"/>
      <c r="G102" s="35"/>
      <c r="H102" s="35"/>
      <c r="I102" s="35"/>
    </row>
    <row r="103" spans="1:9">
      <c r="A103" s="40" t="s">
        <v>48</v>
      </c>
      <c r="B103" s="11" t="s">
        <v>49</v>
      </c>
      <c r="C103" s="91">
        <v>62017000</v>
      </c>
      <c r="D103" s="88">
        <v>-1.6680144000000001E-2</v>
      </c>
      <c r="E103" s="89">
        <v>9821.6624259599994</v>
      </c>
      <c r="F103" s="35"/>
      <c r="G103" s="35"/>
      <c r="H103" s="35"/>
      <c r="I103" s="35"/>
    </row>
    <row r="104" spans="1:9">
      <c r="A104" s="40" t="s">
        <v>267</v>
      </c>
      <c r="B104" s="11" t="s">
        <v>268</v>
      </c>
      <c r="C104" s="91">
        <v>79.5</v>
      </c>
      <c r="D104" s="88">
        <v>-2.0935960600000001E-2</v>
      </c>
      <c r="E104" s="89">
        <v>71029024.602476954</v>
      </c>
      <c r="F104" s="35"/>
      <c r="G104" s="35"/>
      <c r="H104" s="35"/>
      <c r="I104" s="35"/>
    </row>
    <row r="105" spans="1:9">
      <c r="A105" s="40" t="s">
        <v>81</v>
      </c>
      <c r="B105" s="11" t="s">
        <v>82</v>
      </c>
      <c r="C105" s="91">
        <v>1400</v>
      </c>
      <c r="D105" s="88">
        <v>-2.0979021E-2</v>
      </c>
      <c r="E105" s="89">
        <v>1226552.6521000499</v>
      </c>
      <c r="F105" s="35"/>
      <c r="G105" s="35"/>
      <c r="H105" s="35"/>
      <c r="I105" s="35"/>
    </row>
    <row r="106" spans="1:9">
      <c r="A106" s="40" t="s">
        <v>183</v>
      </c>
      <c r="B106" s="11" t="s">
        <v>184</v>
      </c>
      <c r="C106" s="91">
        <v>2490</v>
      </c>
      <c r="D106" s="88">
        <v>-2.35294118E-2</v>
      </c>
      <c r="E106" s="89">
        <v>954130.46300660004</v>
      </c>
      <c r="F106" s="35"/>
      <c r="G106" s="35"/>
      <c r="H106" s="35"/>
      <c r="I106" s="35"/>
    </row>
    <row r="107" spans="1:9">
      <c r="A107" s="40" t="s">
        <v>201</v>
      </c>
      <c r="B107" s="11" t="s">
        <v>202</v>
      </c>
      <c r="C107" s="91">
        <v>166</v>
      </c>
      <c r="D107" s="88">
        <v>-2.35294118E-2</v>
      </c>
      <c r="E107" s="89">
        <v>81408120.424950466</v>
      </c>
      <c r="F107" s="35"/>
      <c r="G107" s="35"/>
      <c r="H107" s="35"/>
      <c r="I107" s="35"/>
    </row>
    <row r="108" spans="1:9">
      <c r="A108" s="40" t="s">
        <v>251</v>
      </c>
      <c r="B108" s="11" t="s">
        <v>252</v>
      </c>
      <c r="C108" s="91">
        <v>446</v>
      </c>
      <c r="D108" s="88">
        <v>-2.6200873400000001E-2</v>
      </c>
      <c r="E108" s="89">
        <v>14154392.463964051</v>
      </c>
      <c r="F108" s="35"/>
      <c r="G108" s="35"/>
      <c r="H108" s="35"/>
      <c r="I108" s="35"/>
    </row>
    <row r="109" spans="1:9">
      <c r="A109" s="40" t="s">
        <v>66</v>
      </c>
      <c r="B109" s="11" t="s">
        <v>67</v>
      </c>
      <c r="C109" s="91">
        <v>7040</v>
      </c>
      <c r="D109" s="88">
        <v>-2.6279391400000001E-2</v>
      </c>
      <c r="E109" s="41">
        <v>1150531.5055120999</v>
      </c>
    </row>
    <row r="110" spans="1:9">
      <c r="A110" s="40" t="s">
        <v>203</v>
      </c>
      <c r="B110" s="11" t="s">
        <v>204</v>
      </c>
      <c r="C110" s="91">
        <v>6370</v>
      </c>
      <c r="D110" s="88">
        <v>-2.67379679E-2</v>
      </c>
      <c r="E110" s="41">
        <v>5452447.5356076201</v>
      </c>
    </row>
    <row r="111" spans="1:9">
      <c r="A111" s="40" t="s">
        <v>275</v>
      </c>
      <c r="B111" s="11" t="s">
        <v>276</v>
      </c>
      <c r="C111" s="91">
        <v>4365</v>
      </c>
      <c r="D111" s="88">
        <v>-3.4292035399999997E-2</v>
      </c>
      <c r="E111" s="41">
        <v>2615067.1949725798</v>
      </c>
    </row>
    <row r="112" spans="1:9">
      <c r="A112" s="40" t="s">
        <v>53</v>
      </c>
      <c r="B112" s="11" t="s">
        <v>54</v>
      </c>
      <c r="C112" s="91">
        <v>402</v>
      </c>
      <c r="D112" s="88">
        <v>-4.2857142899999999E-2</v>
      </c>
      <c r="E112" s="41">
        <v>578339059.28800607</v>
      </c>
    </row>
    <row r="113" spans="1:5">
      <c r="A113" s="40" t="s">
        <v>235</v>
      </c>
      <c r="B113" s="11" t="s">
        <v>236</v>
      </c>
      <c r="C113" s="91">
        <v>69.099999999999994</v>
      </c>
      <c r="D113" s="88">
        <v>-4.2936288099999997E-2</v>
      </c>
      <c r="E113" s="41">
        <v>258356852.77407247</v>
      </c>
    </row>
    <row r="114" spans="1:5">
      <c r="A114" s="40" t="s">
        <v>83</v>
      </c>
      <c r="B114" s="11" t="s">
        <v>84</v>
      </c>
      <c r="C114" s="91">
        <v>2325</v>
      </c>
      <c r="D114" s="88">
        <v>-4.5174538E-2</v>
      </c>
      <c r="E114" s="41">
        <v>120470604.25874159</v>
      </c>
    </row>
    <row r="115" spans="1:5">
      <c r="A115" s="40" t="s">
        <v>189</v>
      </c>
      <c r="B115" s="11" t="s">
        <v>190</v>
      </c>
      <c r="C115" s="91">
        <v>64620</v>
      </c>
      <c r="D115" s="88">
        <v>-4.7745358100000003E-2</v>
      </c>
      <c r="E115" s="41">
        <v>383326.03581405</v>
      </c>
    </row>
    <row r="116" spans="1:5">
      <c r="A116" s="40" t="s">
        <v>207</v>
      </c>
      <c r="B116" s="11" t="s">
        <v>208</v>
      </c>
      <c r="C116" s="91">
        <v>450</v>
      </c>
      <c r="D116" s="88">
        <v>-5.6603773599999997E-2</v>
      </c>
      <c r="E116" s="41">
        <v>131864115.370061</v>
      </c>
    </row>
    <row r="117" spans="1:5">
      <c r="A117" s="40" t="s">
        <v>171</v>
      </c>
      <c r="B117" s="11" t="s">
        <v>172</v>
      </c>
      <c r="C117" s="91">
        <v>23</v>
      </c>
      <c r="D117" s="88">
        <v>-5.7377049200000002E-2</v>
      </c>
      <c r="E117" s="41">
        <v>567156568.63214648</v>
      </c>
    </row>
    <row r="118" spans="1:5">
      <c r="A118" s="40" t="s">
        <v>181</v>
      </c>
      <c r="B118" s="11" t="s">
        <v>182</v>
      </c>
      <c r="C118" s="91">
        <v>523</v>
      </c>
      <c r="D118" s="88">
        <v>-7.4336283200000006E-2</v>
      </c>
      <c r="E118" s="41">
        <v>73250661.500004366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244" t="str">
        <f>TEXT(투자전략!$G$1, "[$-ko-KR]yyyy년 mm월") &amp; " 총결산"</f>
        <v>2021년 05월 총결산</v>
      </c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6"/>
    </row>
    <row r="2" spans="1:15" ht="16.5" customHeight="1" thickBot="1">
      <c r="A2" s="250" t="s">
        <v>326</v>
      </c>
      <c r="B2" s="251"/>
      <c r="C2" s="251"/>
      <c r="D2" s="242" t="s">
        <v>322</v>
      </c>
      <c r="E2" s="242"/>
      <c r="F2" s="243"/>
      <c r="G2" s="244" t="s">
        <v>323</v>
      </c>
      <c r="H2" s="245"/>
      <c r="I2" s="246"/>
      <c r="J2" s="241" t="s">
        <v>324</v>
      </c>
      <c r="K2" s="242"/>
      <c r="L2" s="242"/>
      <c r="M2" s="242" t="s">
        <v>325</v>
      </c>
      <c r="N2" s="242"/>
      <c r="O2" s="243"/>
    </row>
    <row r="3" spans="1:15" ht="16.5" customHeight="1">
      <c r="A3" s="330">
        <v>1</v>
      </c>
      <c r="B3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252"/>
      <c r="D3" s="250" t="s">
        <v>327</v>
      </c>
      <c r="E3" s="251"/>
      <c r="F3" s="252"/>
      <c r="G3" s="250" t="s">
        <v>334</v>
      </c>
      <c r="H3" s="251"/>
      <c r="I3" s="252"/>
      <c r="J3" s="250" t="s">
        <v>341</v>
      </c>
      <c r="K3" s="251"/>
      <c r="L3" s="252"/>
      <c r="M3" s="250" t="s">
        <v>348</v>
      </c>
      <c r="N3" s="251"/>
      <c r="O3" s="252"/>
    </row>
    <row r="4" spans="1:15" ht="16.5" customHeight="1" thickBot="1">
      <c r="A4" s="331"/>
      <c r="B4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929,260 KRW (24.45%)</v>
      </c>
      <c r="C4" s="258"/>
      <c r="D4" s="256" t="str">
        <f ca="1" xml:space="preserve"> TEXT($F$92, "#,##0") &amp; " KRW (" &amp; TEXT($E$92, "0.00%)")</f>
        <v>-641,746 KRW (-18.13%)</v>
      </c>
      <c r="E4" s="257"/>
      <c r="F4" s="258"/>
      <c r="G4" s="256" t="str">
        <f ca="1" xml:space="preserve"> TEXT($I$92, "#,##0") &amp; " KRW (" &amp; TEXT($H$92, "0.00%)")</f>
        <v>-407,005 KRW (-11.50%)</v>
      </c>
      <c r="H4" s="257"/>
      <c r="I4" s="258"/>
      <c r="J4" s="256" t="str">
        <f ca="1" xml:space="preserve"> TEXT($L$92, "#,##0") &amp; " KRW (" &amp; TEXT($K$92, "0.00%)")</f>
        <v>-166,067 KRW (-4.69%)</v>
      </c>
      <c r="K4" s="257"/>
      <c r="L4" s="258"/>
      <c r="M4" s="256" t="str">
        <f ca="1" xml:space="preserve"> TEXT($O$92, "#,##0") &amp; " KRW (" &amp; TEXT($N$92, "0.00%)")</f>
        <v>-424,315 KRW (-11.99%)</v>
      </c>
      <c r="N4" s="257"/>
      <c r="O4" s="258"/>
    </row>
    <row r="5" spans="1:15" ht="16.5" customHeight="1">
      <c r="A5" s="330">
        <v>2</v>
      </c>
      <c r="B5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전일대비 상승률 Top20</v>
      </c>
      <c r="C5" s="252"/>
      <c r="D5" s="250" t="s">
        <v>328</v>
      </c>
      <c r="E5" s="251"/>
      <c r="F5" s="252"/>
      <c r="G5" s="250" t="s">
        <v>335</v>
      </c>
      <c r="H5" s="251"/>
      <c r="I5" s="252"/>
      <c r="J5" s="250" t="s">
        <v>342</v>
      </c>
      <c r="K5" s="251"/>
      <c r="L5" s="252"/>
      <c r="M5" s="250" t="s">
        <v>349</v>
      </c>
      <c r="N5" s="251"/>
      <c r="O5" s="252"/>
    </row>
    <row r="6" spans="1:15" ht="16.5" customHeight="1" thickBot="1">
      <c r="A6" s="331"/>
      <c r="B6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586,154 KRW (15.43%)</v>
      </c>
      <c r="C6" s="258"/>
      <c r="D6" s="256" t="str">
        <f ca="1" xml:space="preserve"> TEXT($F$130, "#,##0") &amp; " KRW (" &amp; TEXT($E$130, "0.00%)")</f>
        <v>-145,158 KRW (-3.82%)</v>
      </c>
      <c r="E6" s="257"/>
      <c r="F6" s="258"/>
      <c r="G6" s="256" t="str">
        <f ca="1" xml:space="preserve"> TEXT($I$130, "#,##0") &amp; " KRW (" &amp; TEXT($H$130, "0.00%)")</f>
        <v>130,042 KRW (3.42%)</v>
      </c>
      <c r="H6" s="257"/>
      <c r="I6" s="258"/>
      <c r="J6" s="256" t="str">
        <f ca="1" xml:space="preserve"> TEXT($L$130, "#,##0") &amp; " KRW (" &amp; TEXT($K$130, "0.00%)")</f>
        <v>359,771 KRW (9.47%)</v>
      </c>
      <c r="K6" s="257"/>
      <c r="L6" s="258"/>
      <c r="M6" s="256" t="str">
        <f ca="1" xml:space="preserve"> TEXT($O$130, "#,##0") &amp; " KRW (" &amp; TEXT($N$130, "0.00%)")</f>
        <v>-28,725 KRW (-0.76%)</v>
      </c>
      <c r="N6" s="257"/>
      <c r="O6" s="258"/>
    </row>
    <row r="7" spans="1:15" ht="16.5" customHeight="1">
      <c r="A7" s="330">
        <v>3</v>
      </c>
      <c r="B7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전일대비 상승률 Top20</v>
      </c>
      <c r="C7" s="252"/>
      <c r="D7" s="250" t="s">
        <v>329</v>
      </c>
      <c r="E7" s="251"/>
      <c r="F7" s="252"/>
      <c r="G7" s="250" t="s">
        <v>336</v>
      </c>
      <c r="H7" s="251"/>
      <c r="I7" s="252"/>
      <c r="J7" s="250" t="s">
        <v>343</v>
      </c>
      <c r="K7" s="251"/>
      <c r="L7" s="252"/>
      <c r="M7" s="250" t="s">
        <v>350</v>
      </c>
      <c r="N7" s="251"/>
      <c r="O7" s="252"/>
    </row>
    <row r="8" spans="1:15" ht="16.5" customHeight="1" thickBot="1">
      <c r="A8" s="331"/>
      <c r="B8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498,280 KRW (13.11%)</v>
      </c>
      <c r="C8" s="258"/>
      <c r="D8" s="256" t="str">
        <f ca="1" xml:space="preserve"> TEXT($F$206, "#,##0") &amp; " KRW (" &amp; TEXT($E$206, "0.00%)")</f>
        <v>-646,352 KRW (-18.31%)</v>
      </c>
      <c r="E8" s="257"/>
      <c r="F8" s="258"/>
      <c r="G8" s="256" t="str">
        <f ca="1" xml:space="preserve"> TEXT($I$206, "#,##0") &amp; " KRW (" &amp; TEXT($H$206, "0.00%)")</f>
        <v>-410,541 KRW (-11.63%)</v>
      </c>
      <c r="H8" s="257"/>
      <c r="I8" s="258"/>
      <c r="J8" s="256" t="str">
        <f ca="1" xml:space="preserve"> TEXT($L$206, "#,##0") &amp; " KRW (" &amp; TEXT($K$206, "0.00%)")</f>
        <v>-168,542 KRW (-4.77%)</v>
      </c>
      <c r="K8" s="257"/>
      <c r="L8" s="258"/>
      <c r="M8" s="256" t="str">
        <f ca="1" xml:space="preserve"> TEXT($O$206, "#,##0") &amp; " KRW (" &amp; TEXT($N$206, "0.00%)")</f>
        <v>-424,307 KRW (-12.02%)</v>
      </c>
      <c r="N8" s="257"/>
      <c r="O8" s="258"/>
    </row>
    <row r="9" spans="1:15" ht="16.5" customHeight="1">
      <c r="A9" s="330">
        <v>4</v>
      </c>
      <c r="B9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동전코인 Top20</v>
      </c>
      <c r="C9" s="252"/>
      <c r="D9" s="250" t="s">
        <v>330</v>
      </c>
      <c r="E9" s="251"/>
      <c r="F9" s="252"/>
      <c r="G9" s="250" t="s">
        <v>337</v>
      </c>
      <c r="H9" s="251"/>
      <c r="I9" s="252"/>
      <c r="J9" s="250" t="s">
        <v>344</v>
      </c>
      <c r="K9" s="251"/>
      <c r="L9" s="252"/>
      <c r="M9" s="250" t="s">
        <v>351</v>
      </c>
      <c r="N9" s="251"/>
      <c r="O9" s="252"/>
    </row>
    <row r="10" spans="1:15" ht="16.5" customHeight="1" thickBot="1">
      <c r="A10" s="331"/>
      <c r="B10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359,771 KRW (9.47%)</v>
      </c>
      <c r="C10" s="258"/>
      <c r="D10" s="256" t="str">
        <f ca="1" xml:space="preserve"> TEXT($F$244, "#,##0") &amp; " KRW (" &amp; TEXT($E$244, "0.00%)")</f>
        <v>-550,597 KRW (-14.49%)</v>
      </c>
      <c r="E10" s="257"/>
      <c r="F10" s="258"/>
      <c r="G10" s="256" t="str">
        <f ca="1" xml:space="preserve"> TEXT($I$244, "#,##0") &amp; " KRW (" &amp; TEXT($H$244, "0.00%)")</f>
        <v>-315,313 KRW (-8.30%)</v>
      </c>
      <c r="H10" s="257"/>
      <c r="I10" s="258"/>
      <c r="J10" s="256" t="str">
        <f ca="1" xml:space="preserve"> TEXT($L$244, "#,##0") &amp; " KRW (" &amp; TEXT($K$244, "0.00%)")</f>
        <v>-168,315 KRW (-4.43%)</v>
      </c>
      <c r="K10" s="257"/>
      <c r="L10" s="258"/>
      <c r="M10" s="256" t="str">
        <f ca="1" xml:space="preserve"> TEXT($O$244, "#,##0") &amp; " KRW (" &amp; TEXT($N$244, "0.00%)")</f>
        <v>-385,162 KRW (-10.14%)</v>
      </c>
      <c r="N10" s="257"/>
      <c r="O10" s="258"/>
    </row>
    <row r="11" spans="1:15" ht="16.5" customHeight="1">
      <c r="A11" s="330">
        <v>5</v>
      </c>
      <c r="B11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전일대비 상승률 Top20</v>
      </c>
      <c r="C11" s="252"/>
      <c r="D11" s="250" t="s">
        <v>331</v>
      </c>
      <c r="E11" s="251"/>
      <c r="F11" s="252"/>
      <c r="G11" s="250" t="s">
        <v>338</v>
      </c>
      <c r="H11" s="251"/>
      <c r="I11" s="252"/>
      <c r="J11" s="250" t="s">
        <v>345</v>
      </c>
      <c r="K11" s="251"/>
      <c r="L11" s="252"/>
      <c r="M11" s="250" t="s">
        <v>352</v>
      </c>
      <c r="N11" s="251"/>
      <c r="O11" s="252"/>
    </row>
    <row r="12" spans="1:15" ht="16.5" customHeight="1" thickBot="1">
      <c r="A12" s="331"/>
      <c r="B12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309,500 KRW (8.14%)</v>
      </c>
      <c r="C12" s="258"/>
      <c r="D12" s="256" t="str">
        <f ca="1" xml:space="preserve"> TEXT($F$168, "#,##0") &amp; " KRW (" &amp; TEXT($E$168, "0.00%)")</f>
        <v>309,500 KRW (8.14%)</v>
      </c>
      <c r="E12" s="257"/>
      <c r="F12" s="258"/>
      <c r="G12" s="256" t="str">
        <f ca="1" xml:space="preserve"> TEXT($I$168, "#,##0") &amp; " KRW (" &amp; TEXT($H$168, "0.00%)")</f>
        <v>586,154 KRW (15.43%)</v>
      </c>
      <c r="H12" s="257"/>
      <c r="I12" s="258"/>
      <c r="J12" s="256" t="str">
        <f ca="1" xml:space="preserve"> TEXT($L$168, "#,##0") &amp; " KRW (" &amp; TEXT($K$168, "0.00%)")</f>
        <v>929,260 KRW (24.45%)</v>
      </c>
      <c r="K12" s="257"/>
      <c r="L12" s="258"/>
      <c r="M12" s="256" t="str">
        <f ca="1" xml:space="preserve"> TEXT($O$168, "#,##0") &amp; " KRW (" &amp; TEXT($N$168, "0.00%)")</f>
        <v>498,280 KRW (13.11%)</v>
      </c>
      <c r="N12" s="257"/>
      <c r="O12" s="258"/>
    </row>
    <row r="13" spans="1:15" ht="16.5" customHeight="1">
      <c r="A13" s="330">
        <v>6</v>
      </c>
      <c r="B13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실거래종목</v>
      </c>
      <c r="C13" s="252"/>
      <c r="D13" s="250" t="s">
        <v>332</v>
      </c>
      <c r="E13" s="251"/>
      <c r="F13" s="252"/>
      <c r="G13" s="250" t="s">
        <v>339</v>
      </c>
      <c r="H13" s="251"/>
      <c r="I13" s="252"/>
      <c r="J13" s="250" t="s">
        <v>346</v>
      </c>
      <c r="K13" s="251"/>
      <c r="L13" s="252"/>
      <c r="M13" s="250" t="s">
        <v>353</v>
      </c>
      <c r="N13" s="251"/>
      <c r="O13" s="252"/>
    </row>
    <row r="14" spans="1:15" ht="16.5" customHeight="1" thickBot="1">
      <c r="A14" s="331"/>
      <c r="B14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189,880 KRW (7.98%)</v>
      </c>
      <c r="C14" s="258"/>
      <c r="D14" s="256" t="str">
        <f ca="1" xml:space="preserve"> TEXT($F$282, "#,##0") &amp; " KRW (" &amp; TEXT($E$282, "0.00%)")</f>
        <v>-886,039 KRW (-23.32%)</v>
      </c>
      <c r="E14" s="257"/>
      <c r="F14" s="258"/>
      <c r="G14" s="256" t="str">
        <f ca="1" xml:space="preserve"> TEXT($I$282, "#,##0") &amp; " KRW (" &amp; TEXT($H$282, "0.00%)")</f>
        <v>-705,294 KRW (-18.56%)</v>
      </c>
      <c r="H14" s="257"/>
      <c r="I14" s="258"/>
      <c r="J14" s="256" t="str">
        <f ca="1" xml:space="preserve"> TEXT($L$282, "#,##0") &amp; " KRW (" &amp; TEXT($K$282, "0.00%)")</f>
        <v>-581,072 KRW (-15.29%)</v>
      </c>
      <c r="K14" s="257"/>
      <c r="L14" s="258"/>
      <c r="M14" s="256" t="str">
        <f ca="1" xml:space="preserve"> TEXT($O$282, "#,##0") &amp; " KRW (" &amp; TEXT($N$282, "0.00%)")</f>
        <v>-807,778 KRW (-21.26%)</v>
      </c>
      <c r="N14" s="257"/>
      <c r="O14" s="258"/>
    </row>
    <row r="15" spans="1:15" ht="16.5" customHeight="1">
      <c r="A15" s="330">
        <v>7</v>
      </c>
      <c r="B15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동전코인 Top20</v>
      </c>
      <c r="C15" s="252"/>
      <c r="D15" s="250" t="s">
        <v>333</v>
      </c>
      <c r="E15" s="251"/>
      <c r="F15" s="252"/>
      <c r="G15" s="250" t="s">
        <v>340</v>
      </c>
      <c r="H15" s="251"/>
      <c r="I15" s="252"/>
      <c r="J15" s="250" t="s">
        <v>347</v>
      </c>
      <c r="K15" s="251"/>
      <c r="L15" s="252"/>
      <c r="M15" s="250" t="s">
        <v>354</v>
      </c>
      <c r="N15" s="251"/>
      <c r="O15" s="252"/>
    </row>
    <row r="16" spans="1:15" ht="16.5" customHeight="1" thickBot="1">
      <c r="A16" s="331"/>
      <c r="B16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130,042 KRW (3.42%)</v>
      </c>
      <c r="C16" s="258"/>
      <c r="D16" s="256" t="str">
        <f ca="1" xml:space="preserve"> TEXT($F$54, "#,##0") &amp; " KRW (" &amp; TEXT($E$54, "0.00%)")</f>
        <v>-145,686 KRW (-6.12%)</v>
      </c>
      <c r="E16" s="257"/>
      <c r="F16" s="258"/>
      <c r="G16" s="256" t="str">
        <f ca="1" xml:space="preserve"> TEXT($I$54, "#,##0") &amp; " KRW (" &amp; TEXT($H$54, "0.00%)")</f>
        <v>30,708 KRW (1.29%)</v>
      </c>
      <c r="H16" s="257"/>
      <c r="I16" s="258"/>
      <c r="J16" s="256" t="str">
        <f ca="1" xml:space="preserve"> TEXT($L$54, "#,##0") &amp; " KRW (" &amp; TEXT($K$54, "0.00%)")</f>
        <v>189,880 KRW (7.98%)</v>
      </c>
      <c r="K16" s="257"/>
      <c r="L16" s="258"/>
      <c r="M16" s="256" t="str">
        <f ca="1" xml:space="preserve"> TEXT($O$54, "#,##0") &amp; " KRW (" &amp; TEXT($N$54, "0.00%)")</f>
        <v>-5,131 KRW (-0.22%)</v>
      </c>
      <c r="N16" s="257"/>
      <c r="O16" s="258"/>
    </row>
    <row r="18" spans="1:15" ht="16.5" customHeight="1" thickBot="1"/>
    <row r="19" spans="1:15" ht="16.5" customHeight="1" thickBot="1">
      <c r="A19" s="241" t="str">
        <f>TEXT(투자전략!$G$1, "[$-ko-KR]yyyy년 mm월 ") &amp; "실거래 월말결산"</f>
        <v>2021년 05월 실거래 월말결산</v>
      </c>
      <c r="B19" s="242"/>
      <c r="C19" s="242"/>
      <c r="D19" s="242"/>
      <c r="E19" s="242"/>
      <c r="F19" s="242"/>
      <c r="G19" s="242"/>
      <c r="H19" s="242"/>
      <c r="I19" s="242"/>
      <c r="J19" s="242"/>
      <c r="K19" s="242"/>
      <c r="L19" s="242"/>
      <c r="M19" s="242"/>
      <c r="N19" s="242"/>
      <c r="O19" s="243"/>
    </row>
    <row r="20" spans="1:15" ht="16.5" customHeight="1" thickBot="1">
      <c r="A20" s="302" t="s">
        <v>320</v>
      </c>
      <c r="B20" s="256" t="s">
        <v>318</v>
      </c>
      <c r="C20" s="258"/>
      <c r="D20" s="256" t="s">
        <v>310</v>
      </c>
      <c r="E20" s="257"/>
      <c r="F20" s="258"/>
      <c r="G20" s="256" t="s">
        <v>311</v>
      </c>
      <c r="H20" s="257"/>
      <c r="I20" s="258"/>
      <c r="J20" s="256" t="s">
        <v>312</v>
      </c>
      <c r="K20" s="257"/>
      <c r="L20" s="258"/>
      <c r="M20" s="256" t="s">
        <v>313</v>
      </c>
      <c r="N20" s="257"/>
      <c r="O20" s="258"/>
    </row>
    <row r="21" spans="1:15" ht="16.5" customHeight="1" thickBot="1">
      <c r="A21" s="306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2792989.9459936251</v>
      </c>
      <c r="E32" s="73">
        <f t="shared" ca="1" si="2"/>
        <v>-6.9003351335458304E-2</v>
      </c>
      <c r="F32" s="136">
        <f t="shared" ca="1" si="3"/>
        <v>-207010.05400637494</v>
      </c>
      <c r="G32" s="138">
        <f t="shared" ca="1" si="4"/>
        <v>2898175.7702186247</v>
      </c>
      <c r="H32" s="73">
        <f t="shared" ca="1" si="5"/>
        <v>-3.3941409927125035E-2</v>
      </c>
      <c r="I32" s="136">
        <f t="shared" ca="1" si="6"/>
        <v>-101824.22978137511</v>
      </c>
      <c r="J32" s="138">
        <f t="shared" ca="1" si="7"/>
        <v>2923188.9934522812</v>
      </c>
      <c r="K32" s="73">
        <f t="shared" ca="1" si="8"/>
        <v>-2.5603668849239626E-2</v>
      </c>
      <c r="L32" s="136">
        <f t="shared" ca="1" si="9"/>
        <v>-76811.006547718862</v>
      </c>
      <c r="M32" s="138">
        <f t="shared" ca="1" si="10"/>
        <v>2908549.0169540797</v>
      </c>
      <c r="N32" s="73">
        <f t="shared" ca="1" si="11"/>
        <v>-3.0483661015306751E-2</v>
      </c>
      <c r="O32" s="136">
        <f t="shared" ca="1" si="12"/>
        <v>-91450.983045920249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>
        <f t="shared" ca="1" si="0"/>
        <v>3000000</v>
      </c>
      <c r="D33" s="138">
        <f t="shared" ca="1" si="1"/>
        <v>3084252.176437628</v>
      </c>
      <c r="E33" s="73">
        <f t="shared" ca="1" si="2"/>
        <v>2.8084058812542601E-2</v>
      </c>
      <c r="F33" s="136">
        <f t="shared" ca="1" si="3"/>
        <v>84252.176437627815</v>
      </c>
      <c r="G33" s="138">
        <f t="shared" ca="1" si="4"/>
        <v>3063567.3008843879</v>
      </c>
      <c r="H33" s="73">
        <f t="shared" ca="1" si="5"/>
        <v>2.1189100294795961E-2</v>
      </c>
      <c r="I33" s="136">
        <f t="shared" ca="1" si="6"/>
        <v>63567.300884387907</v>
      </c>
      <c r="J33" s="138">
        <f t="shared" ca="1" si="7"/>
        <v>3093005.2288917913</v>
      </c>
      <c r="K33" s="73">
        <f t="shared" ca="1" si="8"/>
        <v>3.1001742963930445E-2</v>
      </c>
      <c r="L33" s="136">
        <f t="shared" ca="1" si="9"/>
        <v>93005.228891791325</v>
      </c>
      <c r="M33" s="138">
        <f t="shared" ca="1" si="10"/>
        <v>2960394.0707102548</v>
      </c>
      <c r="N33" s="73">
        <f t="shared" ca="1" si="11"/>
        <v>-1.3201976429915042E-2</v>
      </c>
      <c r="O33" s="136">
        <f t="shared" ca="1" si="12"/>
        <v>-39605.929289745131</v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>
        <f t="shared" ca="1" si="0"/>
        <v>3000000</v>
      </c>
      <c r="D34" s="138">
        <f t="shared" ca="1" si="1"/>
        <v>2731543.2886479152</v>
      </c>
      <c r="E34" s="73">
        <f t="shared" ca="1" si="2"/>
        <v>-8.9485570450694885E-2</v>
      </c>
      <c r="F34" s="136">
        <f t="shared" ca="1" si="3"/>
        <v>-268456.71135208471</v>
      </c>
      <c r="G34" s="138">
        <f t="shared" ca="1" si="4"/>
        <v>2624853.1078180918</v>
      </c>
      <c r="H34" s="73">
        <f t="shared" ca="1" si="5"/>
        <v>-0.12504896406063606</v>
      </c>
      <c r="I34" s="136">
        <f t="shared" ca="1" si="6"/>
        <v>-375146.89218190819</v>
      </c>
      <c r="J34" s="138">
        <f t="shared" ca="1" si="7"/>
        <v>2669353.1996011301</v>
      </c>
      <c r="K34" s="73">
        <f t="shared" ca="1" si="8"/>
        <v>-0.11021560013295661</v>
      </c>
      <c r="L34" s="136">
        <f t="shared" ca="1" si="9"/>
        <v>-330646.80039886979</v>
      </c>
      <c r="M34" s="138">
        <f t="shared" ca="1" si="10"/>
        <v>2661152.1427793242</v>
      </c>
      <c r="N34" s="73">
        <f t="shared" ca="1" si="11"/>
        <v>-0.11294928574022531</v>
      </c>
      <c r="O34" s="136">
        <f t="shared" ca="1" si="12"/>
        <v>-338847.85722067603</v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>
        <f t="shared" ca="1" si="0"/>
        <v>3000000</v>
      </c>
      <c r="D35" s="139">
        <f t="shared" ca="1" si="1"/>
        <v>3044925.5444928668</v>
      </c>
      <c r="E35" s="75">
        <f t="shared" ca="1" si="2"/>
        <v>1.4975181497622309E-2</v>
      </c>
      <c r="F35" s="137">
        <f t="shared" ca="1" si="3"/>
        <v>44925.544492866924</v>
      </c>
      <c r="G35" s="139">
        <f t="shared" ca="1" si="4"/>
        <v>3069993.2895598975</v>
      </c>
      <c r="H35" s="75">
        <f t="shared" ca="1" si="5"/>
        <v>2.3331096519965719E-2</v>
      </c>
      <c r="I35" s="137">
        <f t="shared" ca="1" si="6"/>
        <v>69993.289559897123</v>
      </c>
      <c r="J35" s="139">
        <f t="shared" ca="1" si="7"/>
        <v>3064360.5996267917</v>
      </c>
      <c r="K35" s="75">
        <f t="shared" ca="1" si="8"/>
        <v>2.1453533208930436E-2</v>
      </c>
      <c r="L35" s="137">
        <f t="shared" ca="1" si="9"/>
        <v>64360.599626791314</v>
      </c>
      <c r="M35" s="139">
        <f t="shared" ca="1" si="10"/>
        <v>3055845.1157711004</v>
      </c>
      <c r="N35" s="75">
        <f t="shared" ca="1" si="11"/>
        <v>1.8615038590366832E-2</v>
      </c>
      <c r="O35" s="137">
        <f t="shared" ca="1" si="12"/>
        <v>55845.115771100514</v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>
        <f t="shared" ca="1" si="0"/>
        <v>2700000</v>
      </c>
      <c r="D36" s="141">
        <f t="shared" ca="1" si="1"/>
        <v>2700000</v>
      </c>
      <c r="E36" s="72">
        <f t="shared" ca="1" si="2"/>
        <v>0</v>
      </c>
      <c r="F36" s="140">
        <f t="shared" ca="1" si="3"/>
        <v>0</v>
      </c>
      <c r="G36" s="141">
        <f t="shared" ca="1" si="4"/>
        <v>2700000</v>
      </c>
      <c r="H36" s="72">
        <f t="shared" ca="1" si="5"/>
        <v>0</v>
      </c>
      <c r="I36" s="140">
        <f t="shared" ca="1" si="6"/>
        <v>0</v>
      </c>
      <c r="J36" s="141">
        <f t="shared" ca="1" si="7"/>
        <v>2700000</v>
      </c>
      <c r="K36" s="72">
        <f t="shared" ca="1" si="8"/>
        <v>0</v>
      </c>
      <c r="L36" s="140">
        <f t="shared" ca="1" si="9"/>
        <v>0</v>
      </c>
      <c r="M36" s="141">
        <f t="shared" ca="1" si="10"/>
        <v>2700000</v>
      </c>
      <c r="N36" s="72">
        <f t="shared" ca="1" si="11"/>
        <v>0</v>
      </c>
      <c r="O36" s="140">
        <f t="shared" ca="1" si="12"/>
        <v>0</v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 t="str">
        <f t="shared" ca="1" si="0"/>
        <v/>
      </c>
      <c r="D37" s="138" t="str">
        <f t="shared" ca="1" si="1"/>
        <v/>
      </c>
      <c r="E37" s="73" t="str">
        <f t="shared" ca="1" si="2"/>
        <v/>
      </c>
      <c r="F37" s="136" t="str">
        <f t="shared" ca="1" si="3"/>
        <v/>
      </c>
      <c r="G37" s="138" t="str">
        <f t="shared" ca="1" si="4"/>
        <v/>
      </c>
      <c r="H37" s="73" t="str">
        <f t="shared" ca="1" si="5"/>
        <v/>
      </c>
      <c r="I37" s="136" t="str">
        <f t="shared" ca="1" si="6"/>
        <v/>
      </c>
      <c r="J37" s="138" t="str">
        <f t="shared" ca="1" si="7"/>
        <v/>
      </c>
      <c r="K37" s="73" t="str">
        <f t="shared" ca="1" si="8"/>
        <v/>
      </c>
      <c r="L37" s="136" t="str">
        <f t="shared" ca="1" si="9"/>
        <v/>
      </c>
      <c r="M37" s="138" t="str">
        <f t="shared" ca="1" si="10"/>
        <v/>
      </c>
      <c r="N37" s="73" t="str">
        <f t="shared" ca="1" si="11"/>
        <v/>
      </c>
      <c r="O37" s="136" t="str">
        <f t="shared" ca="1" si="12"/>
        <v/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 t="str">
        <f t="shared" ca="1" si="0"/>
        <v/>
      </c>
      <c r="D38" s="138" t="str">
        <f t="shared" ca="1" si="1"/>
        <v/>
      </c>
      <c r="E38" s="73" t="str">
        <f t="shared" ca="1" si="2"/>
        <v/>
      </c>
      <c r="F38" s="136" t="str">
        <f t="shared" ca="1" si="3"/>
        <v/>
      </c>
      <c r="G38" s="138" t="str">
        <f t="shared" ca="1" si="4"/>
        <v/>
      </c>
      <c r="H38" s="73" t="str">
        <f t="shared" ca="1" si="5"/>
        <v/>
      </c>
      <c r="I38" s="136" t="str">
        <f t="shared" ca="1" si="6"/>
        <v/>
      </c>
      <c r="J38" s="138" t="str">
        <f t="shared" ca="1" si="7"/>
        <v/>
      </c>
      <c r="K38" s="73" t="str">
        <f t="shared" ca="1" si="8"/>
        <v/>
      </c>
      <c r="L38" s="136" t="str">
        <f t="shared" ca="1" si="9"/>
        <v/>
      </c>
      <c r="M38" s="138" t="str">
        <f t="shared" ca="1" si="10"/>
        <v/>
      </c>
      <c r="N38" s="73" t="str">
        <f t="shared" ca="1" si="11"/>
        <v/>
      </c>
      <c r="O38" s="136" t="str">
        <f t="shared" ca="1" si="12"/>
        <v/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 t="str">
        <f t="shared" ca="1" si="0"/>
        <v/>
      </c>
      <c r="D39" s="138" t="str">
        <f t="shared" ca="1" si="1"/>
        <v/>
      </c>
      <c r="E39" s="73" t="str">
        <f t="shared" ca="1" si="2"/>
        <v/>
      </c>
      <c r="F39" s="136" t="str">
        <f t="shared" ca="1" si="3"/>
        <v/>
      </c>
      <c r="G39" s="138" t="str">
        <f t="shared" ca="1" si="4"/>
        <v/>
      </c>
      <c r="H39" s="73" t="str">
        <f t="shared" ca="1" si="5"/>
        <v/>
      </c>
      <c r="I39" s="136" t="str">
        <f t="shared" ca="1" si="6"/>
        <v/>
      </c>
      <c r="J39" s="138" t="str">
        <f t="shared" ca="1" si="7"/>
        <v/>
      </c>
      <c r="K39" s="73" t="str">
        <f t="shared" ca="1" si="8"/>
        <v/>
      </c>
      <c r="L39" s="136" t="str">
        <f t="shared" ca="1" si="9"/>
        <v/>
      </c>
      <c r="M39" s="138" t="str">
        <f t="shared" ca="1" si="10"/>
        <v/>
      </c>
      <c r="N39" s="73" t="str">
        <f t="shared" ca="1" si="11"/>
        <v/>
      </c>
      <c r="O39" s="136" t="str">
        <f t="shared" ca="1" si="12"/>
        <v/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 t="str">
        <f t="shared" ca="1" si="0"/>
        <v/>
      </c>
      <c r="D40" s="138" t="str">
        <f t="shared" ca="1" si="1"/>
        <v/>
      </c>
      <c r="E40" s="73" t="str">
        <f t="shared" ca="1" si="2"/>
        <v/>
      </c>
      <c r="F40" s="136" t="str">
        <f t="shared" ca="1" si="3"/>
        <v/>
      </c>
      <c r="G40" s="138" t="str">
        <f t="shared" ca="1" si="4"/>
        <v/>
      </c>
      <c r="H40" s="73" t="str">
        <f t="shared" ca="1" si="5"/>
        <v/>
      </c>
      <c r="I40" s="136" t="str">
        <f t="shared" ca="1" si="6"/>
        <v/>
      </c>
      <c r="J40" s="138" t="str">
        <f t="shared" ca="1" si="7"/>
        <v/>
      </c>
      <c r="K40" s="73" t="str">
        <f t="shared" ca="1" si="8"/>
        <v/>
      </c>
      <c r="L40" s="136" t="str">
        <f t="shared" ca="1" si="9"/>
        <v/>
      </c>
      <c r="M40" s="138" t="str">
        <f t="shared" ca="1" si="10"/>
        <v/>
      </c>
      <c r="N40" s="73" t="str">
        <f t="shared" ca="1" si="11"/>
        <v/>
      </c>
      <c r="O40" s="136" t="str">
        <f t="shared" ca="1" si="12"/>
        <v/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 t="str">
        <f t="shared" ca="1" si="0"/>
        <v/>
      </c>
      <c r="D41" s="138" t="str">
        <f t="shared" ca="1" si="1"/>
        <v/>
      </c>
      <c r="E41" s="73" t="str">
        <f t="shared" ca="1" si="2"/>
        <v/>
      </c>
      <c r="F41" s="136" t="str">
        <f t="shared" ca="1" si="3"/>
        <v/>
      </c>
      <c r="G41" s="138" t="str">
        <f t="shared" ca="1" si="4"/>
        <v/>
      </c>
      <c r="H41" s="73" t="str">
        <f t="shared" ca="1" si="5"/>
        <v/>
      </c>
      <c r="I41" s="136" t="str">
        <f t="shared" ca="1" si="6"/>
        <v/>
      </c>
      <c r="J41" s="138" t="str">
        <f t="shared" ca="1" si="7"/>
        <v/>
      </c>
      <c r="K41" s="73" t="str">
        <f t="shared" ca="1" si="8"/>
        <v/>
      </c>
      <c r="L41" s="136" t="str">
        <f t="shared" ca="1" si="9"/>
        <v/>
      </c>
      <c r="M41" s="138" t="str">
        <f t="shared" ca="1" si="10"/>
        <v/>
      </c>
      <c r="N41" s="73" t="str">
        <f t="shared" ca="1" si="11"/>
        <v/>
      </c>
      <c r="O41" s="136" t="str">
        <f t="shared" ca="1" si="12"/>
        <v/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 t="str">
        <f t="shared" ca="1" si="0"/>
        <v/>
      </c>
      <c r="D42" s="139" t="str">
        <f t="shared" ca="1" si="1"/>
        <v/>
      </c>
      <c r="E42" s="75" t="str">
        <f t="shared" ca="1" si="2"/>
        <v/>
      </c>
      <c r="F42" s="137" t="str">
        <f t="shared" ca="1" si="3"/>
        <v/>
      </c>
      <c r="G42" s="139" t="str">
        <f t="shared" ca="1" si="4"/>
        <v/>
      </c>
      <c r="H42" s="75" t="str">
        <f t="shared" ca="1" si="5"/>
        <v/>
      </c>
      <c r="I42" s="137" t="str">
        <f t="shared" ca="1" si="6"/>
        <v/>
      </c>
      <c r="J42" s="139" t="str">
        <f t="shared" ca="1" si="7"/>
        <v/>
      </c>
      <c r="K42" s="75" t="str">
        <f t="shared" ca="1" si="8"/>
        <v/>
      </c>
      <c r="L42" s="137" t="str">
        <f t="shared" ca="1" si="9"/>
        <v/>
      </c>
      <c r="M42" s="139" t="str">
        <f t="shared" ca="1" si="10"/>
        <v/>
      </c>
      <c r="N42" s="75" t="str">
        <f t="shared" ca="1" si="11"/>
        <v/>
      </c>
      <c r="O42" s="137" t="str">
        <f t="shared" ca="1" si="12"/>
        <v/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 t="str">
        <f t="shared" ca="1" si="0"/>
        <v/>
      </c>
      <c r="D43" s="141" t="str">
        <f t="shared" ca="1" si="1"/>
        <v/>
      </c>
      <c r="E43" s="72" t="str">
        <f t="shared" ca="1" si="2"/>
        <v/>
      </c>
      <c r="F43" s="140" t="str">
        <f t="shared" ca="1" si="3"/>
        <v/>
      </c>
      <c r="G43" s="141" t="str">
        <f t="shared" ca="1" si="4"/>
        <v/>
      </c>
      <c r="H43" s="72" t="str">
        <f t="shared" ca="1" si="5"/>
        <v/>
      </c>
      <c r="I43" s="140" t="str">
        <f t="shared" ca="1" si="6"/>
        <v/>
      </c>
      <c r="J43" s="141" t="str">
        <f t="shared" ca="1" si="7"/>
        <v/>
      </c>
      <c r="K43" s="72" t="str">
        <f t="shared" ca="1" si="8"/>
        <v/>
      </c>
      <c r="L43" s="140" t="str">
        <f t="shared" ca="1" si="9"/>
        <v/>
      </c>
      <c r="M43" s="141" t="str">
        <f t="shared" ca="1" si="10"/>
        <v/>
      </c>
      <c r="N43" s="72" t="str">
        <f t="shared" ca="1" si="11"/>
        <v/>
      </c>
      <c r="O43" s="140" t="str">
        <f t="shared" ca="1" si="12"/>
        <v/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 t="str">
        <f t="shared" ca="1" si="0"/>
        <v/>
      </c>
      <c r="D44" s="138" t="str">
        <f t="shared" ca="1" si="1"/>
        <v/>
      </c>
      <c r="E44" s="73" t="str">
        <f t="shared" ca="1" si="2"/>
        <v/>
      </c>
      <c r="F44" s="136" t="str">
        <f t="shared" ca="1" si="3"/>
        <v/>
      </c>
      <c r="G44" s="138" t="str">
        <f t="shared" ca="1" si="4"/>
        <v/>
      </c>
      <c r="H44" s="73" t="str">
        <f t="shared" ca="1" si="5"/>
        <v/>
      </c>
      <c r="I44" s="136" t="str">
        <f t="shared" ca="1" si="6"/>
        <v/>
      </c>
      <c r="J44" s="138" t="str">
        <f t="shared" ca="1" si="7"/>
        <v/>
      </c>
      <c r="K44" s="73" t="str">
        <f t="shared" ca="1" si="8"/>
        <v/>
      </c>
      <c r="L44" s="136" t="str">
        <f t="shared" ca="1" si="9"/>
        <v/>
      </c>
      <c r="M44" s="138" t="str">
        <f t="shared" ca="1" si="10"/>
        <v/>
      </c>
      <c r="N44" s="73" t="str">
        <f t="shared" ca="1" si="11"/>
        <v/>
      </c>
      <c r="O44" s="136" t="str">
        <f t="shared" ca="1" si="12"/>
        <v/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 t="str">
        <f t="shared" ca="1" si="0"/>
        <v/>
      </c>
      <c r="D45" s="138" t="str">
        <f t="shared" ca="1" si="1"/>
        <v/>
      </c>
      <c r="E45" s="73" t="str">
        <f t="shared" ca="1" si="2"/>
        <v/>
      </c>
      <c r="F45" s="136" t="str">
        <f t="shared" ca="1" si="3"/>
        <v/>
      </c>
      <c r="G45" s="138" t="str">
        <f t="shared" ca="1" si="4"/>
        <v/>
      </c>
      <c r="H45" s="73" t="str">
        <f t="shared" ca="1" si="5"/>
        <v/>
      </c>
      <c r="I45" s="136" t="str">
        <f t="shared" ca="1" si="6"/>
        <v/>
      </c>
      <c r="J45" s="138" t="str">
        <f t="shared" ca="1" si="7"/>
        <v/>
      </c>
      <c r="K45" s="73" t="str">
        <f t="shared" ca="1" si="8"/>
        <v/>
      </c>
      <c r="L45" s="136" t="str">
        <f t="shared" ca="1" si="9"/>
        <v/>
      </c>
      <c r="M45" s="138" t="str">
        <f t="shared" ca="1" si="10"/>
        <v/>
      </c>
      <c r="N45" s="73" t="str">
        <f t="shared" ca="1" si="11"/>
        <v/>
      </c>
      <c r="O45" s="136" t="str">
        <f t="shared" ca="1" si="12"/>
        <v/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 t="str">
        <f t="shared" ca="1" si="0"/>
        <v/>
      </c>
      <c r="D46" s="138" t="str">
        <f t="shared" ca="1" si="1"/>
        <v/>
      </c>
      <c r="E46" s="73" t="str">
        <f t="shared" ca="1" si="2"/>
        <v/>
      </c>
      <c r="F46" s="136" t="str">
        <f t="shared" ca="1" si="3"/>
        <v/>
      </c>
      <c r="G46" s="138" t="str">
        <f t="shared" ca="1" si="4"/>
        <v/>
      </c>
      <c r="H46" s="73" t="str">
        <f t="shared" ca="1" si="5"/>
        <v/>
      </c>
      <c r="I46" s="136" t="str">
        <f t="shared" ca="1" si="6"/>
        <v/>
      </c>
      <c r="J46" s="138" t="str">
        <f t="shared" ca="1" si="7"/>
        <v/>
      </c>
      <c r="K46" s="73" t="str">
        <f t="shared" ca="1" si="8"/>
        <v/>
      </c>
      <c r="L46" s="136" t="str">
        <f t="shared" ca="1" si="9"/>
        <v/>
      </c>
      <c r="M46" s="138" t="str">
        <f t="shared" ca="1" si="10"/>
        <v/>
      </c>
      <c r="N46" s="73" t="str">
        <f t="shared" ca="1" si="11"/>
        <v/>
      </c>
      <c r="O46" s="136" t="str">
        <f t="shared" ca="1" si="12"/>
        <v/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 t="str">
        <f t="shared" ca="1" si="0"/>
        <v/>
      </c>
      <c r="D47" s="138" t="str">
        <f t="shared" ca="1" si="1"/>
        <v/>
      </c>
      <c r="E47" s="73" t="str">
        <f t="shared" ca="1" si="2"/>
        <v/>
      </c>
      <c r="F47" s="136" t="str">
        <f t="shared" ca="1" si="3"/>
        <v/>
      </c>
      <c r="G47" s="138" t="str">
        <f t="shared" ca="1" si="4"/>
        <v/>
      </c>
      <c r="H47" s="73" t="str">
        <f t="shared" ca="1" si="5"/>
        <v/>
      </c>
      <c r="I47" s="136" t="str">
        <f t="shared" ca="1" si="6"/>
        <v/>
      </c>
      <c r="J47" s="138" t="str">
        <f t="shared" ca="1" si="7"/>
        <v/>
      </c>
      <c r="K47" s="73" t="str">
        <f t="shared" ca="1" si="8"/>
        <v/>
      </c>
      <c r="L47" s="136" t="str">
        <f t="shared" ca="1" si="9"/>
        <v/>
      </c>
      <c r="M47" s="138" t="str">
        <f t="shared" ca="1" si="10"/>
        <v/>
      </c>
      <c r="N47" s="73" t="str">
        <f t="shared" ca="1" si="11"/>
        <v/>
      </c>
      <c r="O47" s="136" t="str">
        <f t="shared" ca="1" si="12"/>
        <v/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250" t="s">
        <v>319</v>
      </c>
      <c r="B53" s="252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256"/>
      <c r="B54" s="258"/>
      <c r="C54" s="135">
        <f ca="1">SUM(C22:C52)</f>
        <v>35700000</v>
      </c>
      <c r="D54" s="139">
        <f ca="1">SUM(D22:D52)</f>
        <v>35554314.092703491</v>
      </c>
      <c r="E54" s="75">
        <f ca="1">IFERROR(F54 / (SUM($C22:$C52) / COUNT($C22:$C52)), 0)</f>
        <v>-6.1212566090972073E-2</v>
      </c>
      <c r="F54" s="137">
        <f ca="1">SUM(F22:F52)</f>
        <v>-145685.90729651353</v>
      </c>
      <c r="G54" s="139">
        <f ca="1">SUM(G22:G52)</f>
        <v>35730708.158367164</v>
      </c>
      <c r="H54" s="75">
        <f ca="1">IFERROR(I54 / (SUM($C22:$C52) / COUNT($C22:$C52)), 0)</f>
        <v>1.2902587549226345E-2</v>
      </c>
      <c r="I54" s="137">
        <f ca="1">SUM(I22:I52)</f>
        <v>30708.1583671587</v>
      </c>
      <c r="J54" s="139">
        <f ca="1">SUM(J22:J52)</f>
        <v>35889879.812247485</v>
      </c>
      <c r="K54" s="75">
        <f ca="1">IFERROR(L54 / (SUM($C22:$C52) / COUNT($C22:$C52)), 0)</f>
        <v>7.9781433717433139E-2</v>
      </c>
      <c r="L54" s="137">
        <f ca="1">SUM(L22:L52)</f>
        <v>189879.81224749086</v>
      </c>
      <c r="M54" s="139">
        <f ca="1">SUM(M22:M52)</f>
        <v>35694868.639782622</v>
      </c>
      <c r="N54" s="75">
        <f ca="1">IFERROR(O54 / (SUM($C22:$C52) / COUNT($C22:$C52)), 0)</f>
        <v>-2.1560337047833878E-3</v>
      </c>
      <c r="O54" s="137">
        <f ca="1">SUM(O22:O52)</f>
        <v>-5131.3602173844629</v>
      </c>
    </row>
    <row r="56" spans="1:15" ht="16.5" customHeight="1" thickBot="1"/>
    <row r="57" spans="1:15" ht="16.5" customHeight="1" thickBot="1">
      <c r="A57" s="241" t="str">
        <f>TEXT(투자전략!$G$1, "[$-ko-KR]yyyy년 mm월 ") &amp; "[엽전코인] 전일대비 상승률 Top20 월말결산"</f>
        <v>2021년 05월 [엽전코인] 전일대비 상승률 Top20 월말결산</v>
      </c>
      <c r="B57" s="242"/>
      <c r="C57" s="242"/>
      <c r="D57" s="242"/>
      <c r="E57" s="242"/>
      <c r="F57" s="242"/>
      <c r="G57" s="242"/>
      <c r="H57" s="242"/>
      <c r="I57" s="242"/>
      <c r="J57" s="242"/>
      <c r="K57" s="242"/>
      <c r="L57" s="242"/>
      <c r="M57" s="242"/>
      <c r="N57" s="242"/>
      <c r="O57" s="243"/>
    </row>
    <row r="58" spans="1:15" ht="16.5" customHeight="1" thickBot="1">
      <c r="A58" s="302" t="s">
        <v>320</v>
      </c>
      <c r="B58" s="256" t="s">
        <v>318</v>
      </c>
      <c r="C58" s="258"/>
      <c r="D58" s="256" t="s">
        <v>310</v>
      </c>
      <c r="E58" s="257"/>
      <c r="F58" s="258"/>
      <c r="G58" s="256" t="s">
        <v>311</v>
      </c>
      <c r="H58" s="257"/>
      <c r="I58" s="258"/>
      <c r="J58" s="256" t="s">
        <v>312</v>
      </c>
      <c r="K58" s="257"/>
      <c r="L58" s="258"/>
      <c r="M58" s="256" t="s">
        <v>313</v>
      </c>
      <c r="N58" s="257"/>
      <c r="O58" s="258"/>
    </row>
    <row r="59" spans="1:15" ht="16.5" customHeight="1" thickBot="1">
      <c r="A59" s="306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2706552.2955798027</v>
      </c>
      <c r="E70" s="73">
        <f t="shared" ca="1" si="15"/>
        <v>-5.0332527866735768E-2</v>
      </c>
      <c r="F70" s="136">
        <f t="shared" ca="1" si="16"/>
        <v>-143447.70442019694</v>
      </c>
      <c r="G70" s="138">
        <f t="shared" ca="1" si="17"/>
        <v>2903471.9913226529</v>
      </c>
      <c r="H70" s="73">
        <f t="shared" ca="1" si="18"/>
        <v>1.8762102218474824E-2</v>
      </c>
      <c r="I70" s="136">
        <f t="shared" ca="1" si="19"/>
        <v>53471.991322653252</v>
      </c>
      <c r="J70" s="138">
        <f t="shared" ca="1" si="20"/>
        <v>2961246.1319350125</v>
      </c>
      <c r="K70" s="73">
        <f t="shared" ca="1" si="21"/>
        <v>3.9033730503513053E-2</v>
      </c>
      <c r="L70" s="136">
        <f t="shared" ca="1" si="22"/>
        <v>111246.13193501218</v>
      </c>
      <c r="M70" s="138">
        <f t="shared" ca="1" si="23"/>
        <v>2946725.8601111178</v>
      </c>
      <c r="N70" s="73">
        <f t="shared" ca="1" si="24"/>
        <v>3.3938898284602684E-2</v>
      </c>
      <c r="O70" s="136">
        <f t="shared" ca="1" si="25"/>
        <v>96725.860111117683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>
        <f t="shared" ca="1" si="13"/>
        <v>2850000</v>
      </c>
      <c r="D71" s="138">
        <f t="shared" ca="1" si="14"/>
        <v>2915125.8510363246</v>
      </c>
      <c r="E71" s="73">
        <f t="shared" ca="1" si="15"/>
        <v>2.285117580221914E-2</v>
      </c>
      <c r="F71" s="136">
        <f t="shared" ca="1" si="16"/>
        <v>65125.851036324551</v>
      </c>
      <c r="G71" s="138">
        <f t="shared" ca="1" si="17"/>
        <v>2895158.5219843471</v>
      </c>
      <c r="H71" s="73">
        <f t="shared" ca="1" si="18"/>
        <v>1.5845095433104094E-2</v>
      </c>
      <c r="I71" s="136">
        <f t="shared" ca="1" si="19"/>
        <v>45158.521984346677</v>
      </c>
      <c r="J71" s="138">
        <f t="shared" ca="1" si="20"/>
        <v>2929580.0970718772</v>
      </c>
      <c r="K71" s="73">
        <f t="shared" ca="1" si="21"/>
        <v>2.7922841077851691E-2</v>
      </c>
      <c r="L71" s="136">
        <f t="shared" ca="1" si="22"/>
        <v>79580.097071877331</v>
      </c>
      <c r="M71" s="138">
        <f t="shared" ca="1" si="23"/>
        <v>2807895.1299300469</v>
      </c>
      <c r="N71" s="73">
        <f t="shared" ca="1" si="24"/>
        <v>-1.4773638621036252E-2</v>
      </c>
      <c r="O71" s="136">
        <f t="shared" ca="1" si="25"/>
        <v>-42104.870069953344</v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>
        <f t="shared" ca="1" si="13"/>
        <v>2850000</v>
      </c>
      <c r="D72" s="138">
        <f t="shared" ca="1" si="14"/>
        <v>2586766.115294049</v>
      </c>
      <c r="E72" s="73">
        <f t="shared" ca="1" si="15"/>
        <v>-9.2362766563491627E-2</v>
      </c>
      <c r="F72" s="136">
        <f t="shared" ca="1" si="16"/>
        <v>-263233.88470595115</v>
      </c>
      <c r="G72" s="138">
        <f t="shared" ca="1" si="17"/>
        <v>2489144.9414303238</v>
      </c>
      <c r="H72" s="73">
        <f t="shared" ca="1" si="18"/>
        <v>-0.12661581002444788</v>
      </c>
      <c r="I72" s="136">
        <f t="shared" ca="1" si="19"/>
        <v>-360855.05856967648</v>
      </c>
      <c r="J72" s="138">
        <f t="shared" ca="1" si="20"/>
        <v>2530153.0040820497</v>
      </c>
      <c r="K72" s="73">
        <f t="shared" ca="1" si="21"/>
        <v>-0.11222701611156145</v>
      </c>
      <c r="L72" s="136">
        <f t="shared" ca="1" si="22"/>
        <v>-319846.99591795017</v>
      </c>
      <c r="M72" s="138">
        <f t="shared" ca="1" si="23"/>
        <v>2530985.2391216476</v>
      </c>
      <c r="N72" s="73">
        <f t="shared" ca="1" si="24"/>
        <v>-0.11193500381696571</v>
      </c>
      <c r="O72" s="136">
        <f t="shared" ca="1" si="25"/>
        <v>-319014.76087835233</v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>
        <f t="shared" ca="1" si="13"/>
        <v>3000000</v>
      </c>
      <c r="D73" s="139">
        <f t="shared" ca="1" si="14"/>
        <v>3057710.6377386702</v>
      </c>
      <c r="E73" s="75">
        <f t="shared" ca="1" si="15"/>
        <v>1.9236879246223429E-2</v>
      </c>
      <c r="F73" s="137">
        <f t="shared" ca="1" si="16"/>
        <v>57710.637738670273</v>
      </c>
      <c r="G73" s="139">
        <f t="shared" ca="1" si="17"/>
        <v>3061936.3418001523</v>
      </c>
      <c r="H73" s="75">
        <f t="shared" ca="1" si="18"/>
        <v>2.0645447266717489E-2</v>
      </c>
      <c r="I73" s="137">
        <f t="shared" ca="1" si="19"/>
        <v>61936.341800152455</v>
      </c>
      <c r="J73" s="139">
        <f t="shared" ca="1" si="20"/>
        <v>3063798.5157854557</v>
      </c>
      <c r="K73" s="75">
        <f t="shared" ca="1" si="21"/>
        <v>2.1266171928485157E-2</v>
      </c>
      <c r="L73" s="137">
        <f t="shared" ca="1" si="22"/>
        <v>63798.515785455471</v>
      </c>
      <c r="M73" s="139">
        <f t="shared" ca="1" si="23"/>
        <v>3063736.4891853305</v>
      </c>
      <c r="N73" s="75">
        <f t="shared" ca="1" si="24"/>
        <v>2.1245496395110031E-2</v>
      </c>
      <c r="O73" s="137">
        <f t="shared" ca="1" si="25"/>
        <v>63736.48918533008</v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>
        <f t="shared" ca="1" si="13"/>
        <v>3000000</v>
      </c>
      <c r="D74" s="138">
        <f t="shared" ca="1" si="14"/>
        <v>3000000</v>
      </c>
      <c r="E74" s="73">
        <f t="shared" ca="1" si="15"/>
        <v>0</v>
      </c>
      <c r="F74" s="136">
        <f t="shared" ca="1" si="16"/>
        <v>0</v>
      </c>
      <c r="G74" s="138">
        <f t="shared" ca="1" si="17"/>
        <v>3000000</v>
      </c>
      <c r="H74" s="73">
        <f t="shared" ca="1" si="18"/>
        <v>0</v>
      </c>
      <c r="I74" s="136">
        <f t="shared" ca="1" si="19"/>
        <v>0</v>
      </c>
      <c r="J74" s="138">
        <f t="shared" ca="1" si="20"/>
        <v>3000000</v>
      </c>
      <c r="K74" s="73">
        <f t="shared" ca="1" si="21"/>
        <v>0</v>
      </c>
      <c r="L74" s="136">
        <f t="shared" ca="1" si="22"/>
        <v>0</v>
      </c>
      <c r="M74" s="138">
        <f t="shared" ca="1" si="23"/>
        <v>3000000</v>
      </c>
      <c r="N74" s="73">
        <f t="shared" ca="1" si="24"/>
        <v>0</v>
      </c>
      <c r="O74" s="136">
        <f t="shared" ca="1" si="25"/>
        <v>0</v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 t="str">
        <f t="shared" ca="1" si="13"/>
        <v/>
      </c>
      <c r="D75" s="138" t="str">
        <f t="shared" ca="1" si="14"/>
        <v/>
      </c>
      <c r="E75" s="73" t="str">
        <f t="shared" ca="1" si="15"/>
        <v/>
      </c>
      <c r="F75" s="136" t="str">
        <f t="shared" ca="1" si="16"/>
        <v/>
      </c>
      <c r="G75" s="138" t="str">
        <f t="shared" ca="1" si="17"/>
        <v/>
      </c>
      <c r="H75" s="73" t="str">
        <f t="shared" ca="1" si="18"/>
        <v/>
      </c>
      <c r="I75" s="136" t="str">
        <f t="shared" ca="1" si="19"/>
        <v/>
      </c>
      <c r="J75" s="138" t="str">
        <f t="shared" ca="1" si="20"/>
        <v/>
      </c>
      <c r="K75" s="73" t="str">
        <f t="shared" ca="1" si="21"/>
        <v/>
      </c>
      <c r="L75" s="136" t="str">
        <f t="shared" ca="1" si="22"/>
        <v/>
      </c>
      <c r="M75" s="138" t="str">
        <f t="shared" ca="1" si="23"/>
        <v/>
      </c>
      <c r="N75" s="73" t="str">
        <f t="shared" ca="1" si="24"/>
        <v/>
      </c>
      <c r="O75" s="136" t="str">
        <f t="shared" ca="1" si="25"/>
        <v/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 t="str">
        <f t="shared" ca="1" si="13"/>
        <v/>
      </c>
      <c r="D76" s="138" t="str">
        <f t="shared" ca="1" si="14"/>
        <v/>
      </c>
      <c r="E76" s="73" t="str">
        <f t="shared" ca="1" si="15"/>
        <v/>
      </c>
      <c r="F76" s="136" t="str">
        <f t="shared" ca="1" si="16"/>
        <v/>
      </c>
      <c r="G76" s="138" t="str">
        <f t="shared" ca="1" si="17"/>
        <v/>
      </c>
      <c r="H76" s="73" t="str">
        <f t="shared" ca="1" si="18"/>
        <v/>
      </c>
      <c r="I76" s="136" t="str">
        <f t="shared" ca="1" si="19"/>
        <v/>
      </c>
      <c r="J76" s="138" t="str">
        <f t="shared" ca="1" si="20"/>
        <v/>
      </c>
      <c r="K76" s="73" t="str">
        <f t="shared" ca="1" si="21"/>
        <v/>
      </c>
      <c r="L76" s="136" t="str">
        <f t="shared" ca="1" si="22"/>
        <v/>
      </c>
      <c r="M76" s="138" t="str">
        <f t="shared" ca="1" si="23"/>
        <v/>
      </c>
      <c r="N76" s="73" t="str">
        <f t="shared" ca="1" si="24"/>
        <v/>
      </c>
      <c r="O76" s="136" t="str">
        <f t="shared" ca="1" si="25"/>
        <v/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 t="str">
        <f t="shared" ca="1" si="13"/>
        <v/>
      </c>
      <c r="D77" s="138" t="str">
        <f t="shared" ca="1" si="14"/>
        <v/>
      </c>
      <c r="E77" s="73" t="str">
        <f t="shared" ca="1" si="15"/>
        <v/>
      </c>
      <c r="F77" s="136" t="str">
        <f t="shared" ca="1" si="16"/>
        <v/>
      </c>
      <c r="G77" s="138" t="str">
        <f t="shared" ca="1" si="17"/>
        <v/>
      </c>
      <c r="H77" s="73" t="str">
        <f t="shared" ca="1" si="18"/>
        <v/>
      </c>
      <c r="I77" s="136" t="str">
        <f t="shared" ca="1" si="19"/>
        <v/>
      </c>
      <c r="J77" s="138" t="str">
        <f t="shared" ca="1" si="20"/>
        <v/>
      </c>
      <c r="K77" s="73" t="str">
        <f t="shared" ca="1" si="21"/>
        <v/>
      </c>
      <c r="L77" s="136" t="str">
        <f t="shared" ca="1" si="22"/>
        <v/>
      </c>
      <c r="M77" s="138" t="str">
        <f t="shared" ca="1" si="23"/>
        <v/>
      </c>
      <c r="N77" s="73" t="str">
        <f t="shared" ca="1" si="24"/>
        <v/>
      </c>
      <c r="O77" s="136" t="str">
        <f t="shared" ca="1" si="25"/>
        <v/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 t="str">
        <f t="shared" ca="1" si="13"/>
        <v/>
      </c>
      <c r="D78" s="138" t="str">
        <f t="shared" ca="1" si="14"/>
        <v/>
      </c>
      <c r="E78" s="73" t="str">
        <f t="shared" ca="1" si="15"/>
        <v/>
      </c>
      <c r="F78" s="136" t="str">
        <f t="shared" ca="1" si="16"/>
        <v/>
      </c>
      <c r="G78" s="138" t="str">
        <f t="shared" ca="1" si="17"/>
        <v/>
      </c>
      <c r="H78" s="73" t="str">
        <f t="shared" ca="1" si="18"/>
        <v/>
      </c>
      <c r="I78" s="136" t="str">
        <f t="shared" ca="1" si="19"/>
        <v/>
      </c>
      <c r="J78" s="138" t="str">
        <f t="shared" ca="1" si="20"/>
        <v/>
      </c>
      <c r="K78" s="73" t="str">
        <f t="shared" ca="1" si="21"/>
        <v/>
      </c>
      <c r="L78" s="136" t="str">
        <f t="shared" ca="1" si="22"/>
        <v/>
      </c>
      <c r="M78" s="138" t="str">
        <f t="shared" ca="1" si="23"/>
        <v/>
      </c>
      <c r="N78" s="73" t="str">
        <f t="shared" ca="1" si="24"/>
        <v/>
      </c>
      <c r="O78" s="136" t="str">
        <f t="shared" ca="1" si="25"/>
        <v/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 t="str">
        <f t="shared" ca="1" si="13"/>
        <v/>
      </c>
      <c r="D79" s="138" t="str">
        <f t="shared" ca="1" si="14"/>
        <v/>
      </c>
      <c r="E79" s="73" t="str">
        <f t="shared" ca="1" si="15"/>
        <v/>
      </c>
      <c r="F79" s="136" t="str">
        <f t="shared" ca="1" si="16"/>
        <v/>
      </c>
      <c r="G79" s="138" t="str">
        <f t="shared" ca="1" si="17"/>
        <v/>
      </c>
      <c r="H79" s="73" t="str">
        <f t="shared" ca="1" si="18"/>
        <v/>
      </c>
      <c r="I79" s="136" t="str">
        <f t="shared" ca="1" si="19"/>
        <v/>
      </c>
      <c r="J79" s="138" t="str">
        <f t="shared" ca="1" si="20"/>
        <v/>
      </c>
      <c r="K79" s="73" t="str">
        <f t="shared" ca="1" si="21"/>
        <v/>
      </c>
      <c r="L79" s="136" t="str">
        <f t="shared" ca="1" si="22"/>
        <v/>
      </c>
      <c r="M79" s="138" t="str">
        <f t="shared" ca="1" si="23"/>
        <v/>
      </c>
      <c r="N79" s="73" t="str">
        <f t="shared" ca="1" si="24"/>
        <v/>
      </c>
      <c r="O79" s="136" t="str">
        <f t="shared" ca="1" si="25"/>
        <v/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 t="str">
        <f t="shared" ca="1" si="13"/>
        <v/>
      </c>
      <c r="D80" s="138" t="str">
        <f t="shared" ca="1" si="14"/>
        <v/>
      </c>
      <c r="E80" s="73" t="str">
        <f t="shared" ca="1" si="15"/>
        <v/>
      </c>
      <c r="F80" s="136" t="str">
        <f t="shared" ca="1" si="16"/>
        <v/>
      </c>
      <c r="G80" s="138" t="str">
        <f t="shared" ca="1" si="17"/>
        <v/>
      </c>
      <c r="H80" s="73" t="str">
        <f t="shared" ca="1" si="18"/>
        <v/>
      </c>
      <c r="I80" s="136" t="str">
        <f t="shared" ca="1" si="19"/>
        <v/>
      </c>
      <c r="J80" s="138" t="str">
        <f t="shared" ca="1" si="20"/>
        <v/>
      </c>
      <c r="K80" s="73" t="str">
        <f t="shared" ca="1" si="21"/>
        <v/>
      </c>
      <c r="L80" s="136" t="str">
        <f t="shared" ca="1" si="22"/>
        <v/>
      </c>
      <c r="M80" s="138" t="str">
        <f t="shared" ca="1" si="23"/>
        <v/>
      </c>
      <c r="N80" s="73" t="str">
        <f t="shared" ca="1" si="24"/>
        <v/>
      </c>
      <c r="O80" s="136" t="str">
        <f t="shared" ca="1" si="25"/>
        <v/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 t="str">
        <f t="shared" ca="1" si="13"/>
        <v/>
      </c>
      <c r="D81" s="141" t="str">
        <f t="shared" ca="1" si="14"/>
        <v/>
      </c>
      <c r="E81" s="72" t="str">
        <f t="shared" ca="1" si="15"/>
        <v/>
      </c>
      <c r="F81" s="140" t="str">
        <f t="shared" ca="1" si="16"/>
        <v/>
      </c>
      <c r="G81" s="141" t="str">
        <f t="shared" ca="1" si="17"/>
        <v/>
      </c>
      <c r="H81" s="72" t="str">
        <f t="shared" ca="1" si="18"/>
        <v/>
      </c>
      <c r="I81" s="140" t="str">
        <f t="shared" ca="1" si="19"/>
        <v/>
      </c>
      <c r="J81" s="141" t="str">
        <f t="shared" ca="1" si="20"/>
        <v/>
      </c>
      <c r="K81" s="72" t="str">
        <f t="shared" ca="1" si="21"/>
        <v/>
      </c>
      <c r="L81" s="140" t="str">
        <f t="shared" ca="1" si="22"/>
        <v/>
      </c>
      <c r="M81" s="141" t="str">
        <f t="shared" ca="1" si="23"/>
        <v/>
      </c>
      <c r="N81" s="72" t="str">
        <f t="shared" ca="1" si="24"/>
        <v/>
      </c>
      <c r="O81" s="140" t="str">
        <f t="shared" ca="1" si="25"/>
        <v/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 t="str">
        <f t="shared" ca="1" si="13"/>
        <v/>
      </c>
      <c r="D82" s="138" t="str">
        <f t="shared" ca="1" si="14"/>
        <v/>
      </c>
      <c r="E82" s="73" t="str">
        <f t="shared" ca="1" si="15"/>
        <v/>
      </c>
      <c r="F82" s="136" t="str">
        <f t="shared" ca="1" si="16"/>
        <v/>
      </c>
      <c r="G82" s="138" t="str">
        <f t="shared" ca="1" si="17"/>
        <v/>
      </c>
      <c r="H82" s="73" t="str">
        <f t="shared" ca="1" si="18"/>
        <v/>
      </c>
      <c r="I82" s="136" t="str">
        <f t="shared" ca="1" si="19"/>
        <v/>
      </c>
      <c r="J82" s="138" t="str">
        <f t="shared" ca="1" si="20"/>
        <v/>
      </c>
      <c r="K82" s="73" t="str">
        <f t="shared" ca="1" si="21"/>
        <v/>
      </c>
      <c r="L82" s="136" t="str">
        <f t="shared" ca="1" si="22"/>
        <v/>
      </c>
      <c r="M82" s="138" t="str">
        <f t="shared" ca="1" si="23"/>
        <v/>
      </c>
      <c r="N82" s="73" t="str">
        <f t="shared" ca="1" si="24"/>
        <v/>
      </c>
      <c r="O82" s="136" t="str">
        <f t="shared" ca="1" si="25"/>
        <v/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 t="str">
        <f t="shared" ca="1" si="13"/>
        <v/>
      </c>
      <c r="D83" s="138" t="str">
        <f t="shared" ca="1" si="14"/>
        <v/>
      </c>
      <c r="E83" s="73" t="str">
        <f t="shared" ca="1" si="15"/>
        <v/>
      </c>
      <c r="F83" s="136" t="str">
        <f t="shared" ca="1" si="16"/>
        <v/>
      </c>
      <c r="G83" s="138" t="str">
        <f t="shared" ca="1" si="17"/>
        <v/>
      </c>
      <c r="H83" s="73" t="str">
        <f t="shared" ca="1" si="18"/>
        <v/>
      </c>
      <c r="I83" s="136" t="str">
        <f t="shared" ca="1" si="19"/>
        <v/>
      </c>
      <c r="J83" s="138" t="str">
        <f t="shared" ca="1" si="20"/>
        <v/>
      </c>
      <c r="K83" s="73" t="str">
        <f t="shared" ca="1" si="21"/>
        <v/>
      </c>
      <c r="L83" s="136" t="str">
        <f t="shared" ca="1" si="22"/>
        <v/>
      </c>
      <c r="M83" s="138" t="str">
        <f t="shared" ca="1" si="23"/>
        <v/>
      </c>
      <c r="N83" s="73" t="str">
        <f t="shared" ca="1" si="24"/>
        <v/>
      </c>
      <c r="O83" s="136" t="str">
        <f t="shared" ca="1" si="25"/>
        <v/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 t="str">
        <f t="shared" ca="1" si="13"/>
        <v/>
      </c>
      <c r="D84" s="138" t="str">
        <f t="shared" ca="1" si="14"/>
        <v/>
      </c>
      <c r="E84" s="73" t="str">
        <f t="shared" ca="1" si="15"/>
        <v/>
      </c>
      <c r="F84" s="136" t="str">
        <f t="shared" ca="1" si="16"/>
        <v/>
      </c>
      <c r="G84" s="138" t="str">
        <f t="shared" ca="1" si="17"/>
        <v/>
      </c>
      <c r="H84" s="73" t="str">
        <f t="shared" ca="1" si="18"/>
        <v/>
      </c>
      <c r="I84" s="136" t="str">
        <f t="shared" ca="1" si="19"/>
        <v/>
      </c>
      <c r="J84" s="138" t="str">
        <f t="shared" ca="1" si="20"/>
        <v/>
      </c>
      <c r="K84" s="73" t="str">
        <f t="shared" ca="1" si="21"/>
        <v/>
      </c>
      <c r="L84" s="136" t="str">
        <f t="shared" ca="1" si="22"/>
        <v/>
      </c>
      <c r="M84" s="138" t="str">
        <f t="shared" ca="1" si="23"/>
        <v/>
      </c>
      <c r="N84" s="73" t="str">
        <f t="shared" ca="1" si="24"/>
        <v/>
      </c>
      <c r="O84" s="136" t="str">
        <f t="shared" ca="1" si="25"/>
        <v/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 t="str">
        <f t="shared" ca="1" si="13"/>
        <v/>
      </c>
      <c r="D85" s="138" t="str">
        <f t="shared" ca="1" si="14"/>
        <v/>
      </c>
      <c r="E85" s="73" t="str">
        <f t="shared" ca="1" si="15"/>
        <v/>
      </c>
      <c r="F85" s="136" t="str">
        <f t="shared" ca="1" si="16"/>
        <v/>
      </c>
      <c r="G85" s="138" t="str">
        <f t="shared" ca="1" si="17"/>
        <v/>
      </c>
      <c r="H85" s="73" t="str">
        <f t="shared" ca="1" si="18"/>
        <v/>
      </c>
      <c r="I85" s="136" t="str">
        <f t="shared" ca="1" si="19"/>
        <v/>
      </c>
      <c r="J85" s="138" t="str">
        <f t="shared" ca="1" si="20"/>
        <v/>
      </c>
      <c r="K85" s="73" t="str">
        <f t="shared" ca="1" si="21"/>
        <v/>
      </c>
      <c r="L85" s="136" t="str">
        <f t="shared" ca="1" si="22"/>
        <v/>
      </c>
      <c r="M85" s="138" t="str">
        <f t="shared" ca="1" si="23"/>
        <v/>
      </c>
      <c r="N85" s="73" t="str">
        <f t="shared" ca="1" si="24"/>
        <v/>
      </c>
      <c r="O85" s="136" t="str">
        <f t="shared" ca="1" si="25"/>
        <v/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250" t="s">
        <v>319</v>
      </c>
      <c r="B91" s="252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256"/>
      <c r="B92" s="258"/>
      <c r="C92" s="135">
        <f ca="1">SUM(C60:C90)</f>
        <v>53100000</v>
      </c>
      <c r="D92" s="139">
        <f ca="1">SUM(D60:D90)</f>
        <v>52458253.74793838</v>
      </c>
      <c r="E92" s="75">
        <f ca="1">IFERROR(F92 / (SUM($C60:$C90) / COUNT($C60:$C90)), 0)</f>
        <v>-0.18128425199480788</v>
      </c>
      <c r="F92" s="137">
        <f ca="1">SUM(F60:F90)</f>
        <v>-641746.25206161989</v>
      </c>
      <c r="G92" s="139">
        <f ca="1">SUM(G60:G90)</f>
        <v>52692995.442384772</v>
      </c>
      <c r="H92" s="75">
        <f ca="1">IFERROR(I92 / (SUM($C60:$C90) / COUNT($C60:$C90)), 0)</f>
        <v>-0.11497303887435514</v>
      </c>
      <c r="I92" s="137">
        <f ca="1">SUM(I60:I90)</f>
        <v>-407004.55761521723</v>
      </c>
      <c r="J92" s="139">
        <f ca="1">SUM(J60:J90)</f>
        <v>52933933.188928686</v>
      </c>
      <c r="K92" s="75">
        <f ca="1">IFERROR(L92 / (SUM($C60:$C90) / COUNT($C60:$C90)), 0)</f>
        <v>-4.6911528551220737E-2</v>
      </c>
      <c r="L92" s="137">
        <f ca="1">SUM(L60:L90)</f>
        <v>-166066.8110713214</v>
      </c>
      <c r="M92" s="139">
        <f ca="1">SUM(M60:M90)</f>
        <v>52675685.218425766</v>
      </c>
      <c r="N92" s="75">
        <f ca="1">IFERROR(O92 / (SUM($C60:$C90) / COUNT($C60:$C90)), 0)</f>
        <v>-0.1198629326480893</v>
      </c>
      <c r="O92" s="137">
        <f ca="1">SUM(O60:O90)</f>
        <v>-424314.78157423611</v>
      </c>
    </row>
    <row r="94" spans="1:15" ht="16.5" customHeight="1" thickBot="1"/>
    <row r="95" spans="1:15" ht="16.5" customHeight="1" thickBot="1">
      <c r="A95" s="241" t="str">
        <f>TEXT(투자전략!$G$1, "[$-ko-KR]yyyy년 mm월 ") &amp; "[동전코인] 전일대비 상승률 Top20 월말결산"</f>
        <v>2021년 05월 [동전코인] 전일대비 상승률 Top20 월말결산</v>
      </c>
      <c r="B95" s="242"/>
      <c r="C95" s="242"/>
      <c r="D95" s="242"/>
      <c r="E95" s="242"/>
      <c r="F95" s="242"/>
      <c r="G95" s="242"/>
      <c r="H95" s="242"/>
      <c r="I95" s="242"/>
      <c r="J95" s="242"/>
      <c r="K95" s="242"/>
      <c r="L95" s="242"/>
      <c r="M95" s="242"/>
      <c r="N95" s="242"/>
      <c r="O95" s="243"/>
    </row>
    <row r="96" spans="1:15" ht="16.5" customHeight="1" thickBot="1">
      <c r="A96" s="302" t="s">
        <v>320</v>
      </c>
      <c r="B96" s="256" t="s">
        <v>318</v>
      </c>
      <c r="C96" s="258"/>
      <c r="D96" s="256" t="s">
        <v>310</v>
      </c>
      <c r="E96" s="257"/>
      <c r="F96" s="258"/>
      <c r="G96" s="256" t="s">
        <v>311</v>
      </c>
      <c r="H96" s="257"/>
      <c r="I96" s="258"/>
      <c r="J96" s="256" t="s">
        <v>312</v>
      </c>
      <c r="K96" s="257"/>
      <c r="L96" s="258"/>
      <c r="M96" s="256" t="s">
        <v>313</v>
      </c>
      <c r="N96" s="257"/>
      <c r="O96" s="258"/>
    </row>
    <row r="97" spans="1:15" ht="16.5" customHeight="1" thickBot="1">
      <c r="A97" s="306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2767450.7952728267</v>
      </c>
      <c r="E108" s="73">
        <f t="shared" ca="1" si="28"/>
        <v>-7.7516401575724508E-2</v>
      </c>
      <c r="F108" s="136">
        <f t="shared" ca="1" si="29"/>
        <v>-232549.20472717355</v>
      </c>
      <c r="G108" s="138">
        <f t="shared" ca="1" si="30"/>
        <v>2855546.8723919964</v>
      </c>
      <c r="H108" s="73">
        <f t="shared" ca="1" si="31"/>
        <v>-4.815104253600113E-2</v>
      </c>
      <c r="I108" s="136">
        <f t="shared" ca="1" si="32"/>
        <v>-144453.12760800341</v>
      </c>
      <c r="J108" s="138">
        <f t="shared" ca="1" si="33"/>
        <v>2859750.0507155587</v>
      </c>
      <c r="K108" s="73">
        <f t="shared" ca="1" si="34"/>
        <v>-4.6749983094813721E-2</v>
      </c>
      <c r="L108" s="136">
        <f t="shared" ca="1" si="35"/>
        <v>-140249.94928444119</v>
      </c>
      <c r="M108" s="138">
        <f t="shared" ca="1" si="36"/>
        <v>2866695.8349403357</v>
      </c>
      <c r="N108" s="73">
        <f t="shared" ca="1" si="37"/>
        <v>-4.4434721686554698E-2</v>
      </c>
      <c r="O108" s="136">
        <f t="shared" ca="1" si="38"/>
        <v>-133304.16505966411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>
        <f t="shared" ca="1" si="26"/>
        <v>3000000</v>
      </c>
      <c r="D109" s="138">
        <f t="shared" ca="1" si="27"/>
        <v>3176688.7018758887</v>
      </c>
      <c r="E109" s="73">
        <f t="shared" ca="1" si="28"/>
        <v>5.8896233958629564E-2</v>
      </c>
      <c r="F109" s="136">
        <f t="shared" ca="1" si="29"/>
        <v>176688.70187588866</v>
      </c>
      <c r="G109" s="138">
        <f t="shared" ca="1" si="30"/>
        <v>3163220.0925150304</v>
      </c>
      <c r="H109" s="73">
        <f t="shared" ca="1" si="31"/>
        <v>5.4406697505010079E-2</v>
      </c>
      <c r="I109" s="136">
        <f t="shared" ca="1" si="32"/>
        <v>163220.09251503026</v>
      </c>
      <c r="J109" s="138">
        <f t="shared" ca="1" si="33"/>
        <v>3146771.4522625618</v>
      </c>
      <c r="K109" s="73">
        <f t="shared" ca="1" si="34"/>
        <v>4.892381742085395E-2</v>
      </c>
      <c r="L109" s="136">
        <f t="shared" ca="1" si="35"/>
        <v>146771.4522625618</v>
      </c>
      <c r="M109" s="138">
        <f t="shared" ca="1" si="36"/>
        <v>3041963.9482444436</v>
      </c>
      <c r="N109" s="73">
        <f t="shared" ca="1" si="37"/>
        <v>1.3987982748147901E-2</v>
      </c>
      <c r="O109" s="136">
        <f t="shared" ca="1" si="38"/>
        <v>41963.948244443702</v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>
        <f t="shared" ca="1" si="26"/>
        <v>3000000</v>
      </c>
      <c r="D110" s="138">
        <f t="shared" ca="1" si="27"/>
        <v>2727691.614006767</v>
      </c>
      <c r="E110" s="73">
        <f t="shared" ca="1" si="28"/>
        <v>-9.0769461997744327E-2</v>
      </c>
      <c r="F110" s="136">
        <f t="shared" ca="1" si="29"/>
        <v>-272308.38599323301</v>
      </c>
      <c r="G110" s="138">
        <f t="shared" ca="1" si="30"/>
        <v>2619795.5622342303</v>
      </c>
      <c r="H110" s="73">
        <f t="shared" ca="1" si="31"/>
        <v>-0.12673481258858987</v>
      </c>
      <c r="I110" s="136">
        <f t="shared" ca="1" si="32"/>
        <v>-380204.4377657696</v>
      </c>
      <c r="J110" s="138">
        <f t="shared" ca="1" si="33"/>
        <v>2662240.1774881082</v>
      </c>
      <c r="K110" s="73">
        <f t="shared" ca="1" si="34"/>
        <v>-0.11258660750396399</v>
      </c>
      <c r="L110" s="136">
        <f t="shared" ca="1" si="35"/>
        <v>-337759.82251189195</v>
      </c>
      <c r="M110" s="138">
        <f t="shared" ca="1" si="36"/>
        <v>2652687.7693149503</v>
      </c>
      <c r="N110" s="73">
        <f t="shared" ca="1" si="37"/>
        <v>-0.11577074356168315</v>
      </c>
      <c r="O110" s="136">
        <f t="shared" ca="1" si="38"/>
        <v>-347312.23068504955</v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>
        <f t="shared" ca="1" si="26"/>
        <v>3000000</v>
      </c>
      <c r="D111" s="139">
        <f t="shared" ca="1" si="27"/>
        <v>3116732.5701252124</v>
      </c>
      <c r="E111" s="75">
        <f t="shared" ca="1" si="28"/>
        <v>3.8910856708404121E-2</v>
      </c>
      <c r="F111" s="137">
        <f t="shared" ca="1" si="29"/>
        <v>116732.57012521235</v>
      </c>
      <c r="G111" s="139">
        <f t="shared" ca="1" si="30"/>
        <v>3125443.3705773097</v>
      </c>
      <c r="H111" s="75">
        <f t="shared" ca="1" si="31"/>
        <v>4.1814456859103184E-2</v>
      </c>
      <c r="I111" s="137">
        <f t="shared" ca="1" si="32"/>
        <v>125443.37057730953</v>
      </c>
      <c r="J111" s="139">
        <f t="shared" ca="1" si="33"/>
        <v>3132353.758044628</v>
      </c>
      <c r="K111" s="75">
        <f t="shared" ca="1" si="34"/>
        <v>4.4117919348209307E-2</v>
      </c>
      <c r="L111" s="137">
        <f t="shared" ca="1" si="35"/>
        <v>132353.75804462793</v>
      </c>
      <c r="M111" s="139">
        <f t="shared" ca="1" si="36"/>
        <v>3121486.904137935</v>
      </c>
      <c r="N111" s="75">
        <f t="shared" ca="1" si="37"/>
        <v>4.0495634712645064E-2</v>
      </c>
      <c r="O111" s="137">
        <f t="shared" ca="1" si="38"/>
        <v>121486.90413793517</v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>
        <f t="shared" ca="1" si="26"/>
        <v>3000000</v>
      </c>
      <c r="D112" s="138">
        <f t="shared" ca="1" si="27"/>
        <v>3000000</v>
      </c>
      <c r="E112" s="73">
        <f t="shared" ca="1" si="28"/>
        <v>0</v>
      </c>
      <c r="F112" s="136">
        <f t="shared" ca="1" si="29"/>
        <v>0</v>
      </c>
      <c r="G112" s="138">
        <f t="shared" ca="1" si="30"/>
        <v>3000000</v>
      </c>
      <c r="H112" s="73">
        <f t="shared" ca="1" si="31"/>
        <v>0</v>
      </c>
      <c r="I112" s="136">
        <f t="shared" ca="1" si="32"/>
        <v>0</v>
      </c>
      <c r="J112" s="138">
        <f t="shared" ca="1" si="33"/>
        <v>3000000</v>
      </c>
      <c r="K112" s="73">
        <f t="shared" ca="1" si="34"/>
        <v>0</v>
      </c>
      <c r="L112" s="136">
        <f t="shared" ca="1" si="35"/>
        <v>0</v>
      </c>
      <c r="M112" s="138">
        <f t="shared" ca="1" si="36"/>
        <v>3000000</v>
      </c>
      <c r="N112" s="73">
        <f t="shared" ca="1" si="37"/>
        <v>0</v>
      </c>
      <c r="O112" s="136">
        <f t="shared" ca="1" si="38"/>
        <v>0</v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 t="str">
        <f t="shared" ca="1" si="26"/>
        <v/>
      </c>
      <c r="D113" s="138" t="str">
        <f t="shared" ca="1" si="27"/>
        <v/>
      </c>
      <c r="E113" s="73" t="str">
        <f t="shared" ca="1" si="28"/>
        <v/>
      </c>
      <c r="F113" s="136" t="str">
        <f t="shared" ca="1" si="29"/>
        <v/>
      </c>
      <c r="G113" s="138" t="str">
        <f t="shared" ca="1" si="30"/>
        <v/>
      </c>
      <c r="H113" s="73" t="str">
        <f t="shared" ca="1" si="31"/>
        <v/>
      </c>
      <c r="I113" s="136" t="str">
        <f t="shared" ca="1" si="32"/>
        <v/>
      </c>
      <c r="J113" s="138" t="str">
        <f t="shared" ca="1" si="33"/>
        <v/>
      </c>
      <c r="K113" s="73" t="str">
        <f t="shared" ca="1" si="34"/>
        <v/>
      </c>
      <c r="L113" s="136" t="str">
        <f t="shared" ca="1" si="35"/>
        <v/>
      </c>
      <c r="M113" s="138" t="str">
        <f t="shared" ca="1" si="36"/>
        <v/>
      </c>
      <c r="N113" s="73" t="str">
        <f t="shared" ca="1" si="37"/>
        <v/>
      </c>
      <c r="O113" s="136" t="str">
        <f t="shared" ca="1" si="38"/>
        <v/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 t="str">
        <f t="shared" ca="1" si="26"/>
        <v/>
      </c>
      <c r="D114" s="138" t="str">
        <f t="shared" ca="1" si="27"/>
        <v/>
      </c>
      <c r="E114" s="73" t="str">
        <f t="shared" ca="1" si="28"/>
        <v/>
      </c>
      <c r="F114" s="136" t="str">
        <f t="shared" ca="1" si="29"/>
        <v/>
      </c>
      <c r="G114" s="138" t="str">
        <f t="shared" ca="1" si="30"/>
        <v/>
      </c>
      <c r="H114" s="73" t="str">
        <f t="shared" ca="1" si="31"/>
        <v/>
      </c>
      <c r="I114" s="136" t="str">
        <f t="shared" ca="1" si="32"/>
        <v/>
      </c>
      <c r="J114" s="138" t="str">
        <f t="shared" ca="1" si="33"/>
        <v/>
      </c>
      <c r="K114" s="73" t="str">
        <f t="shared" ca="1" si="34"/>
        <v/>
      </c>
      <c r="L114" s="136" t="str">
        <f t="shared" ca="1" si="35"/>
        <v/>
      </c>
      <c r="M114" s="138" t="str">
        <f t="shared" ca="1" si="36"/>
        <v/>
      </c>
      <c r="N114" s="73" t="str">
        <f t="shared" ca="1" si="37"/>
        <v/>
      </c>
      <c r="O114" s="136" t="str">
        <f t="shared" ca="1" si="38"/>
        <v/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 t="str">
        <f t="shared" ca="1" si="26"/>
        <v/>
      </c>
      <c r="D115" s="138" t="str">
        <f t="shared" ca="1" si="27"/>
        <v/>
      </c>
      <c r="E115" s="73" t="str">
        <f t="shared" ca="1" si="28"/>
        <v/>
      </c>
      <c r="F115" s="136" t="str">
        <f t="shared" ca="1" si="29"/>
        <v/>
      </c>
      <c r="G115" s="138" t="str">
        <f t="shared" ca="1" si="30"/>
        <v/>
      </c>
      <c r="H115" s="73" t="str">
        <f t="shared" ca="1" si="31"/>
        <v/>
      </c>
      <c r="I115" s="136" t="str">
        <f t="shared" ca="1" si="32"/>
        <v/>
      </c>
      <c r="J115" s="138" t="str">
        <f t="shared" ca="1" si="33"/>
        <v/>
      </c>
      <c r="K115" s="73" t="str">
        <f t="shared" ca="1" si="34"/>
        <v/>
      </c>
      <c r="L115" s="136" t="str">
        <f t="shared" ca="1" si="35"/>
        <v/>
      </c>
      <c r="M115" s="138" t="str">
        <f t="shared" ca="1" si="36"/>
        <v/>
      </c>
      <c r="N115" s="73" t="str">
        <f t="shared" ca="1" si="37"/>
        <v/>
      </c>
      <c r="O115" s="136" t="str">
        <f t="shared" ca="1" si="38"/>
        <v/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 t="str">
        <f t="shared" ca="1" si="26"/>
        <v/>
      </c>
      <c r="D116" s="138" t="str">
        <f t="shared" ca="1" si="27"/>
        <v/>
      </c>
      <c r="E116" s="73" t="str">
        <f t="shared" ca="1" si="28"/>
        <v/>
      </c>
      <c r="F116" s="136" t="str">
        <f t="shared" ca="1" si="29"/>
        <v/>
      </c>
      <c r="G116" s="138" t="str">
        <f t="shared" ca="1" si="30"/>
        <v/>
      </c>
      <c r="H116" s="73" t="str">
        <f t="shared" ca="1" si="31"/>
        <v/>
      </c>
      <c r="I116" s="136" t="str">
        <f t="shared" ca="1" si="32"/>
        <v/>
      </c>
      <c r="J116" s="138" t="str">
        <f t="shared" ca="1" si="33"/>
        <v/>
      </c>
      <c r="K116" s="73" t="str">
        <f t="shared" ca="1" si="34"/>
        <v/>
      </c>
      <c r="L116" s="136" t="str">
        <f t="shared" ca="1" si="35"/>
        <v/>
      </c>
      <c r="M116" s="138" t="str">
        <f t="shared" ca="1" si="36"/>
        <v/>
      </c>
      <c r="N116" s="73" t="str">
        <f t="shared" ca="1" si="37"/>
        <v/>
      </c>
      <c r="O116" s="136" t="str">
        <f t="shared" ca="1" si="38"/>
        <v/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 t="str">
        <f t="shared" ca="1" si="26"/>
        <v/>
      </c>
      <c r="D117" s="138" t="str">
        <f t="shared" ca="1" si="27"/>
        <v/>
      </c>
      <c r="E117" s="73" t="str">
        <f t="shared" ca="1" si="28"/>
        <v/>
      </c>
      <c r="F117" s="136" t="str">
        <f t="shared" ca="1" si="29"/>
        <v/>
      </c>
      <c r="G117" s="138" t="str">
        <f t="shared" ca="1" si="30"/>
        <v/>
      </c>
      <c r="H117" s="73" t="str">
        <f t="shared" ca="1" si="31"/>
        <v/>
      </c>
      <c r="I117" s="136" t="str">
        <f t="shared" ca="1" si="32"/>
        <v/>
      </c>
      <c r="J117" s="138" t="str">
        <f t="shared" ca="1" si="33"/>
        <v/>
      </c>
      <c r="K117" s="73" t="str">
        <f t="shared" ca="1" si="34"/>
        <v/>
      </c>
      <c r="L117" s="136" t="str">
        <f t="shared" ca="1" si="35"/>
        <v/>
      </c>
      <c r="M117" s="138" t="str">
        <f t="shared" ca="1" si="36"/>
        <v/>
      </c>
      <c r="N117" s="73" t="str">
        <f t="shared" ca="1" si="37"/>
        <v/>
      </c>
      <c r="O117" s="136" t="str">
        <f t="shared" ca="1" si="38"/>
        <v/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 t="str">
        <f t="shared" ca="1" si="26"/>
        <v/>
      </c>
      <c r="D118" s="138" t="str">
        <f t="shared" ca="1" si="27"/>
        <v/>
      </c>
      <c r="E118" s="73" t="str">
        <f t="shared" ca="1" si="28"/>
        <v/>
      </c>
      <c r="F118" s="136" t="str">
        <f t="shared" ca="1" si="29"/>
        <v/>
      </c>
      <c r="G118" s="138" t="str">
        <f t="shared" ca="1" si="30"/>
        <v/>
      </c>
      <c r="H118" s="73" t="str">
        <f t="shared" ca="1" si="31"/>
        <v/>
      </c>
      <c r="I118" s="136" t="str">
        <f t="shared" ca="1" si="32"/>
        <v/>
      </c>
      <c r="J118" s="138" t="str">
        <f t="shared" ca="1" si="33"/>
        <v/>
      </c>
      <c r="K118" s="73" t="str">
        <f t="shared" ca="1" si="34"/>
        <v/>
      </c>
      <c r="L118" s="136" t="str">
        <f t="shared" ca="1" si="35"/>
        <v/>
      </c>
      <c r="M118" s="138" t="str">
        <f t="shared" ca="1" si="36"/>
        <v/>
      </c>
      <c r="N118" s="73" t="str">
        <f t="shared" ca="1" si="37"/>
        <v/>
      </c>
      <c r="O118" s="136" t="str">
        <f t="shared" ca="1" si="38"/>
        <v/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 t="str">
        <f t="shared" ca="1" si="26"/>
        <v/>
      </c>
      <c r="D119" s="141" t="str">
        <f t="shared" ca="1" si="27"/>
        <v/>
      </c>
      <c r="E119" s="72" t="str">
        <f t="shared" ca="1" si="28"/>
        <v/>
      </c>
      <c r="F119" s="140" t="str">
        <f t="shared" ca="1" si="29"/>
        <v/>
      </c>
      <c r="G119" s="141" t="str">
        <f t="shared" ca="1" si="30"/>
        <v/>
      </c>
      <c r="H119" s="72" t="str">
        <f t="shared" ca="1" si="31"/>
        <v/>
      </c>
      <c r="I119" s="140" t="str">
        <f t="shared" ca="1" si="32"/>
        <v/>
      </c>
      <c r="J119" s="141" t="str">
        <f t="shared" ca="1" si="33"/>
        <v/>
      </c>
      <c r="K119" s="72" t="str">
        <f t="shared" ca="1" si="34"/>
        <v/>
      </c>
      <c r="L119" s="140" t="str">
        <f t="shared" ca="1" si="35"/>
        <v/>
      </c>
      <c r="M119" s="141" t="str">
        <f t="shared" ca="1" si="36"/>
        <v/>
      </c>
      <c r="N119" s="72" t="str">
        <f t="shared" ca="1" si="37"/>
        <v/>
      </c>
      <c r="O119" s="140" t="str">
        <f t="shared" ca="1" si="38"/>
        <v/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 t="str">
        <f t="shared" ca="1" si="26"/>
        <v/>
      </c>
      <c r="D120" s="138" t="str">
        <f t="shared" ca="1" si="27"/>
        <v/>
      </c>
      <c r="E120" s="73" t="str">
        <f t="shared" ca="1" si="28"/>
        <v/>
      </c>
      <c r="F120" s="136" t="str">
        <f t="shared" ca="1" si="29"/>
        <v/>
      </c>
      <c r="G120" s="138" t="str">
        <f t="shared" ca="1" si="30"/>
        <v/>
      </c>
      <c r="H120" s="73" t="str">
        <f t="shared" ca="1" si="31"/>
        <v/>
      </c>
      <c r="I120" s="136" t="str">
        <f t="shared" ca="1" si="32"/>
        <v/>
      </c>
      <c r="J120" s="138" t="str">
        <f t="shared" ca="1" si="33"/>
        <v/>
      </c>
      <c r="K120" s="73" t="str">
        <f t="shared" ca="1" si="34"/>
        <v/>
      </c>
      <c r="L120" s="136" t="str">
        <f t="shared" ca="1" si="35"/>
        <v/>
      </c>
      <c r="M120" s="138" t="str">
        <f t="shared" ca="1" si="36"/>
        <v/>
      </c>
      <c r="N120" s="73" t="str">
        <f t="shared" ca="1" si="37"/>
        <v/>
      </c>
      <c r="O120" s="136" t="str">
        <f t="shared" ca="1" si="38"/>
        <v/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 t="str">
        <f t="shared" ca="1" si="26"/>
        <v/>
      </c>
      <c r="D121" s="138" t="str">
        <f t="shared" ca="1" si="27"/>
        <v/>
      </c>
      <c r="E121" s="73" t="str">
        <f t="shared" ca="1" si="28"/>
        <v/>
      </c>
      <c r="F121" s="136" t="str">
        <f t="shared" ca="1" si="29"/>
        <v/>
      </c>
      <c r="G121" s="138" t="str">
        <f t="shared" ca="1" si="30"/>
        <v/>
      </c>
      <c r="H121" s="73" t="str">
        <f t="shared" ca="1" si="31"/>
        <v/>
      </c>
      <c r="I121" s="136" t="str">
        <f t="shared" ca="1" si="32"/>
        <v/>
      </c>
      <c r="J121" s="138" t="str">
        <f t="shared" ca="1" si="33"/>
        <v/>
      </c>
      <c r="K121" s="73" t="str">
        <f t="shared" ca="1" si="34"/>
        <v/>
      </c>
      <c r="L121" s="136" t="str">
        <f t="shared" ca="1" si="35"/>
        <v/>
      </c>
      <c r="M121" s="138" t="str">
        <f t="shared" ca="1" si="36"/>
        <v/>
      </c>
      <c r="N121" s="73" t="str">
        <f t="shared" ca="1" si="37"/>
        <v/>
      </c>
      <c r="O121" s="136" t="str">
        <f t="shared" ca="1" si="38"/>
        <v/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 t="str">
        <f t="shared" ca="1" si="26"/>
        <v/>
      </c>
      <c r="D122" s="138" t="str">
        <f t="shared" ca="1" si="27"/>
        <v/>
      </c>
      <c r="E122" s="73" t="str">
        <f t="shared" ca="1" si="28"/>
        <v/>
      </c>
      <c r="F122" s="136" t="str">
        <f t="shared" ca="1" si="29"/>
        <v/>
      </c>
      <c r="G122" s="138" t="str">
        <f t="shared" ca="1" si="30"/>
        <v/>
      </c>
      <c r="H122" s="73" t="str">
        <f t="shared" ca="1" si="31"/>
        <v/>
      </c>
      <c r="I122" s="136" t="str">
        <f t="shared" ca="1" si="32"/>
        <v/>
      </c>
      <c r="J122" s="138" t="str">
        <f t="shared" ca="1" si="33"/>
        <v/>
      </c>
      <c r="K122" s="73" t="str">
        <f t="shared" ca="1" si="34"/>
        <v/>
      </c>
      <c r="L122" s="136" t="str">
        <f t="shared" ca="1" si="35"/>
        <v/>
      </c>
      <c r="M122" s="138" t="str">
        <f t="shared" ca="1" si="36"/>
        <v/>
      </c>
      <c r="N122" s="73" t="str">
        <f t="shared" ca="1" si="37"/>
        <v/>
      </c>
      <c r="O122" s="136" t="str">
        <f t="shared" ca="1" si="38"/>
        <v/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 t="str">
        <f t="shared" ca="1" si="26"/>
        <v/>
      </c>
      <c r="D123" s="138" t="str">
        <f t="shared" ca="1" si="27"/>
        <v/>
      </c>
      <c r="E123" s="73" t="str">
        <f t="shared" ca="1" si="28"/>
        <v/>
      </c>
      <c r="F123" s="136" t="str">
        <f t="shared" ca="1" si="29"/>
        <v/>
      </c>
      <c r="G123" s="138" t="str">
        <f t="shared" ca="1" si="30"/>
        <v/>
      </c>
      <c r="H123" s="73" t="str">
        <f t="shared" ca="1" si="31"/>
        <v/>
      </c>
      <c r="I123" s="136" t="str">
        <f t="shared" ca="1" si="32"/>
        <v/>
      </c>
      <c r="J123" s="138" t="str">
        <f t="shared" ca="1" si="33"/>
        <v/>
      </c>
      <c r="K123" s="73" t="str">
        <f t="shared" ca="1" si="34"/>
        <v/>
      </c>
      <c r="L123" s="136" t="str">
        <f t="shared" ca="1" si="35"/>
        <v/>
      </c>
      <c r="M123" s="138" t="str">
        <f t="shared" ca="1" si="36"/>
        <v/>
      </c>
      <c r="N123" s="73" t="str">
        <f t="shared" ca="1" si="37"/>
        <v/>
      </c>
      <c r="O123" s="136" t="str">
        <f t="shared" ca="1" si="38"/>
        <v/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250" t="s">
        <v>319</v>
      </c>
      <c r="B129" s="252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256"/>
      <c r="B130" s="258"/>
      <c r="C130" s="135">
        <f ca="1">SUM(C98:C128)</f>
        <v>57000000</v>
      </c>
      <c r="D130" s="139">
        <f ca="1">SUM(D98:D128)</f>
        <v>56854842.408025429</v>
      </c>
      <c r="E130" s="75">
        <f ca="1">IFERROR(F130 / (SUM($C98:$C128) / COUNT($C98:$C128)), 0)</f>
        <v>-3.8199366309096192E-2</v>
      </c>
      <c r="F130" s="137">
        <f ca="1">SUM(F98:F128)</f>
        <v>-145157.59197456553</v>
      </c>
      <c r="G130" s="139">
        <f ca="1">SUM(G98:G128)</f>
        <v>57130042.398134455</v>
      </c>
      <c r="H130" s="75">
        <f ca="1">IFERROR(I130 / (SUM($C98:$C128) / COUNT($C98:$C128)), 0)</f>
        <v>3.4221683719592388E-2</v>
      </c>
      <c r="I130" s="137">
        <f ca="1">SUM(I98:I128)</f>
        <v>130042.39813445108</v>
      </c>
      <c r="J130" s="139">
        <f ca="1">SUM(J98:J128)</f>
        <v>57359771.184073798</v>
      </c>
      <c r="K130" s="75">
        <f ca="1">IFERROR(L130 / (SUM($C98:$C128) / COUNT($C98:$C128)), 0)</f>
        <v>9.467662738783833E-2</v>
      </c>
      <c r="L130" s="137">
        <f ca="1">SUM(L98:L128)</f>
        <v>359771.18407378567</v>
      </c>
      <c r="M130" s="139">
        <f ca="1">SUM(M98:M128)</f>
        <v>56971274.839279249</v>
      </c>
      <c r="N130" s="75">
        <f ca="1">IFERROR(O130 / (SUM($C98:$C128) / COUNT($C98:$C128)), 0)</f>
        <v>-7.5592528212520887E-3</v>
      </c>
      <c r="O130" s="137">
        <f ca="1">SUM(O98:O128)</f>
        <v>-28725.160720757936</v>
      </c>
    </row>
    <row r="132" spans="1:15" ht="16.5" customHeight="1" thickBot="1"/>
    <row r="133" spans="1:15" ht="16.5" customHeight="1" thickBot="1">
      <c r="A133" s="241" t="str">
        <f>TEXT(투자전략!$G$1, "[$-ko-KR]yyyy년 mm월 ") &amp; "전일대비 상승률 Top20 월말결산"</f>
        <v>2021년 05월 전일대비 상승률 Top20 월말결산</v>
      </c>
      <c r="B133" s="242"/>
      <c r="C133" s="242"/>
      <c r="D133" s="242"/>
      <c r="E133" s="242"/>
      <c r="F133" s="242"/>
      <c r="G133" s="242"/>
      <c r="H133" s="242"/>
      <c r="I133" s="242"/>
      <c r="J133" s="242"/>
      <c r="K133" s="242"/>
      <c r="L133" s="242"/>
      <c r="M133" s="242"/>
      <c r="N133" s="242"/>
      <c r="O133" s="243"/>
    </row>
    <row r="134" spans="1:15" ht="16.5" customHeight="1" thickBot="1">
      <c r="A134" s="302" t="s">
        <v>320</v>
      </c>
      <c r="B134" s="256" t="s">
        <v>318</v>
      </c>
      <c r="C134" s="258"/>
      <c r="D134" s="256" t="s">
        <v>310</v>
      </c>
      <c r="E134" s="257"/>
      <c r="F134" s="258"/>
      <c r="G134" s="256" t="s">
        <v>311</v>
      </c>
      <c r="H134" s="257"/>
      <c r="I134" s="258"/>
      <c r="J134" s="256" t="s">
        <v>312</v>
      </c>
      <c r="K134" s="257"/>
      <c r="L134" s="258"/>
      <c r="M134" s="256" t="s">
        <v>313</v>
      </c>
      <c r="N134" s="257"/>
      <c r="O134" s="258"/>
    </row>
    <row r="135" spans="1:15" ht="16.5" customHeight="1" thickBot="1">
      <c r="A135" s="306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2730900.1650714334</v>
      </c>
      <c r="E146" s="73">
        <f t="shared" ca="1" si="41"/>
        <v>-8.9699944976188856E-2</v>
      </c>
      <c r="F146" s="136">
        <f t="shared" ca="1" si="42"/>
        <v>-269099.83492856659</v>
      </c>
      <c r="G146" s="138">
        <f t="shared" ca="1" si="43"/>
        <v>2795743.4833427467</v>
      </c>
      <c r="H146" s="73">
        <f t="shared" ca="1" si="44"/>
        <v>-6.8085505552417741E-2</v>
      </c>
      <c r="I146" s="136">
        <f t="shared" ca="1" si="45"/>
        <v>-204256.51665725323</v>
      </c>
      <c r="J146" s="138">
        <f t="shared" ca="1" si="46"/>
        <v>2798583.8359378688</v>
      </c>
      <c r="K146" s="73">
        <f t="shared" ca="1" si="47"/>
        <v>-6.7138721354043723E-2</v>
      </c>
      <c r="L146" s="136">
        <f t="shared" ca="1" si="48"/>
        <v>-201416.16406213114</v>
      </c>
      <c r="M146" s="138">
        <f t="shared" ca="1" si="49"/>
        <v>2797115.6657948871</v>
      </c>
      <c r="N146" s="73">
        <f t="shared" ca="1" si="50"/>
        <v>-6.7628111401704341E-2</v>
      </c>
      <c r="O146" s="136">
        <f t="shared" ca="1" si="51"/>
        <v>-202884.334205113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>
        <f t="shared" ca="1" si="39"/>
        <v>3000000</v>
      </c>
      <c r="D147" s="138">
        <f t="shared" ca="1" si="40"/>
        <v>3084252.176437628</v>
      </c>
      <c r="E147" s="73">
        <f t="shared" ca="1" si="41"/>
        <v>2.8084058812542601E-2</v>
      </c>
      <c r="F147" s="136">
        <f t="shared" ca="1" si="42"/>
        <v>84252.176437627815</v>
      </c>
      <c r="G147" s="138">
        <f t="shared" ca="1" si="43"/>
        <v>3063567.3008843879</v>
      </c>
      <c r="H147" s="73">
        <f t="shared" ca="1" si="44"/>
        <v>2.1189100294795961E-2</v>
      </c>
      <c r="I147" s="136">
        <f t="shared" ca="1" si="45"/>
        <v>63567.300884387907</v>
      </c>
      <c r="J147" s="138">
        <f t="shared" ca="1" si="46"/>
        <v>3093005.2288917913</v>
      </c>
      <c r="K147" s="73">
        <f t="shared" ca="1" si="47"/>
        <v>3.1001742963930445E-2</v>
      </c>
      <c r="L147" s="136">
        <f t="shared" ca="1" si="48"/>
        <v>93005.228891791325</v>
      </c>
      <c r="M147" s="138">
        <f t="shared" ca="1" si="49"/>
        <v>2960394.0707102548</v>
      </c>
      <c r="N147" s="73">
        <f t="shared" ca="1" si="50"/>
        <v>-1.3201976429915042E-2</v>
      </c>
      <c r="O147" s="136">
        <f t="shared" ca="1" si="51"/>
        <v>-39605.929289745131</v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>
        <f t="shared" ca="1" si="39"/>
        <v>3000000</v>
      </c>
      <c r="D148" s="138">
        <f t="shared" ca="1" si="40"/>
        <v>2751390.4268662711</v>
      </c>
      <c r="E148" s="73">
        <f t="shared" ca="1" si="41"/>
        <v>-8.2869857711242972E-2</v>
      </c>
      <c r="F148" s="136">
        <f t="shared" ca="1" si="42"/>
        <v>-248609.57313372887</v>
      </c>
      <c r="G148" s="138">
        <f t="shared" ca="1" si="43"/>
        <v>2649824.6148943198</v>
      </c>
      <c r="H148" s="73">
        <f t="shared" ca="1" si="44"/>
        <v>-0.11672512836856008</v>
      </c>
      <c r="I148" s="136">
        <f t="shared" ca="1" si="45"/>
        <v>-350175.38510568033</v>
      </c>
      <c r="J148" s="138">
        <f t="shared" ca="1" si="46"/>
        <v>2688706.7762220781</v>
      </c>
      <c r="K148" s="73">
        <f t="shared" ca="1" si="47"/>
        <v>-0.10376440792597394</v>
      </c>
      <c r="L148" s="136">
        <f t="shared" ca="1" si="48"/>
        <v>-311293.22377792187</v>
      </c>
      <c r="M148" s="138">
        <f t="shared" ca="1" si="49"/>
        <v>2678739.445153262</v>
      </c>
      <c r="N148" s="73">
        <f t="shared" ca="1" si="50"/>
        <v>-0.10708685161557929</v>
      </c>
      <c r="O148" s="136">
        <f t="shared" ca="1" si="51"/>
        <v>-321260.55484673782</v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>
        <f t="shared" ca="1" si="39"/>
        <v>3000000</v>
      </c>
      <c r="D149" s="139">
        <f t="shared" ca="1" si="40"/>
        <v>3069088.161582049</v>
      </c>
      <c r="E149" s="75">
        <f t="shared" ca="1" si="41"/>
        <v>2.3029387194016322E-2</v>
      </c>
      <c r="F149" s="137">
        <f t="shared" ca="1" si="42"/>
        <v>69088.161582048953</v>
      </c>
      <c r="G149" s="139">
        <f t="shared" ca="1" si="43"/>
        <v>3080907.9159849994</v>
      </c>
      <c r="H149" s="75">
        <f t="shared" ca="1" si="44"/>
        <v>2.6969305328333193E-2</v>
      </c>
      <c r="I149" s="137">
        <f t="shared" ca="1" si="45"/>
        <v>80907.915984999592</v>
      </c>
      <c r="J149" s="139">
        <f t="shared" ca="1" si="46"/>
        <v>3082865.3786015809</v>
      </c>
      <c r="K149" s="75">
        <f t="shared" ca="1" si="47"/>
        <v>2.7621792867193639E-2</v>
      </c>
      <c r="L149" s="137">
        <f t="shared" ca="1" si="48"/>
        <v>82865.378601580916</v>
      </c>
      <c r="M149" s="139">
        <f t="shared" ca="1" si="49"/>
        <v>3084497.3231665436</v>
      </c>
      <c r="N149" s="75">
        <f t="shared" ca="1" si="50"/>
        <v>2.816577438884783E-2</v>
      </c>
      <c r="O149" s="137">
        <f t="shared" ca="1" si="51"/>
        <v>84497.323166543458</v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>
        <f t="shared" ca="1" si="39"/>
        <v>3000000</v>
      </c>
      <c r="D150" s="138">
        <f t="shared" ca="1" si="40"/>
        <v>3000000</v>
      </c>
      <c r="E150" s="73">
        <f t="shared" ca="1" si="41"/>
        <v>0</v>
      </c>
      <c r="F150" s="136">
        <f t="shared" ca="1" si="42"/>
        <v>0</v>
      </c>
      <c r="G150" s="138">
        <f t="shared" ca="1" si="43"/>
        <v>3000000</v>
      </c>
      <c r="H150" s="73">
        <f t="shared" ca="1" si="44"/>
        <v>0</v>
      </c>
      <c r="I150" s="136">
        <f t="shared" ca="1" si="45"/>
        <v>0</v>
      </c>
      <c r="J150" s="138">
        <f t="shared" ca="1" si="46"/>
        <v>3000000</v>
      </c>
      <c r="K150" s="73">
        <f t="shared" ca="1" si="47"/>
        <v>0</v>
      </c>
      <c r="L150" s="136">
        <f t="shared" ca="1" si="48"/>
        <v>0</v>
      </c>
      <c r="M150" s="138">
        <f t="shared" ca="1" si="49"/>
        <v>3000000</v>
      </c>
      <c r="N150" s="73">
        <f t="shared" ca="1" si="50"/>
        <v>0</v>
      </c>
      <c r="O150" s="136">
        <f t="shared" ca="1" si="51"/>
        <v>0</v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 t="str">
        <f t="shared" ca="1" si="39"/>
        <v/>
      </c>
      <c r="D151" s="138" t="str">
        <f t="shared" ca="1" si="40"/>
        <v/>
      </c>
      <c r="E151" s="73" t="str">
        <f t="shared" ca="1" si="41"/>
        <v/>
      </c>
      <c r="F151" s="136" t="str">
        <f t="shared" ca="1" si="42"/>
        <v/>
      </c>
      <c r="G151" s="138" t="str">
        <f t="shared" ca="1" si="43"/>
        <v/>
      </c>
      <c r="H151" s="73" t="str">
        <f t="shared" ca="1" si="44"/>
        <v/>
      </c>
      <c r="I151" s="136" t="str">
        <f t="shared" ca="1" si="45"/>
        <v/>
      </c>
      <c r="J151" s="138" t="str">
        <f t="shared" ca="1" si="46"/>
        <v/>
      </c>
      <c r="K151" s="73" t="str">
        <f t="shared" ca="1" si="47"/>
        <v/>
      </c>
      <c r="L151" s="136" t="str">
        <f t="shared" ca="1" si="48"/>
        <v/>
      </c>
      <c r="M151" s="138" t="str">
        <f t="shared" ca="1" si="49"/>
        <v/>
      </c>
      <c r="N151" s="73" t="str">
        <f t="shared" ca="1" si="50"/>
        <v/>
      </c>
      <c r="O151" s="136" t="str">
        <f t="shared" ca="1" si="51"/>
        <v/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 t="str">
        <f t="shared" ca="1" si="39"/>
        <v/>
      </c>
      <c r="D152" s="138" t="str">
        <f t="shared" ca="1" si="40"/>
        <v/>
      </c>
      <c r="E152" s="73" t="str">
        <f t="shared" ca="1" si="41"/>
        <v/>
      </c>
      <c r="F152" s="136" t="str">
        <f t="shared" ca="1" si="42"/>
        <v/>
      </c>
      <c r="G152" s="138" t="str">
        <f t="shared" ca="1" si="43"/>
        <v/>
      </c>
      <c r="H152" s="73" t="str">
        <f t="shared" ca="1" si="44"/>
        <v/>
      </c>
      <c r="I152" s="136" t="str">
        <f t="shared" ca="1" si="45"/>
        <v/>
      </c>
      <c r="J152" s="138" t="str">
        <f t="shared" ca="1" si="46"/>
        <v/>
      </c>
      <c r="K152" s="73" t="str">
        <f t="shared" ca="1" si="47"/>
        <v/>
      </c>
      <c r="L152" s="136" t="str">
        <f t="shared" ca="1" si="48"/>
        <v/>
      </c>
      <c r="M152" s="138" t="str">
        <f t="shared" ca="1" si="49"/>
        <v/>
      </c>
      <c r="N152" s="73" t="str">
        <f t="shared" ca="1" si="50"/>
        <v/>
      </c>
      <c r="O152" s="136" t="str">
        <f t="shared" ca="1" si="51"/>
        <v/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 t="str">
        <f t="shared" ca="1" si="39"/>
        <v/>
      </c>
      <c r="D153" s="138" t="str">
        <f t="shared" ca="1" si="40"/>
        <v/>
      </c>
      <c r="E153" s="73" t="str">
        <f t="shared" ca="1" si="41"/>
        <v/>
      </c>
      <c r="F153" s="136" t="str">
        <f t="shared" ca="1" si="42"/>
        <v/>
      </c>
      <c r="G153" s="138" t="str">
        <f t="shared" ca="1" si="43"/>
        <v/>
      </c>
      <c r="H153" s="73" t="str">
        <f t="shared" ca="1" si="44"/>
        <v/>
      </c>
      <c r="I153" s="136" t="str">
        <f t="shared" ca="1" si="45"/>
        <v/>
      </c>
      <c r="J153" s="138" t="str">
        <f t="shared" ca="1" si="46"/>
        <v/>
      </c>
      <c r="K153" s="73" t="str">
        <f t="shared" ca="1" si="47"/>
        <v/>
      </c>
      <c r="L153" s="136" t="str">
        <f t="shared" ca="1" si="48"/>
        <v/>
      </c>
      <c r="M153" s="138" t="str">
        <f t="shared" ca="1" si="49"/>
        <v/>
      </c>
      <c r="N153" s="73" t="str">
        <f t="shared" ca="1" si="50"/>
        <v/>
      </c>
      <c r="O153" s="136" t="str">
        <f t="shared" ca="1" si="51"/>
        <v/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 t="str">
        <f t="shared" ca="1" si="39"/>
        <v/>
      </c>
      <c r="D154" s="138" t="str">
        <f t="shared" ca="1" si="40"/>
        <v/>
      </c>
      <c r="E154" s="73" t="str">
        <f t="shared" ca="1" si="41"/>
        <v/>
      </c>
      <c r="F154" s="136" t="str">
        <f t="shared" ca="1" si="42"/>
        <v/>
      </c>
      <c r="G154" s="138" t="str">
        <f t="shared" ca="1" si="43"/>
        <v/>
      </c>
      <c r="H154" s="73" t="str">
        <f t="shared" ca="1" si="44"/>
        <v/>
      </c>
      <c r="I154" s="136" t="str">
        <f t="shared" ca="1" si="45"/>
        <v/>
      </c>
      <c r="J154" s="138" t="str">
        <f t="shared" ca="1" si="46"/>
        <v/>
      </c>
      <c r="K154" s="73" t="str">
        <f t="shared" ca="1" si="47"/>
        <v/>
      </c>
      <c r="L154" s="136" t="str">
        <f t="shared" ca="1" si="48"/>
        <v/>
      </c>
      <c r="M154" s="138" t="str">
        <f t="shared" ca="1" si="49"/>
        <v/>
      </c>
      <c r="N154" s="73" t="str">
        <f t="shared" ca="1" si="50"/>
        <v/>
      </c>
      <c r="O154" s="136" t="str">
        <f t="shared" ca="1" si="51"/>
        <v/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 t="str">
        <f t="shared" ca="1" si="39"/>
        <v/>
      </c>
      <c r="D155" s="138" t="str">
        <f t="shared" ca="1" si="40"/>
        <v/>
      </c>
      <c r="E155" s="73" t="str">
        <f t="shared" ca="1" si="41"/>
        <v/>
      </c>
      <c r="F155" s="136" t="str">
        <f t="shared" ca="1" si="42"/>
        <v/>
      </c>
      <c r="G155" s="138" t="str">
        <f t="shared" ca="1" si="43"/>
        <v/>
      </c>
      <c r="H155" s="73" t="str">
        <f t="shared" ca="1" si="44"/>
        <v/>
      </c>
      <c r="I155" s="136" t="str">
        <f t="shared" ca="1" si="45"/>
        <v/>
      </c>
      <c r="J155" s="138" t="str">
        <f t="shared" ca="1" si="46"/>
        <v/>
      </c>
      <c r="K155" s="73" t="str">
        <f t="shared" ca="1" si="47"/>
        <v/>
      </c>
      <c r="L155" s="136" t="str">
        <f t="shared" ca="1" si="48"/>
        <v/>
      </c>
      <c r="M155" s="138" t="str">
        <f t="shared" ca="1" si="49"/>
        <v/>
      </c>
      <c r="N155" s="73" t="str">
        <f t="shared" ca="1" si="50"/>
        <v/>
      </c>
      <c r="O155" s="136" t="str">
        <f t="shared" ca="1" si="51"/>
        <v/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 t="str">
        <f t="shared" ca="1" si="39"/>
        <v/>
      </c>
      <c r="D156" s="138" t="str">
        <f t="shared" ca="1" si="40"/>
        <v/>
      </c>
      <c r="E156" s="73" t="str">
        <f t="shared" ca="1" si="41"/>
        <v/>
      </c>
      <c r="F156" s="136" t="str">
        <f t="shared" ca="1" si="42"/>
        <v/>
      </c>
      <c r="G156" s="138" t="str">
        <f t="shared" ca="1" si="43"/>
        <v/>
      </c>
      <c r="H156" s="73" t="str">
        <f t="shared" ca="1" si="44"/>
        <v/>
      </c>
      <c r="I156" s="136" t="str">
        <f t="shared" ca="1" si="45"/>
        <v/>
      </c>
      <c r="J156" s="138" t="str">
        <f t="shared" ca="1" si="46"/>
        <v/>
      </c>
      <c r="K156" s="73" t="str">
        <f t="shared" ca="1" si="47"/>
        <v/>
      </c>
      <c r="L156" s="136" t="str">
        <f t="shared" ca="1" si="48"/>
        <v/>
      </c>
      <c r="M156" s="138" t="str">
        <f t="shared" ca="1" si="49"/>
        <v/>
      </c>
      <c r="N156" s="73" t="str">
        <f t="shared" ca="1" si="50"/>
        <v/>
      </c>
      <c r="O156" s="136" t="str">
        <f t="shared" ca="1" si="51"/>
        <v/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 t="str">
        <f t="shared" ca="1" si="39"/>
        <v/>
      </c>
      <c r="D157" s="141" t="str">
        <f t="shared" ca="1" si="40"/>
        <v/>
      </c>
      <c r="E157" s="72" t="str">
        <f t="shared" ca="1" si="41"/>
        <v/>
      </c>
      <c r="F157" s="140" t="str">
        <f t="shared" ca="1" si="42"/>
        <v/>
      </c>
      <c r="G157" s="141" t="str">
        <f t="shared" ca="1" si="43"/>
        <v/>
      </c>
      <c r="H157" s="72" t="str">
        <f t="shared" ca="1" si="44"/>
        <v/>
      </c>
      <c r="I157" s="140" t="str">
        <f t="shared" ca="1" si="45"/>
        <v/>
      </c>
      <c r="J157" s="141" t="str">
        <f t="shared" ca="1" si="46"/>
        <v/>
      </c>
      <c r="K157" s="72" t="str">
        <f t="shared" ca="1" si="47"/>
        <v/>
      </c>
      <c r="L157" s="140" t="str">
        <f t="shared" ca="1" si="48"/>
        <v/>
      </c>
      <c r="M157" s="141" t="str">
        <f t="shared" ca="1" si="49"/>
        <v/>
      </c>
      <c r="N157" s="72" t="str">
        <f t="shared" ca="1" si="50"/>
        <v/>
      </c>
      <c r="O157" s="140" t="str">
        <f t="shared" ca="1" si="51"/>
        <v/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 t="str">
        <f t="shared" ca="1" si="39"/>
        <v/>
      </c>
      <c r="D158" s="138" t="str">
        <f t="shared" ca="1" si="40"/>
        <v/>
      </c>
      <c r="E158" s="73" t="str">
        <f t="shared" ca="1" si="41"/>
        <v/>
      </c>
      <c r="F158" s="136" t="str">
        <f t="shared" ca="1" si="42"/>
        <v/>
      </c>
      <c r="G158" s="138" t="str">
        <f t="shared" ca="1" si="43"/>
        <v/>
      </c>
      <c r="H158" s="73" t="str">
        <f t="shared" ca="1" si="44"/>
        <v/>
      </c>
      <c r="I158" s="136" t="str">
        <f t="shared" ca="1" si="45"/>
        <v/>
      </c>
      <c r="J158" s="138" t="str">
        <f t="shared" ca="1" si="46"/>
        <v/>
      </c>
      <c r="K158" s="73" t="str">
        <f t="shared" ca="1" si="47"/>
        <v/>
      </c>
      <c r="L158" s="136" t="str">
        <f t="shared" ca="1" si="48"/>
        <v/>
      </c>
      <c r="M158" s="138" t="str">
        <f t="shared" ca="1" si="49"/>
        <v/>
      </c>
      <c r="N158" s="73" t="str">
        <f t="shared" ca="1" si="50"/>
        <v/>
      </c>
      <c r="O158" s="136" t="str">
        <f t="shared" ca="1" si="51"/>
        <v/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 t="str">
        <f t="shared" ca="1" si="39"/>
        <v/>
      </c>
      <c r="D159" s="138" t="str">
        <f t="shared" ca="1" si="40"/>
        <v/>
      </c>
      <c r="E159" s="73" t="str">
        <f t="shared" ca="1" si="41"/>
        <v/>
      </c>
      <c r="F159" s="136" t="str">
        <f t="shared" ca="1" si="42"/>
        <v/>
      </c>
      <c r="G159" s="138" t="str">
        <f t="shared" ca="1" si="43"/>
        <v/>
      </c>
      <c r="H159" s="73" t="str">
        <f t="shared" ca="1" si="44"/>
        <v/>
      </c>
      <c r="I159" s="136" t="str">
        <f t="shared" ca="1" si="45"/>
        <v/>
      </c>
      <c r="J159" s="138" t="str">
        <f t="shared" ca="1" si="46"/>
        <v/>
      </c>
      <c r="K159" s="73" t="str">
        <f t="shared" ca="1" si="47"/>
        <v/>
      </c>
      <c r="L159" s="136" t="str">
        <f t="shared" ca="1" si="48"/>
        <v/>
      </c>
      <c r="M159" s="138" t="str">
        <f t="shared" ca="1" si="49"/>
        <v/>
      </c>
      <c r="N159" s="73" t="str">
        <f t="shared" ca="1" si="50"/>
        <v/>
      </c>
      <c r="O159" s="136" t="str">
        <f t="shared" ca="1" si="51"/>
        <v/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 t="str">
        <f t="shared" ca="1" si="39"/>
        <v/>
      </c>
      <c r="D160" s="138" t="str">
        <f t="shared" ca="1" si="40"/>
        <v/>
      </c>
      <c r="E160" s="73" t="str">
        <f t="shared" ca="1" si="41"/>
        <v/>
      </c>
      <c r="F160" s="136" t="str">
        <f t="shared" ca="1" si="42"/>
        <v/>
      </c>
      <c r="G160" s="138" t="str">
        <f t="shared" ca="1" si="43"/>
        <v/>
      </c>
      <c r="H160" s="73" t="str">
        <f t="shared" ca="1" si="44"/>
        <v/>
      </c>
      <c r="I160" s="136" t="str">
        <f t="shared" ca="1" si="45"/>
        <v/>
      </c>
      <c r="J160" s="138" t="str">
        <f t="shared" ca="1" si="46"/>
        <v/>
      </c>
      <c r="K160" s="73" t="str">
        <f t="shared" ca="1" si="47"/>
        <v/>
      </c>
      <c r="L160" s="136" t="str">
        <f t="shared" ca="1" si="48"/>
        <v/>
      </c>
      <c r="M160" s="138" t="str">
        <f t="shared" ca="1" si="49"/>
        <v/>
      </c>
      <c r="N160" s="73" t="str">
        <f t="shared" ca="1" si="50"/>
        <v/>
      </c>
      <c r="O160" s="136" t="str">
        <f t="shared" ca="1" si="51"/>
        <v/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 t="str">
        <f t="shared" ca="1" si="39"/>
        <v/>
      </c>
      <c r="D161" s="138" t="str">
        <f t="shared" ca="1" si="40"/>
        <v/>
      </c>
      <c r="E161" s="73" t="str">
        <f t="shared" ca="1" si="41"/>
        <v/>
      </c>
      <c r="F161" s="136" t="str">
        <f t="shared" ca="1" si="42"/>
        <v/>
      </c>
      <c r="G161" s="138" t="str">
        <f t="shared" ca="1" si="43"/>
        <v/>
      </c>
      <c r="H161" s="73" t="str">
        <f t="shared" ca="1" si="44"/>
        <v/>
      </c>
      <c r="I161" s="136" t="str">
        <f t="shared" ca="1" si="45"/>
        <v/>
      </c>
      <c r="J161" s="138" t="str">
        <f t="shared" ca="1" si="46"/>
        <v/>
      </c>
      <c r="K161" s="73" t="str">
        <f t="shared" ca="1" si="47"/>
        <v/>
      </c>
      <c r="L161" s="136" t="str">
        <f t="shared" ca="1" si="48"/>
        <v/>
      </c>
      <c r="M161" s="138" t="str">
        <f t="shared" ca="1" si="49"/>
        <v/>
      </c>
      <c r="N161" s="73" t="str">
        <f t="shared" ca="1" si="50"/>
        <v/>
      </c>
      <c r="O161" s="136" t="str">
        <f t="shared" ca="1" si="51"/>
        <v/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250" t="s">
        <v>319</v>
      </c>
      <c r="B167" s="252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256"/>
      <c r="B168" s="258"/>
      <c r="C168" s="135">
        <f ca="1">SUM(C136:C166)</f>
        <v>57000000</v>
      </c>
      <c r="D168" s="139">
        <f ca="1">SUM(D136:D166)</f>
        <v>57309500.338280872</v>
      </c>
      <c r="E168" s="75">
        <f ca="1">IFERROR(F168 / (SUM($C136:$C166) / COUNT($C136:$C166)), 0)</f>
        <v>8.1447457442336266E-2</v>
      </c>
      <c r="F168" s="137">
        <f ca="1">SUM(F136:F166)</f>
        <v>309500.3382808778</v>
      </c>
      <c r="G168" s="139">
        <f ca="1">SUM(G136:G166)</f>
        <v>57586153.73431462</v>
      </c>
      <c r="H168" s="75">
        <f ca="1">IFERROR(I168 / (SUM($C136:$C166) / COUNT($C136:$C166)), 0)</f>
        <v>0.15425098271437471</v>
      </c>
      <c r="I168" s="137">
        <f ca="1">SUM(I136:I166)</f>
        <v>586153.73431462387</v>
      </c>
      <c r="J168" s="139">
        <f ca="1">SUM(J136:J166)</f>
        <v>57929259.584983811</v>
      </c>
      <c r="K168" s="75">
        <f ca="1">IFERROR(L168 / (SUM($C136:$C166) / COUNT($C136:$C166)), 0)</f>
        <v>0.24454199604837229</v>
      </c>
      <c r="L168" s="137">
        <f ca="1">SUM(L136:L166)</f>
        <v>929259.58498381474</v>
      </c>
      <c r="M168" s="139">
        <f ca="1">SUM(M136:M166)</f>
        <v>57498279.555521049</v>
      </c>
      <c r="N168" s="75">
        <f ca="1">IFERROR(O168 / (SUM($C136:$C166) / COUNT($C136:$C166)), 0)</f>
        <v>0.13112619882132773</v>
      </c>
      <c r="O168" s="137">
        <f ca="1">SUM(O136:O166)</f>
        <v>498279.55552104535</v>
      </c>
    </row>
    <row r="170" spans="1:15" ht="16.5" customHeight="1" thickBot="1"/>
    <row r="171" spans="1:15" ht="16.5" customHeight="1" thickBot="1">
      <c r="A171" s="241" t="str">
        <f>TEXT(투자전략!$G$1, "[$-ko-KR]yyyy년 mm월 ") &amp; "[엽전코인] 전일대비 상승률 Bottom20 월말결산"</f>
        <v>2021년 05월 [엽전코인] 전일대비 상승률 Bottom20 월말결산</v>
      </c>
      <c r="B171" s="242"/>
      <c r="C171" s="242"/>
      <c r="D171" s="242"/>
      <c r="E171" s="242"/>
      <c r="F171" s="242"/>
      <c r="G171" s="242"/>
      <c r="H171" s="242"/>
      <c r="I171" s="242"/>
      <c r="J171" s="242"/>
      <c r="K171" s="242"/>
      <c r="L171" s="242"/>
      <c r="M171" s="242"/>
      <c r="N171" s="242"/>
      <c r="O171" s="243"/>
    </row>
    <row r="172" spans="1:15" ht="16.5" customHeight="1" thickBot="1">
      <c r="A172" s="302" t="s">
        <v>320</v>
      </c>
      <c r="B172" s="256" t="s">
        <v>318</v>
      </c>
      <c r="C172" s="258"/>
      <c r="D172" s="256" t="s">
        <v>310</v>
      </c>
      <c r="E172" s="257"/>
      <c r="F172" s="258"/>
      <c r="G172" s="256" t="s">
        <v>311</v>
      </c>
      <c r="H172" s="257"/>
      <c r="I172" s="258"/>
      <c r="J172" s="256" t="s">
        <v>312</v>
      </c>
      <c r="K172" s="257"/>
      <c r="L172" s="258"/>
      <c r="M172" s="256" t="s">
        <v>313</v>
      </c>
      <c r="N172" s="257"/>
      <c r="O172" s="258"/>
    </row>
    <row r="173" spans="1:15" ht="16.5" customHeight="1" thickBot="1">
      <c r="A173" s="306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2706552.2955798027</v>
      </c>
      <c r="E184" s="73">
        <f t="shared" ca="1" si="54"/>
        <v>-5.0332527866735768E-2</v>
      </c>
      <c r="F184" s="136">
        <f t="shared" ca="1" si="55"/>
        <v>-143447.70442019694</v>
      </c>
      <c r="G184" s="138">
        <f t="shared" ca="1" si="56"/>
        <v>2903471.9913226529</v>
      </c>
      <c r="H184" s="73">
        <f t="shared" ca="1" si="57"/>
        <v>1.8762102218474824E-2</v>
      </c>
      <c r="I184" s="136">
        <f t="shared" ca="1" si="58"/>
        <v>53471.991322653252</v>
      </c>
      <c r="J184" s="138">
        <f t="shared" ca="1" si="59"/>
        <v>2961246.1319350125</v>
      </c>
      <c r="K184" s="73">
        <f t="shared" ca="1" si="60"/>
        <v>3.9033730503513053E-2</v>
      </c>
      <c r="L184" s="136">
        <f t="shared" ca="1" si="61"/>
        <v>111246.13193501218</v>
      </c>
      <c r="M184" s="138">
        <f t="shared" ca="1" si="62"/>
        <v>2946725.8601111178</v>
      </c>
      <c r="N184" s="73">
        <f t="shared" ca="1" si="63"/>
        <v>3.3938898284602684E-2</v>
      </c>
      <c r="O184" s="136">
        <f t="shared" ca="1" si="64"/>
        <v>96725.860111117683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>
        <f t="shared" ca="1" si="52"/>
        <v>2850000</v>
      </c>
      <c r="D185" s="138">
        <f t="shared" ca="1" si="53"/>
        <v>2915125.8510363246</v>
      </c>
      <c r="E185" s="73">
        <f t="shared" ca="1" si="54"/>
        <v>2.285117580221914E-2</v>
      </c>
      <c r="F185" s="136">
        <f t="shared" ca="1" si="55"/>
        <v>65125.851036324551</v>
      </c>
      <c r="G185" s="138">
        <f t="shared" ca="1" si="56"/>
        <v>2895158.5219843471</v>
      </c>
      <c r="H185" s="73">
        <f t="shared" ca="1" si="57"/>
        <v>1.5845095433104094E-2</v>
      </c>
      <c r="I185" s="136">
        <f t="shared" ca="1" si="58"/>
        <v>45158.521984346677</v>
      </c>
      <c r="J185" s="138">
        <f t="shared" ca="1" si="59"/>
        <v>2929580.0970718772</v>
      </c>
      <c r="K185" s="73">
        <f t="shared" ca="1" si="60"/>
        <v>2.7922841077851691E-2</v>
      </c>
      <c r="L185" s="136">
        <f t="shared" ca="1" si="61"/>
        <v>79580.097071877331</v>
      </c>
      <c r="M185" s="138">
        <f t="shared" ca="1" si="62"/>
        <v>2807895.1299300469</v>
      </c>
      <c r="N185" s="73">
        <f t="shared" ca="1" si="63"/>
        <v>-1.4773638621036252E-2</v>
      </c>
      <c r="O185" s="136">
        <f t="shared" ca="1" si="64"/>
        <v>-42104.870069953344</v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>
        <f t="shared" ca="1" si="52"/>
        <v>2850000</v>
      </c>
      <c r="D186" s="138">
        <f t="shared" ca="1" si="53"/>
        <v>2586766.115294049</v>
      </c>
      <c r="E186" s="73">
        <f t="shared" ca="1" si="54"/>
        <v>-9.2362766563491627E-2</v>
      </c>
      <c r="F186" s="136">
        <f t="shared" ca="1" si="55"/>
        <v>-263233.88470595115</v>
      </c>
      <c r="G186" s="138">
        <f t="shared" ca="1" si="56"/>
        <v>2489144.9414303238</v>
      </c>
      <c r="H186" s="73">
        <f t="shared" ca="1" si="57"/>
        <v>-0.12661581002444788</v>
      </c>
      <c r="I186" s="136">
        <f t="shared" ca="1" si="58"/>
        <v>-360855.05856967648</v>
      </c>
      <c r="J186" s="138">
        <f t="shared" ca="1" si="59"/>
        <v>2530153.0040820497</v>
      </c>
      <c r="K186" s="73">
        <f t="shared" ca="1" si="60"/>
        <v>-0.11222701611156145</v>
      </c>
      <c r="L186" s="136">
        <f t="shared" ca="1" si="61"/>
        <v>-319846.99591795017</v>
      </c>
      <c r="M186" s="138">
        <f t="shared" ca="1" si="62"/>
        <v>2530985.2391216476</v>
      </c>
      <c r="N186" s="73">
        <f t="shared" ca="1" si="63"/>
        <v>-0.11193500381696571</v>
      </c>
      <c r="O186" s="136">
        <f t="shared" ca="1" si="64"/>
        <v>-319014.76087835233</v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>
        <f t="shared" ca="1" si="52"/>
        <v>3000000</v>
      </c>
      <c r="D187" s="139">
        <f t="shared" ca="1" si="53"/>
        <v>3053104.9102000999</v>
      </c>
      <c r="E187" s="75">
        <f t="shared" ca="1" si="54"/>
        <v>1.7701636733366718E-2</v>
      </c>
      <c r="F187" s="137">
        <f t="shared" ca="1" si="55"/>
        <v>53104.910200100145</v>
      </c>
      <c r="G187" s="139">
        <f t="shared" ca="1" si="56"/>
        <v>3058399.4858961492</v>
      </c>
      <c r="H187" s="75">
        <f t="shared" ca="1" si="57"/>
        <v>1.9466495298716413E-2</v>
      </c>
      <c r="I187" s="137">
        <f t="shared" ca="1" si="58"/>
        <v>58399.485896149228</v>
      </c>
      <c r="J187" s="139">
        <f t="shared" ca="1" si="59"/>
        <v>3061322.9687450198</v>
      </c>
      <c r="K187" s="75">
        <f t="shared" ca="1" si="60"/>
        <v>2.0440989581673286E-2</v>
      </c>
      <c r="L187" s="137">
        <f t="shared" ca="1" si="61"/>
        <v>61322.968745019854</v>
      </c>
      <c r="M187" s="139">
        <f t="shared" ca="1" si="62"/>
        <v>3063744.0519563295</v>
      </c>
      <c r="N187" s="75">
        <f t="shared" ca="1" si="63"/>
        <v>2.1248017318776465E-2</v>
      </c>
      <c r="O187" s="137">
        <f t="shared" ca="1" si="64"/>
        <v>63744.051956329371</v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>
        <f t="shared" ca="1" si="52"/>
        <v>2850000</v>
      </c>
      <c r="D188" s="138">
        <f t="shared" ca="1" si="53"/>
        <v>2850000</v>
      </c>
      <c r="E188" s="73">
        <f t="shared" ca="1" si="54"/>
        <v>0</v>
      </c>
      <c r="F188" s="136">
        <f t="shared" ca="1" si="55"/>
        <v>0</v>
      </c>
      <c r="G188" s="138">
        <f t="shared" ca="1" si="56"/>
        <v>2850000</v>
      </c>
      <c r="H188" s="73">
        <f t="shared" ca="1" si="57"/>
        <v>0</v>
      </c>
      <c r="I188" s="136">
        <f t="shared" ca="1" si="58"/>
        <v>0</v>
      </c>
      <c r="J188" s="138">
        <f t="shared" ca="1" si="59"/>
        <v>2850000</v>
      </c>
      <c r="K188" s="73">
        <f t="shared" ca="1" si="60"/>
        <v>0</v>
      </c>
      <c r="L188" s="136">
        <f t="shared" ca="1" si="61"/>
        <v>0</v>
      </c>
      <c r="M188" s="138">
        <f t="shared" ca="1" si="62"/>
        <v>2850000</v>
      </c>
      <c r="N188" s="73">
        <f t="shared" ca="1" si="63"/>
        <v>0</v>
      </c>
      <c r="O188" s="136">
        <f t="shared" ca="1" si="64"/>
        <v>0</v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 t="str">
        <f t="shared" ca="1" si="52"/>
        <v/>
      </c>
      <c r="D189" s="138" t="str">
        <f t="shared" ca="1" si="53"/>
        <v/>
      </c>
      <c r="E189" s="73" t="str">
        <f t="shared" ca="1" si="54"/>
        <v/>
      </c>
      <c r="F189" s="136" t="str">
        <f t="shared" ca="1" si="55"/>
        <v/>
      </c>
      <c r="G189" s="138" t="str">
        <f t="shared" ca="1" si="56"/>
        <v/>
      </c>
      <c r="H189" s="73" t="str">
        <f t="shared" ca="1" si="57"/>
        <v/>
      </c>
      <c r="I189" s="136" t="str">
        <f t="shared" ca="1" si="58"/>
        <v/>
      </c>
      <c r="J189" s="138" t="str">
        <f t="shared" ca="1" si="59"/>
        <v/>
      </c>
      <c r="K189" s="73" t="str">
        <f t="shared" ca="1" si="60"/>
        <v/>
      </c>
      <c r="L189" s="136" t="str">
        <f t="shared" ca="1" si="61"/>
        <v/>
      </c>
      <c r="M189" s="138" t="str">
        <f t="shared" ca="1" si="62"/>
        <v/>
      </c>
      <c r="N189" s="73" t="str">
        <f t="shared" ca="1" si="63"/>
        <v/>
      </c>
      <c r="O189" s="136" t="str">
        <f t="shared" ca="1" si="64"/>
        <v/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 t="str">
        <f t="shared" ca="1" si="52"/>
        <v/>
      </c>
      <c r="D190" s="138" t="str">
        <f t="shared" ca="1" si="53"/>
        <v/>
      </c>
      <c r="E190" s="73" t="str">
        <f t="shared" ca="1" si="54"/>
        <v/>
      </c>
      <c r="F190" s="136" t="str">
        <f t="shared" ca="1" si="55"/>
        <v/>
      </c>
      <c r="G190" s="138" t="str">
        <f t="shared" ca="1" si="56"/>
        <v/>
      </c>
      <c r="H190" s="73" t="str">
        <f t="shared" ca="1" si="57"/>
        <v/>
      </c>
      <c r="I190" s="136" t="str">
        <f t="shared" ca="1" si="58"/>
        <v/>
      </c>
      <c r="J190" s="138" t="str">
        <f t="shared" ca="1" si="59"/>
        <v/>
      </c>
      <c r="K190" s="73" t="str">
        <f t="shared" ca="1" si="60"/>
        <v/>
      </c>
      <c r="L190" s="136" t="str">
        <f t="shared" ca="1" si="61"/>
        <v/>
      </c>
      <c r="M190" s="138" t="str">
        <f t="shared" ca="1" si="62"/>
        <v/>
      </c>
      <c r="N190" s="73" t="str">
        <f t="shared" ca="1" si="63"/>
        <v/>
      </c>
      <c r="O190" s="136" t="str">
        <f t="shared" ca="1" si="64"/>
        <v/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 t="str">
        <f t="shared" ca="1" si="52"/>
        <v/>
      </c>
      <c r="D191" s="138" t="str">
        <f t="shared" ca="1" si="53"/>
        <v/>
      </c>
      <c r="E191" s="73" t="str">
        <f t="shared" ca="1" si="54"/>
        <v/>
      </c>
      <c r="F191" s="136" t="str">
        <f t="shared" ca="1" si="55"/>
        <v/>
      </c>
      <c r="G191" s="138" t="str">
        <f t="shared" ca="1" si="56"/>
        <v/>
      </c>
      <c r="H191" s="73" t="str">
        <f t="shared" ca="1" si="57"/>
        <v/>
      </c>
      <c r="I191" s="136" t="str">
        <f t="shared" ca="1" si="58"/>
        <v/>
      </c>
      <c r="J191" s="138" t="str">
        <f t="shared" ca="1" si="59"/>
        <v/>
      </c>
      <c r="K191" s="73" t="str">
        <f t="shared" ca="1" si="60"/>
        <v/>
      </c>
      <c r="L191" s="136" t="str">
        <f t="shared" ca="1" si="61"/>
        <v/>
      </c>
      <c r="M191" s="138" t="str">
        <f t="shared" ca="1" si="62"/>
        <v/>
      </c>
      <c r="N191" s="73" t="str">
        <f t="shared" ca="1" si="63"/>
        <v/>
      </c>
      <c r="O191" s="136" t="str">
        <f t="shared" ca="1" si="64"/>
        <v/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 t="str">
        <f t="shared" ca="1" si="52"/>
        <v/>
      </c>
      <c r="D192" s="138" t="str">
        <f t="shared" ca="1" si="53"/>
        <v/>
      </c>
      <c r="E192" s="73" t="str">
        <f t="shared" ca="1" si="54"/>
        <v/>
      </c>
      <c r="F192" s="136" t="str">
        <f t="shared" ca="1" si="55"/>
        <v/>
      </c>
      <c r="G192" s="138" t="str">
        <f t="shared" ca="1" si="56"/>
        <v/>
      </c>
      <c r="H192" s="73" t="str">
        <f t="shared" ca="1" si="57"/>
        <v/>
      </c>
      <c r="I192" s="136" t="str">
        <f t="shared" ca="1" si="58"/>
        <v/>
      </c>
      <c r="J192" s="138" t="str">
        <f t="shared" ca="1" si="59"/>
        <v/>
      </c>
      <c r="K192" s="73" t="str">
        <f t="shared" ca="1" si="60"/>
        <v/>
      </c>
      <c r="L192" s="136" t="str">
        <f t="shared" ca="1" si="61"/>
        <v/>
      </c>
      <c r="M192" s="138" t="str">
        <f t="shared" ca="1" si="62"/>
        <v/>
      </c>
      <c r="N192" s="73" t="str">
        <f t="shared" ca="1" si="63"/>
        <v/>
      </c>
      <c r="O192" s="136" t="str">
        <f t="shared" ca="1" si="64"/>
        <v/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 t="str">
        <f t="shared" ca="1" si="52"/>
        <v/>
      </c>
      <c r="D193" s="138" t="str">
        <f t="shared" ca="1" si="53"/>
        <v/>
      </c>
      <c r="E193" s="73" t="str">
        <f t="shared" ca="1" si="54"/>
        <v/>
      </c>
      <c r="F193" s="136" t="str">
        <f t="shared" ca="1" si="55"/>
        <v/>
      </c>
      <c r="G193" s="138" t="str">
        <f t="shared" ca="1" si="56"/>
        <v/>
      </c>
      <c r="H193" s="73" t="str">
        <f t="shared" ca="1" si="57"/>
        <v/>
      </c>
      <c r="I193" s="136" t="str">
        <f t="shared" ca="1" si="58"/>
        <v/>
      </c>
      <c r="J193" s="138" t="str">
        <f t="shared" ca="1" si="59"/>
        <v/>
      </c>
      <c r="K193" s="73" t="str">
        <f t="shared" ca="1" si="60"/>
        <v/>
      </c>
      <c r="L193" s="136" t="str">
        <f t="shared" ca="1" si="61"/>
        <v/>
      </c>
      <c r="M193" s="138" t="str">
        <f t="shared" ca="1" si="62"/>
        <v/>
      </c>
      <c r="N193" s="73" t="str">
        <f t="shared" ca="1" si="63"/>
        <v/>
      </c>
      <c r="O193" s="136" t="str">
        <f t="shared" ca="1" si="64"/>
        <v/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 t="str">
        <f t="shared" ca="1" si="52"/>
        <v/>
      </c>
      <c r="D194" s="138" t="str">
        <f t="shared" ca="1" si="53"/>
        <v/>
      </c>
      <c r="E194" s="73" t="str">
        <f t="shared" ca="1" si="54"/>
        <v/>
      </c>
      <c r="F194" s="136" t="str">
        <f t="shared" ca="1" si="55"/>
        <v/>
      </c>
      <c r="G194" s="138" t="str">
        <f t="shared" ca="1" si="56"/>
        <v/>
      </c>
      <c r="H194" s="73" t="str">
        <f t="shared" ca="1" si="57"/>
        <v/>
      </c>
      <c r="I194" s="136" t="str">
        <f t="shared" ca="1" si="58"/>
        <v/>
      </c>
      <c r="J194" s="138" t="str">
        <f t="shared" ca="1" si="59"/>
        <v/>
      </c>
      <c r="K194" s="73" t="str">
        <f t="shared" ca="1" si="60"/>
        <v/>
      </c>
      <c r="L194" s="136" t="str">
        <f t="shared" ca="1" si="61"/>
        <v/>
      </c>
      <c r="M194" s="138" t="str">
        <f t="shared" ca="1" si="62"/>
        <v/>
      </c>
      <c r="N194" s="73" t="str">
        <f t="shared" ca="1" si="63"/>
        <v/>
      </c>
      <c r="O194" s="136" t="str">
        <f t="shared" ca="1" si="64"/>
        <v/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 t="str">
        <f t="shared" ca="1" si="52"/>
        <v/>
      </c>
      <c r="D195" s="141" t="str">
        <f t="shared" ca="1" si="53"/>
        <v/>
      </c>
      <c r="E195" s="72" t="str">
        <f t="shared" ca="1" si="54"/>
        <v/>
      </c>
      <c r="F195" s="140" t="str">
        <f t="shared" ca="1" si="55"/>
        <v/>
      </c>
      <c r="G195" s="141" t="str">
        <f t="shared" ca="1" si="56"/>
        <v/>
      </c>
      <c r="H195" s="72" t="str">
        <f t="shared" ca="1" si="57"/>
        <v/>
      </c>
      <c r="I195" s="140" t="str">
        <f t="shared" ca="1" si="58"/>
        <v/>
      </c>
      <c r="J195" s="141" t="str">
        <f t="shared" ca="1" si="59"/>
        <v/>
      </c>
      <c r="K195" s="72" t="str">
        <f t="shared" ca="1" si="60"/>
        <v/>
      </c>
      <c r="L195" s="140" t="str">
        <f t="shared" ca="1" si="61"/>
        <v/>
      </c>
      <c r="M195" s="141" t="str">
        <f t="shared" ca="1" si="62"/>
        <v/>
      </c>
      <c r="N195" s="72" t="str">
        <f t="shared" ca="1" si="63"/>
        <v/>
      </c>
      <c r="O195" s="140" t="str">
        <f t="shared" ca="1" si="64"/>
        <v/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 t="str">
        <f t="shared" ca="1" si="52"/>
        <v/>
      </c>
      <c r="D196" s="138" t="str">
        <f t="shared" ca="1" si="53"/>
        <v/>
      </c>
      <c r="E196" s="73" t="str">
        <f t="shared" ca="1" si="54"/>
        <v/>
      </c>
      <c r="F196" s="136" t="str">
        <f t="shared" ca="1" si="55"/>
        <v/>
      </c>
      <c r="G196" s="138" t="str">
        <f t="shared" ca="1" si="56"/>
        <v/>
      </c>
      <c r="H196" s="73" t="str">
        <f t="shared" ca="1" si="57"/>
        <v/>
      </c>
      <c r="I196" s="136" t="str">
        <f t="shared" ca="1" si="58"/>
        <v/>
      </c>
      <c r="J196" s="138" t="str">
        <f t="shared" ca="1" si="59"/>
        <v/>
      </c>
      <c r="K196" s="73" t="str">
        <f t="shared" ca="1" si="60"/>
        <v/>
      </c>
      <c r="L196" s="136" t="str">
        <f t="shared" ca="1" si="61"/>
        <v/>
      </c>
      <c r="M196" s="138" t="str">
        <f t="shared" ca="1" si="62"/>
        <v/>
      </c>
      <c r="N196" s="73" t="str">
        <f t="shared" ca="1" si="63"/>
        <v/>
      </c>
      <c r="O196" s="136" t="str">
        <f t="shared" ca="1" si="64"/>
        <v/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 t="str">
        <f t="shared" ca="1" si="52"/>
        <v/>
      </c>
      <c r="D197" s="138" t="str">
        <f t="shared" ca="1" si="53"/>
        <v/>
      </c>
      <c r="E197" s="73" t="str">
        <f t="shared" ca="1" si="54"/>
        <v/>
      </c>
      <c r="F197" s="136" t="str">
        <f t="shared" ca="1" si="55"/>
        <v/>
      </c>
      <c r="G197" s="138" t="str">
        <f t="shared" ca="1" si="56"/>
        <v/>
      </c>
      <c r="H197" s="73" t="str">
        <f t="shared" ca="1" si="57"/>
        <v/>
      </c>
      <c r="I197" s="136" t="str">
        <f t="shared" ca="1" si="58"/>
        <v/>
      </c>
      <c r="J197" s="138" t="str">
        <f t="shared" ca="1" si="59"/>
        <v/>
      </c>
      <c r="K197" s="73" t="str">
        <f t="shared" ca="1" si="60"/>
        <v/>
      </c>
      <c r="L197" s="136" t="str">
        <f t="shared" ca="1" si="61"/>
        <v/>
      </c>
      <c r="M197" s="138" t="str">
        <f t="shared" ca="1" si="62"/>
        <v/>
      </c>
      <c r="N197" s="73" t="str">
        <f t="shared" ca="1" si="63"/>
        <v/>
      </c>
      <c r="O197" s="136" t="str">
        <f t="shared" ca="1" si="64"/>
        <v/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 t="str">
        <f t="shared" ca="1" si="52"/>
        <v/>
      </c>
      <c r="D198" s="138" t="str">
        <f t="shared" ca="1" si="53"/>
        <v/>
      </c>
      <c r="E198" s="73" t="str">
        <f t="shared" ca="1" si="54"/>
        <v/>
      </c>
      <c r="F198" s="136" t="str">
        <f t="shared" ca="1" si="55"/>
        <v/>
      </c>
      <c r="G198" s="138" t="str">
        <f t="shared" ca="1" si="56"/>
        <v/>
      </c>
      <c r="H198" s="73" t="str">
        <f t="shared" ca="1" si="57"/>
        <v/>
      </c>
      <c r="I198" s="136" t="str">
        <f t="shared" ca="1" si="58"/>
        <v/>
      </c>
      <c r="J198" s="138" t="str">
        <f t="shared" ca="1" si="59"/>
        <v/>
      </c>
      <c r="K198" s="73" t="str">
        <f t="shared" ca="1" si="60"/>
        <v/>
      </c>
      <c r="L198" s="136" t="str">
        <f t="shared" ca="1" si="61"/>
        <v/>
      </c>
      <c r="M198" s="138" t="str">
        <f t="shared" ca="1" si="62"/>
        <v/>
      </c>
      <c r="N198" s="73" t="str">
        <f t="shared" ca="1" si="63"/>
        <v/>
      </c>
      <c r="O198" s="136" t="str">
        <f t="shared" ca="1" si="64"/>
        <v/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 t="str">
        <f t="shared" ca="1" si="52"/>
        <v/>
      </c>
      <c r="D199" s="138" t="str">
        <f t="shared" ca="1" si="53"/>
        <v/>
      </c>
      <c r="E199" s="73" t="str">
        <f t="shared" ca="1" si="54"/>
        <v/>
      </c>
      <c r="F199" s="136" t="str">
        <f t="shared" ca="1" si="55"/>
        <v/>
      </c>
      <c r="G199" s="138" t="str">
        <f t="shared" ca="1" si="56"/>
        <v/>
      </c>
      <c r="H199" s="73" t="str">
        <f t="shared" ca="1" si="57"/>
        <v/>
      </c>
      <c r="I199" s="136" t="str">
        <f t="shared" ca="1" si="58"/>
        <v/>
      </c>
      <c r="J199" s="138" t="str">
        <f t="shared" ca="1" si="59"/>
        <v/>
      </c>
      <c r="K199" s="73" t="str">
        <f t="shared" ca="1" si="60"/>
        <v/>
      </c>
      <c r="L199" s="136" t="str">
        <f t="shared" ca="1" si="61"/>
        <v/>
      </c>
      <c r="M199" s="138" t="str">
        <f t="shared" ca="1" si="62"/>
        <v/>
      </c>
      <c r="N199" s="73" t="str">
        <f t="shared" ca="1" si="63"/>
        <v/>
      </c>
      <c r="O199" s="136" t="str">
        <f t="shared" ca="1" si="64"/>
        <v/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250" t="s">
        <v>319</v>
      </c>
      <c r="B205" s="252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256"/>
      <c r="B206" s="258"/>
      <c r="C206" s="135">
        <f ca="1">SUM(C174:C204)</f>
        <v>52950000</v>
      </c>
      <c r="D206" s="139">
        <f ca="1">SUM(D174:D204)</f>
        <v>52303648.020399809</v>
      </c>
      <c r="E206" s="75">
        <f ca="1">IFERROR(F206 / (SUM($C174:$C204) / COUNT($C174:$C204)), 0)</f>
        <v>-0.18310254379608781</v>
      </c>
      <c r="F206" s="137">
        <f ca="1">SUM(F174:F204)</f>
        <v>-646351.97960018995</v>
      </c>
      <c r="G206" s="139">
        <f ca="1">SUM(G174:G204)</f>
        <v>52539458.586480767</v>
      </c>
      <c r="H206" s="75">
        <f ca="1">IFERROR(I206 / (SUM($C174:$C204) / COUNT($C174:$C204)), 0)</f>
        <v>-0.11630068371649303</v>
      </c>
      <c r="I206" s="137">
        <f ca="1">SUM(I174:I204)</f>
        <v>-410541.41351922043</v>
      </c>
      <c r="J206" s="139">
        <f ca="1">SUM(J174:J204)</f>
        <v>52781457.641888253</v>
      </c>
      <c r="K206" s="75">
        <f ca="1">IFERROR(L206 / (SUM($C174:$C204) / COUNT($C174:$C204)), 0)</f>
        <v>-4.7745710513245616E-2</v>
      </c>
      <c r="L206" s="137">
        <f ca="1">SUM(L174:L204)</f>
        <v>-168542.35811175703</v>
      </c>
      <c r="M206" s="139">
        <f ca="1">SUM(M174:M204)</f>
        <v>52525692.781196758</v>
      </c>
      <c r="N206" s="75">
        <f ca="1">IFERROR(O206 / (SUM($C174:$C204) / COUNT($C174:$C204)), 0)</f>
        <v>-0.12020034527003877</v>
      </c>
      <c r="O206" s="137">
        <f ca="1">SUM(O174:O204)</f>
        <v>-424307.21880323684</v>
      </c>
    </row>
    <row r="208" spans="1:15" ht="16.5" customHeight="1" thickBot="1"/>
    <row r="209" spans="1:15" ht="16.5" customHeight="1" thickBot="1">
      <c r="A209" s="241" t="str">
        <f>TEXT(투자전략!$G$1, "[$-ko-KR]yyyy년 mm월 ") &amp; "[동전코인] 전일대비 상승률 Bottom20 월말결산"</f>
        <v>2021년 05월 [동전코인] 전일대비 상승률 Bottom20 월말결산</v>
      </c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3"/>
    </row>
    <row r="210" spans="1:15" ht="16.5" customHeight="1" thickBot="1">
      <c r="A210" s="302" t="s">
        <v>320</v>
      </c>
      <c r="B210" s="256" t="s">
        <v>318</v>
      </c>
      <c r="C210" s="258"/>
      <c r="D210" s="256" t="s">
        <v>310</v>
      </c>
      <c r="E210" s="257"/>
      <c r="F210" s="258"/>
      <c r="G210" s="256" t="s">
        <v>311</v>
      </c>
      <c r="H210" s="257"/>
      <c r="I210" s="258"/>
      <c r="J210" s="256" t="s">
        <v>312</v>
      </c>
      <c r="K210" s="257"/>
      <c r="L210" s="258"/>
      <c r="M210" s="256" t="s">
        <v>313</v>
      </c>
      <c r="N210" s="257"/>
      <c r="O210" s="258"/>
    </row>
    <row r="211" spans="1:15" ht="16.5" customHeight="1" thickBot="1">
      <c r="A211" s="306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2792989.9459936251</v>
      </c>
      <c r="E222" s="73">
        <f t="shared" ca="1" si="67"/>
        <v>-6.9003351335458304E-2</v>
      </c>
      <c r="F222" s="136">
        <f t="shared" ca="1" si="68"/>
        <v>-207010.05400637494</v>
      </c>
      <c r="G222" s="138">
        <f t="shared" ca="1" si="69"/>
        <v>2898175.7702186247</v>
      </c>
      <c r="H222" s="73">
        <f t="shared" ca="1" si="70"/>
        <v>-3.3941409927125035E-2</v>
      </c>
      <c r="I222" s="136">
        <f t="shared" ca="1" si="71"/>
        <v>-101824.22978137511</v>
      </c>
      <c r="J222" s="138">
        <f t="shared" ca="1" si="72"/>
        <v>2923188.9934522812</v>
      </c>
      <c r="K222" s="73">
        <f t="shared" ca="1" si="73"/>
        <v>-2.5603668849239626E-2</v>
      </c>
      <c r="L222" s="136">
        <f t="shared" ca="1" si="74"/>
        <v>-76811.006547718862</v>
      </c>
      <c r="M222" s="138">
        <f t="shared" ca="1" si="75"/>
        <v>2908549.0169540797</v>
      </c>
      <c r="N222" s="73">
        <f t="shared" ca="1" si="76"/>
        <v>-3.0483661015306751E-2</v>
      </c>
      <c r="O222" s="136">
        <f t="shared" ca="1" si="77"/>
        <v>-91450.983045920249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>
        <f t="shared" ca="1" si="65"/>
        <v>3000000</v>
      </c>
      <c r="D223" s="138">
        <f t="shared" ca="1" si="66"/>
        <v>3134864.7363630887</v>
      </c>
      <c r="E223" s="73">
        <f t="shared" ca="1" si="67"/>
        <v>4.4954912121029464E-2</v>
      </c>
      <c r="F223" s="136">
        <f t="shared" ca="1" si="68"/>
        <v>134864.73636308839</v>
      </c>
      <c r="G223" s="138">
        <f t="shared" ca="1" si="69"/>
        <v>3092523.3134851987</v>
      </c>
      <c r="H223" s="73">
        <f t="shared" ca="1" si="70"/>
        <v>3.0841104495066319E-2</v>
      </c>
      <c r="I223" s="136">
        <f t="shared" ca="1" si="71"/>
        <v>92523.313485198931</v>
      </c>
      <c r="J223" s="138">
        <f t="shared" ca="1" si="72"/>
        <v>3088803.7898265687</v>
      </c>
      <c r="K223" s="73">
        <f t="shared" ca="1" si="73"/>
        <v>2.9601263275522861E-2</v>
      </c>
      <c r="L223" s="136">
        <f t="shared" ca="1" si="74"/>
        <v>88803.789826568594</v>
      </c>
      <c r="M223" s="138">
        <f t="shared" ca="1" si="75"/>
        <v>3019329.8338124263</v>
      </c>
      <c r="N223" s="73">
        <f t="shared" ca="1" si="76"/>
        <v>6.4432779374755363E-3</v>
      </c>
      <c r="O223" s="136">
        <f t="shared" ca="1" si="77"/>
        <v>19329.833812426608</v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>
        <f t="shared" ca="1" si="65"/>
        <v>3000000</v>
      </c>
      <c r="D224" s="138">
        <f t="shared" ca="1" si="66"/>
        <v>2807934.8125050361</v>
      </c>
      <c r="E224" s="73">
        <f t="shared" ca="1" si="67"/>
        <v>-6.4021729164987939E-2</v>
      </c>
      <c r="F224" s="136">
        <f t="shared" ca="1" si="68"/>
        <v>-192065.1874949639</v>
      </c>
      <c r="G224" s="138">
        <f t="shared" ca="1" si="69"/>
        <v>2730017.0054993574</v>
      </c>
      <c r="H224" s="73">
        <f t="shared" ca="1" si="70"/>
        <v>-8.9994331500214159E-2</v>
      </c>
      <c r="I224" s="136">
        <f t="shared" ca="1" si="71"/>
        <v>-269982.99450064241</v>
      </c>
      <c r="J224" s="138">
        <f t="shared" ca="1" si="72"/>
        <v>2781764.4145028754</v>
      </c>
      <c r="K224" s="73">
        <f t="shared" ca="1" si="73"/>
        <v>-7.2745195165708224E-2</v>
      </c>
      <c r="L224" s="136">
        <f t="shared" ca="1" si="74"/>
        <v>-218235.58549712464</v>
      </c>
      <c r="M224" s="138">
        <f t="shared" ca="1" si="75"/>
        <v>2769615.9677084973</v>
      </c>
      <c r="N224" s="73">
        <f t="shared" ca="1" si="76"/>
        <v>-7.6794677430500835E-2</v>
      </c>
      <c r="O224" s="136">
        <f t="shared" ca="1" si="77"/>
        <v>-230384.03229150255</v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>
        <f t="shared" ca="1" si="65"/>
        <v>3000000</v>
      </c>
      <c r="D225" s="139">
        <f t="shared" ca="1" si="66"/>
        <v>3026802.6613437952</v>
      </c>
      <c r="E225" s="75">
        <f t="shared" ca="1" si="67"/>
        <v>8.934220447931766E-3</v>
      </c>
      <c r="F225" s="137">
        <f t="shared" ca="1" si="68"/>
        <v>26802.661343795306</v>
      </c>
      <c r="G225" s="139">
        <f t="shared" ca="1" si="69"/>
        <v>3060927.4021040685</v>
      </c>
      <c r="H225" s="75">
        <f t="shared" ca="1" si="70"/>
        <v>2.0309134034689487E-2</v>
      </c>
      <c r="I225" s="137">
        <f t="shared" ca="1" si="71"/>
        <v>60927.402104068446</v>
      </c>
      <c r="J225" s="139">
        <f t="shared" ca="1" si="72"/>
        <v>3061975.9083585609</v>
      </c>
      <c r="K225" s="75">
        <f t="shared" ca="1" si="73"/>
        <v>2.0658636119520228E-2</v>
      </c>
      <c r="L225" s="137">
        <f t="shared" ca="1" si="74"/>
        <v>61975.9083585607</v>
      </c>
      <c r="M225" s="139">
        <f t="shared" ca="1" si="75"/>
        <v>3061510.9737652219</v>
      </c>
      <c r="N225" s="75">
        <f t="shared" ca="1" si="76"/>
        <v>2.0503657921740592E-2</v>
      </c>
      <c r="O225" s="137">
        <f t="shared" ca="1" si="77"/>
        <v>61510.973765221788</v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>
        <f t="shared" ca="1" si="65"/>
        <v>3000000</v>
      </c>
      <c r="D226" s="138">
        <f t="shared" ca="1" si="66"/>
        <v>3000000</v>
      </c>
      <c r="E226" s="73">
        <f t="shared" ca="1" si="67"/>
        <v>0</v>
      </c>
      <c r="F226" s="136">
        <f t="shared" ca="1" si="68"/>
        <v>0</v>
      </c>
      <c r="G226" s="138">
        <f t="shared" ca="1" si="69"/>
        <v>3000000</v>
      </c>
      <c r="H226" s="73">
        <f t="shared" ca="1" si="70"/>
        <v>0</v>
      </c>
      <c r="I226" s="136">
        <f t="shared" ca="1" si="71"/>
        <v>0</v>
      </c>
      <c r="J226" s="138">
        <f t="shared" ca="1" si="72"/>
        <v>3000000</v>
      </c>
      <c r="K226" s="73">
        <f t="shared" ca="1" si="73"/>
        <v>0</v>
      </c>
      <c r="L226" s="136">
        <f t="shared" ca="1" si="74"/>
        <v>0</v>
      </c>
      <c r="M226" s="138">
        <f t="shared" ca="1" si="75"/>
        <v>3000000</v>
      </c>
      <c r="N226" s="73">
        <f t="shared" ca="1" si="76"/>
        <v>0</v>
      </c>
      <c r="O226" s="136">
        <f t="shared" ca="1" si="77"/>
        <v>0</v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 t="str">
        <f t="shared" ca="1" si="65"/>
        <v/>
      </c>
      <c r="D227" s="138" t="str">
        <f t="shared" ca="1" si="66"/>
        <v/>
      </c>
      <c r="E227" s="73" t="str">
        <f t="shared" ca="1" si="67"/>
        <v/>
      </c>
      <c r="F227" s="136" t="str">
        <f t="shared" ca="1" si="68"/>
        <v/>
      </c>
      <c r="G227" s="138" t="str">
        <f t="shared" ca="1" si="69"/>
        <v/>
      </c>
      <c r="H227" s="73" t="str">
        <f t="shared" ca="1" si="70"/>
        <v/>
      </c>
      <c r="I227" s="136" t="str">
        <f t="shared" ca="1" si="71"/>
        <v/>
      </c>
      <c r="J227" s="138" t="str">
        <f t="shared" ca="1" si="72"/>
        <v/>
      </c>
      <c r="K227" s="73" t="str">
        <f t="shared" ca="1" si="73"/>
        <v/>
      </c>
      <c r="L227" s="136" t="str">
        <f t="shared" ca="1" si="74"/>
        <v/>
      </c>
      <c r="M227" s="138" t="str">
        <f t="shared" ca="1" si="75"/>
        <v/>
      </c>
      <c r="N227" s="73" t="str">
        <f t="shared" ca="1" si="76"/>
        <v/>
      </c>
      <c r="O227" s="136" t="str">
        <f t="shared" ca="1" si="77"/>
        <v/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 t="str">
        <f t="shared" ca="1" si="65"/>
        <v/>
      </c>
      <c r="D228" s="138" t="str">
        <f t="shared" ca="1" si="66"/>
        <v/>
      </c>
      <c r="E228" s="73" t="str">
        <f t="shared" ca="1" si="67"/>
        <v/>
      </c>
      <c r="F228" s="136" t="str">
        <f t="shared" ca="1" si="68"/>
        <v/>
      </c>
      <c r="G228" s="138" t="str">
        <f t="shared" ca="1" si="69"/>
        <v/>
      </c>
      <c r="H228" s="73" t="str">
        <f t="shared" ca="1" si="70"/>
        <v/>
      </c>
      <c r="I228" s="136" t="str">
        <f t="shared" ca="1" si="71"/>
        <v/>
      </c>
      <c r="J228" s="138" t="str">
        <f t="shared" ca="1" si="72"/>
        <v/>
      </c>
      <c r="K228" s="73" t="str">
        <f t="shared" ca="1" si="73"/>
        <v/>
      </c>
      <c r="L228" s="136" t="str">
        <f t="shared" ca="1" si="74"/>
        <v/>
      </c>
      <c r="M228" s="138" t="str">
        <f t="shared" ca="1" si="75"/>
        <v/>
      </c>
      <c r="N228" s="73" t="str">
        <f t="shared" ca="1" si="76"/>
        <v/>
      </c>
      <c r="O228" s="136" t="str">
        <f t="shared" ca="1" si="77"/>
        <v/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 t="str">
        <f t="shared" ca="1" si="65"/>
        <v/>
      </c>
      <c r="D229" s="138" t="str">
        <f t="shared" ca="1" si="66"/>
        <v/>
      </c>
      <c r="E229" s="73" t="str">
        <f t="shared" ca="1" si="67"/>
        <v/>
      </c>
      <c r="F229" s="136" t="str">
        <f t="shared" ca="1" si="68"/>
        <v/>
      </c>
      <c r="G229" s="138" t="str">
        <f t="shared" ca="1" si="69"/>
        <v/>
      </c>
      <c r="H229" s="73" t="str">
        <f t="shared" ca="1" si="70"/>
        <v/>
      </c>
      <c r="I229" s="136" t="str">
        <f t="shared" ca="1" si="71"/>
        <v/>
      </c>
      <c r="J229" s="138" t="str">
        <f t="shared" ca="1" si="72"/>
        <v/>
      </c>
      <c r="K229" s="73" t="str">
        <f t="shared" ca="1" si="73"/>
        <v/>
      </c>
      <c r="L229" s="136" t="str">
        <f t="shared" ca="1" si="74"/>
        <v/>
      </c>
      <c r="M229" s="138" t="str">
        <f t="shared" ca="1" si="75"/>
        <v/>
      </c>
      <c r="N229" s="73" t="str">
        <f t="shared" ca="1" si="76"/>
        <v/>
      </c>
      <c r="O229" s="136" t="str">
        <f t="shared" ca="1" si="77"/>
        <v/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 t="str">
        <f t="shared" ca="1" si="65"/>
        <v/>
      </c>
      <c r="D230" s="138" t="str">
        <f t="shared" ca="1" si="66"/>
        <v/>
      </c>
      <c r="E230" s="73" t="str">
        <f t="shared" ca="1" si="67"/>
        <v/>
      </c>
      <c r="F230" s="136" t="str">
        <f t="shared" ca="1" si="68"/>
        <v/>
      </c>
      <c r="G230" s="138" t="str">
        <f t="shared" ca="1" si="69"/>
        <v/>
      </c>
      <c r="H230" s="73" t="str">
        <f t="shared" ca="1" si="70"/>
        <v/>
      </c>
      <c r="I230" s="136" t="str">
        <f t="shared" ca="1" si="71"/>
        <v/>
      </c>
      <c r="J230" s="138" t="str">
        <f t="shared" ca="1" si="72"/>
        <v/>
      </c>
      <c r="K230" s="73" t="str">
        <f t="shared" ca="1" si="73"/>
        <v/>
      </c>
      <c r="L230" s="136" t="str">
        <f t="shared" ca="1" si="74"/>
        <v/>
      </c>
      <c r="M230" s="138" t="str">
        <f t="shared" ca="1" si="75"/>
        <v/>
      </c>
      <c r="N230" s="73" t="str">
        <f t="shared" ca="1" si="76"/>
        <v/>
      </c>
      <c r="O230" s="136" t="str">
        <f t="shared" ca="1" si="77"/>
        <v/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 t="str">
        <f t="shared" ca="1" si="65"/>
        <v/>
      </c>
      <c r="D231" s="138" t="str">
        <f t="shared" ca="1" si="66"/>
        <v/>
      </c>
      <c r="E231" s="73" t="str">
        <f t="shared" ca="1" si="67"/>
        <v/>
      </c>
      <c r="F231" s="136" t="str">
        <f t="shared" ca="1" si="68"/>
        <v/>
      </c>
      <c r="G231" s="138" t="str">
        <f t="shared" ca="1" si="69"/>
        <v/>
      </c>
      <c r="H231" s="73" t="str">
        <f t="shared" ca="1" si="70"/>
        <v/>
      </c>
      <c r="I231" s="136" t="str">
        <f t="shared" ca="1" si="71"/>
        <v/>
      </c>
      <c r="J231" s="138" t="str">
        <f t="shared" ca="1" si="72"/>
        <v/>
      </c>
      <c r="K231" s="73" t="str">
        <f t="shared" ca="1" si="73"/>
        <v/>
      </c>
      <c r="L231" s="136" t="str">
        <f t="shared" ca="1" si="74"/>
        <v/>
      </c>
      <c r="M231" s="138" t="str">
        <f t="shared" ca="1" si="75"/>
        <v/>
      </c>
      <c r="N231" s="73" t="str">
        <f t="shared" ca="1" si="76"/>
        <v/>
      </c>
      <c r="O231" s="136" t="str">
        <f t="shared" ca="1" si="77"/>
        <v/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 t="str">
        <f t="shared" ca="1" si="65"/>
        <v/>
      </c>
      <c r="D232" s="138" t="str">
        <f t="shared" ca="1" si="66"/>
        <v/>
      </c>
      <c r="E232" s="73" t="str">
        <f t="shared" ca="1" si="67"/>
        <v/>
      </c>
      <c r="F232" s="136" t="str">
        <f t="shared" ca="1" si="68"/>
        <v/>
      </c>
      <c r="G232" s="138" t="str">
        <f t="shared" ca="1" si="69"/>
        <v/>
      </c>
      <c r="H232" s="73" t="str">
        <f t="shared" ca="1" si="70"/>
        <v/>
      </c>
      <c r="I232" s="136" t="str">
        <f t="shared" ca="1" si="71"/>
        <v/>
      </c>
      <c r="J232" s="138" t="str">
        <f t="shared" ca="1" si="72"/>
        <v/>
      </c>
      <c r="K232" s="73" t="str">
        <f t="shared" ca="1" si="73"/>
        <v/>
      </c>
      <c r="L232" s="136" t="str">
        <f t="shared" ca="1" si="74"/>
        <v/>
      </c>
      <c r="M232" s="138" t="str">
        <f t="shared" ca="1" si="75"/>
        <v/>
      </c>
      <c r="N232" s="73" t="str">
        <f t="shared" ca="1" si="76"/>
        <v/>
      </c>
      <c r="O232" s="136" t="str">
        <f t="shared" ca="1" si="77"/>
        <v/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 t="str">
        <f t="shared" ca="1" si="65"/>
        <v/>
      </c>
      <c r="D233" s="141" t="str">
        <f t="shared" ca="1" si="66"/>
        <v/>
      </c>
      <c r="E233" s="72" t="str">
        <f t="shared" ca="1" si="67"/>
        <v/>
      </c>
      <c r="F233" s="140" t="str">
        <f t="shared" ca="1" si="68"/>
        <v/>
      </c>
      <c r="G233" s="141" t="str">
        <f t="shared" ca="1" si="69"/>
        <v/>
      </c>
      <c r="H233" s="72" t="str">
        <f t="shared" ca="1" si="70"/>
        <v/>
      </c>
      <c r="I233" s="140" t="str">
        <f t="shared" ca="1" si="71"/>
        <v/>
      </c>
      <c r="J233" s="141" t="str">
        <f t="shared" ca="1" si="72"/>
        <v/>
      </c>
      <c r="K233" s="72" t="str">
        <f t="shared" ca="1" si="73"/>
        <v/>
      </c>
      <c r="L233" s="140" t="str">
        <f t="shared" ca="1" si="74"/>
        <v/>
      </c>
      <c r="M233" s="141" t="str">
        <f t="shared" ca="1" si="75"/>
        <v/>
      </c>
      <c r="N233" s="72" t="str">
        <f t="shared" ca="1" si="76"/>
        <v/>
      </c>
      <c r="O233" s="140" t="str">
        <f t="shared" ca="1" si="77"/>
        <v/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 t="str">
        <f t="shared" ca="1" si="65"/>
        <v/>
      </c>
      <c r="D234" s="138" t="str">
        <f t="shared" ca="1" si="66"/>
        <v/>
      </c>
      <c r="E234" s="73" t="str">
        <f t="shared" ca="1" si="67"/>
        <v/>
      </c>
      <c r="F234" s="136" t="str">
        <f t="shared" ca="1" si="68"/>
        <v/>
      </c>
      <c r="G234" s="138" t="str">
        <f t="shared" ca="1" si="69"/>
        <v/>
      </c>
      <c r="H234" s="73" t="str">
        <f t="shared" ca="1" si="70"/>
        <v/>
      </c>
      <c r="I234" s="136" t="str">
        <f t="shared" ca="1" si="71"/>
        <v/>
      </c>
      <c r="J234" s="138" t="str">
        <f t="shared" ca="1" si="72"/>
        <v/>
      </c>
      <c r="K234" s="73" t="str">
        <f t="shared" ca="1" si="73"/>
        <v/>
      </c>
      <c r="L234" s="136" t="str">
        <f t="shared" ca="1" si="74"/>
        <v/>
      </c>
      <c r="M234" s="138" t="str">
        <f t="shared" ca="1" si="75"/>
        <v/>
      </c>
      <c r="N234" s="73" t="str">
        <f t="shared" ca="1" si="76"/>
        <v/>
      </c>
      <c r="O234" s="136" t="str">
        <f t="shared" ca="1" si="77"/>
        <v/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 t="str">
        <f t="shared" ca="1" si="65"/>
        <v/>
      </c>
      <c r="D235" s="138" t="str">
        <f t="shared" ca="1" si="66"/>
        <v/>
      </c>
      <c r="E235" s="73" t="str">
        <f t="shared" ca="1" si="67"/>
        <v/>
      </c>
      <c r="F235" s="136" t="str">
        <f t="shared" ca="1" si="68"/>
        <v/>
      </c>
      <c r="G235" s="138" t="str">
        <f t="shared" ca="1" si="69"/>
        <v/>
      </c>
      <c r="H235" s="73" t="str">
        <f t="shared" ca="1" si="70"/>
        <v/>
      </c>
      <c r="I235" s="136" t="str">
        <f t="shared" ca="1" si="71"/>
        <v/>
      </c>
      <c r="J235" s="138" t="str">
        <f t="shared" ca="1" si="72"/>
        <v/>
      </c>
      <c r="K235" s="73" t="str">
        <f t="shared" ca="1" si="73"/>
        <v/>
      </c>
      <c r="L235" s="136" t="str">
        <f t="shared" ca="1" si="74"/>
        <v/>
      </c>
      <c r="M235" s="138" t="str">
        <f t="shared" ca="1" si="75"/>
        <v/>
      </c>
      <c r="N235" s="73" t="str">
        <f t="shared" ca="1" si="76"/>
        <v/>
      </c>
      <c r="O235" s="136" t="str">
        <f t="shared" ca="1" si="77"/>
        <v/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 t="str">
        <f t="shared" ca="1" si="65"/>
        <v/>
      </c>
      <c r="D236" s="138" t="str">
        <f t="shared" ca="1" si="66"/>
        <v/>
      </c>
      <c r="E236" s="73" t="str">
        <f t="shared" ca="1" si="67"/>
        <v/>
      </c>
      <c r="F236" s="136" t="str">
        <f t="shared" ca="1" si="68"/>
        <v/>
      </c>
      <c r="G236" s="138" t="str">
        <f t="shared" ca="1" si="69"/>
        <v/>
      </c>
      <c r="H236" s="73" t="str">
        <f t="shared" ca="1" si="70"/>
        <v/>
      </c>
      <c r="I236" s="136" t="str">
        <f t="shared" ca="1" si="71"/>
        <v/>
      </c>
      <c r="J236" s="138" t="str">
        <f t="shared" ca="1" si="72"/>
        <v/>
      </c>
      <c r="K236" s="73" t="str">
        <f t="shared" ca="1" si="73"/>
        <v/>
      </c>
      <c r="L236" s="136" t="str">
        <f t="shared" ca="1" si="74"/>
        <v/>
      </c>
      <c r="M236" s="138" t="str">
        <f t="shared" ca="1" si="75"/>
        <v/>
      </c>
      <c r="N236" s="73" t="str">
        <f t="shared" ca="1" si="76"/>
        <v/>
      </c>
      <c r="O236" s="136" t="str">
        <f t="shared" ca="1" si="77"/>
        <v/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 t="str">
        <f t="shared" ca="1" si="65"/>
        <v/>
      </c>
      <c r="D237" s="138" t="str">
        <f t="shared" ca="1" si="66"/>
        <v/>
      </c>
      <c r="E237" s="73" t="str">
        <f t="shared" ca="1" si="67"/>
        <v/>
      </c>
      <c r="F237" s="136" t="str">
        <f t="shared" ca="1" si="68"/>
        <v/>
      </c>
      <c r="G237" s="138" t="str">
        <f t="shared" ca="1" si="69"/>
        <v/>
      </c>
      <c r="H237" s="73" t="str">
        <f t="shared" ca="1" si="70"/>
        <v/>
      </c>
      <c r="I237" s="136" t="str">
        <f t="shared" ca="1" si="71"/>
        <v/>
      </c>
      <c r="J237" s="138" t="str">
        <f t="shared" ca="1" si="72"/>
        <v/>
      </c>
      <c r="K237" s="73" t="str">
        <f t="shared" ca="1" si="73"/>
        <v/>
      </c>
      <c r="L237" s="136" t="str">
        <f t="shared" ca="1" si="74"/>
        <v/>
      </c>
      <c r="M237" s="138" t="str">
        <f t="shared" ca="1" si="75"/>
        <v/>
      </c>
      <c r="N237" s="73" t="str">
        <f t="shared" ca="1" si="76"/>
        <v/>
      </c>
      <c r="O237" s="136" t="str">
        <f t="shared" ca="1" si="77"/>
        <v/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250" t="s">
        <v>319</v>
      </c>
      <c r="B243" s="252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256"/>
      <c r="B244" s="258"/>
      <c r="C244" s="135">
        <f ca="1">SUM(C212:C242)</f>
        <v>57000000</v>
      </c>
      <c r="D244" s="139">
        <f ca="1">SUM(D212:D242)</f>
        <v>56449402.945425987</v>
      </c>
      <c r="E244" s="75">
        <f ca="1">IFERROR(F244 / (SUM($C212:$C242) / COUNT($C212:$C242)), 0)</f>
        <v>-0.14489396173000427</v>
      </c>
      <c r="F244" s="137">
        <f ca="1">SUM(F212:F242)</f>
        <v>-550597.05457401625</v>
      </c>
      <c r="G244" s="139">
        <f ca="1">SUM(G212:G242)</f>
        <v>56684686.675613448</v>
      </c>
      <c r="H244" s="75">
        <f ca="1">IFERROR(I244 / (SUM($C212:$C242) / COUNT($C212:$C242)), 0)</f>
        <v>-8.297719062803989E-2</v>
      </c>
      <c r="I244" s="137">
        <f ca="1">SUM(I212:I242)</f>
        <v>-315313.32438655157</v>
      </c>
      <c r="J244" s="139">
        <f ca="1">SUM(J212:J242)</f>
        <v>56831684.702124313</v>
      </c>
      <c r="K244" s="75">
        <f ca="1">IFERROR(L244 / (SUM($C212:$C242) / COUNT($C212:$C242)), 0)</f>
        <v>-4.4293499440971974E-2</v>
      </c>
      <c r="L244" s="137">
        <f ca="1">SUM(L212:L242)</f>
        <v>-168315.2978756935</v>
      </c>
      <c r="M244" s="139">
        <f ca="1">SUM(M212:M242)</f>
        <v>56614837.843354575</v>
      </c>
      <c r="N244" s="75">
        <f ca="1">IFERROR(O244 / (SUM($C212:$C242) / COUNT($C212:$C242)), 0)</f>
        <v>-0.10135846227510961</v>
      </c>
      <c r="O244" s="137">
        <f ca="1">SUM(O212:O242)</f>
        <v>-385162.15664541651</v>
      </c>
    </row>
    <row r="246" spans="1:15" ht="16.5" customHeight="1" thickBot="1"/>
    <row r="247" spans="1:15" ht="16.5" customHeight="1" thickBot="1">
      <c r="A247" s="241" t="str">
        <f>TEXT(투자전략!$G$1, "[$-ko-KR]yyyy년 mm월 ") &amp; "전일대비 상승률 Bottom20 월말결산"</f>
        <v>2021년 05월 전일대비 상승률 Bottom20 월말결산</v>
      </c>
      <c r="B247" s="242"/>
      <c r="C247" s="242"/>
      <c r="D247" s="242"/>
      <c r="E247" s="242"/>
      <c r="F247" s="242"/>
      <c r="G247" s="242"/>
      <c r="H247" s="242"/>
      <c r="I247" s="242"/>
      <c r="J247" s="242"/>
      <c r="K247" s="242"/>
      <c r="L247" s="242"/>
      <c r="M247" s="242"/>
      <c r="N247" s="242"/>
      <c r="O247" s="243"/>
    </row>
    <row r="248" spans="1:15" ht="16.5" customHeight="1" thickBot="1">
      <c r="A248" s="302" t="s">
        <v>320</v>
      </c>
      <c r="B248" s="256" t="s">
        <v>318</v>
      </c>
      <c r="C248" s="258"/>
      <c r="D248" s="256" t="s">
        <v>310</v>
      </c>
      <c r="E248" s="257"/>
      <c r="F248" s="258"/>
      <c r="G248" s="256" t="s">
        <v>311</v>
      </c>
      <c r="H248" s="257"/>
      <c r="I248" s="258"/>
      <c r="J248" s="256" t="s">
        <v>312</v>
      </c>
      <c r="K248" s="257"/>
      <c r="L248" s="258"/>
      <c r="M248" s="256" t="s">
        <v>313</v>
      </c>
      <c r="N248" s="257"/>
      <c r="O248" s="258"/>
    </row>
    <row r="249" spans="1:15" ht="16.5" customHeight="1" thickBot="1">
      <c r="A249" s="306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2741496.0531688072</v>
      </c>
      <c r="E260" s="73">
        <f t="shared" ca="1" si="80"/>
        <v>-8.6167982277064181E-2</v>
      </c>
      <c r="F260" s="136">
        <f t="shared" ca="1" si="81"/>
        <v>-258503.94683119259</v>
      </c>
      <c r="G260" s="138">
        <f t="shared" ca="1" si="82"/>
        <v>2836212.6650346192</v>
      </c>
      <c r="H260" s="73">
        <f t="shared" ca="1" si="83"/>
        <v>-5.4595778321793666E-2</v>
      </c>
      <c r="I260" s="136">
        <f t="shared" ca="1" si="84"/>
        <v>-163787.33496538099</v>
      </c>
      <c r="J260" s="138">
        <f t="shared" ca="1" si="85"/>
        <v>2830591.4992716932</v>
      </c>
      <c r="K260" s="73">
        <f t="shared" ca="1" si="86"/>
        <v>-5.6469500242768936E-2</v>
      </c>
      <c r="L260" s="136">
        <f t="shared" ca="1" si="87"/>
        <v>-169408.50072830683</v>
      </c>
      <c r="M260" s="138">
        <f t="shared" ca="1" si="88"/>
        <v>2849463.3383521521</v>
      </c>
      <c r="N260" s="73">
        <f t="shared" ca="1" si="89"/>
        <v>-5.0178887215949319E-2</v>
      </c>
      <c r="O260" s="136">
        <f t="shared" ca="1" si="90"/>
        <v>-150536.66164784797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>
        <f t="shared" ca="1" si="78"/>
        <v>3000000</v>
      </c>
      <c r="D261" s="138">
        <f t="shared" ca="1" si="79"/>
        <v>3176528.6232883516</v>
      </c>
      <c r="E261" s="73">
        <f t="shared" ca="1" si="80"/>
        <v>5.8842874429450562E-2</v>
      </c>
      <c r="F261" s="136">
        <f t="shared" ca="1" si="81"/>
        <v>176528.62328835172</v>
      </c>
      <c r="G261" s="138">
        <f t="shared" ca="1" si="82"/>
        <v>3105212.107697716</v>
      </c>
      <c r="H261" s="73">
        <f t="shared" ca="1" si="83"/>
        <v>3.507070256590529E-2</v>
      </c>
      <c r="I261" s="136">
        <f t="shared" ca="1" si="84"/>
        <v>105212.10769771587</v>
      </c>
      <c r="J261" s="138">
        <f t="shared" ca="1" si="85"/>
        <v>3101318.0260302974</v>
      </c>
      <c r="K261" s="73">
        <f t="shared" ca="1" si="86"/>
        <v>3.3772675343432375E-2</v>
      </c>
      <c r="L261" s="136">
        <f t="shared" ca="1" si="87"/>
        <v>101318.02603029711</v>
      </c>
      <c r="M261" s="138">
        <f t="shared" ca="1" si="88"/>
        <v>3033390.8398351013</v>
      </c>
      <c r="N261" s="73">
        <f t="shared" ca="1" si="89"/>
        <v>1.1130279945033789E-2</v>
      </c>
      <c r="O261" s="136">
        <f t="shared" ca="1" si="90"/>
        <v>33390.839835101375</v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>
        <f t="shared" ca="1" si="78"/>
        <v>3000000</v>
      </c>
      <c r="D262" s="138">
        <f t="shared" ca="1" si="79"/>
        <v>2710790.3898423831</v>
      </c>
      <c r="E262" s="73">
        <f t="shared" ca="1" si="80"/>
        <v>-9.6403203385872244E-2</v>
      </c>
      <c r="F262" s="136">
        <f t="shared" ca="1" si="81"/>
        <v>-289209.61015761673</v>
      </c>
      <c r="G262" s="138">
        <f t="shared" ca="1" si="82"/>
        <v>2633856.3976531895</v>
      </c>
      <c r="H262" s="73">
        <f t="shared" ca="1" si="83"/>
        <v>-0.12204786744893677</v>
      </c>
      <c r="I262" s="136">
        <f t="shared" ca="1" si="84"/>
        <v>-366143.60234681022</v>
      </c>
      <c r="J262" s="138">
        <f t="shared" ca="1" si="85"/>
        <v>2681296.5485630343</v>
      </c>
      <c r="K262" s="73">
        <f t="shared" ca="1" si="86"/>
        <v>-0.10623448381232192</v>
      </c>
      <c r="L262" s="136">
        <f t="shared" ca="1" si="87"/>
        <v>-318703.45143696573</v>
      </c>
      <c r="M262" s="138">
        <f t="shared" ca="1" si="88"/>
        <v>2667785.8796449183</v>
      </c>
      <c r="N262" s="73">
        <f t="shared" ca="1" si="89"/>
        <v>-0.11073804011836061</v>
      </c>
      <c r="O262" s="136">
        <f t="shared" ca="1" si="90"/>
        <v>-332214.12035508174</v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>
        <f t="shared" ca="1" si="78"/>
        <v>3000000</v>
      </c>
      <c r="D263" s="139">
        <f t="shared" ca="1" si="79"/>
        <v>3001484.6435196167</v>
      </c>
      <c r="E263" s="75">
        <f t="shared" ca="1" si="80"/>
        <v>4.9488117320544529E-4</v>
      </c>
      <c r="F263" s="137">
        <f t="shared" ca="1" si="81"/>
        <v>1484.6435196163311</v>
      </c>
      <c r="G263" s="139">
        <f t="shared" ca="1" si="82"/>
        <v>3034036.7535447511</v>
      </c>
      <c r="H263" s="75">
        <f t="shared" ca="1" si="83"/>
        <v>1.1345584514917026E-2</v>
      </c>
      <c r="I263" s="137">
        <f t="shared" ca="1" si="84"/>
        <v>34036.75354475106</v>
      </c>
      <c r="J263" s="139">
        <f t="shared" ca="1" si="85"/>
        <v>3051188.7207487542</v>
      </c>
      <c r="K263" s="75">
        <f t="shared" ca="1" si="86"/>
        <v>1.7062906916251362E-2</v>
      </c>
      <c r="L263" s="137">
        <f t="shared" ca="1" si="87"/>
        <v>51188.720748754095</v>
      </c>
      <c r="M263" s="139">
        <f t="shared" ca="1" si="88"/>
        <v>3055929.9471400003</v>
      </c>
      <c r="N263" s="75">
        <f t="shared" ca="1" si="89"/>
        <v>1.8643315713333362E-2</v>
      </c>
      <c r="O263" s="137">
        <f t="shared" ca="1" si="90"/>
        <v>55929.947140000091</v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>
        <f t="shared" ca="1" si="78"/>
        <v>3000000</v>
      </c>
      <c r="D264" s="138">
        <f t="shared" ca="1" si="79"/>
        <v>3000000</v>
      </c>
      <c r="E264" s="73">
        <f t="shared" ca="1" si="80"/>
        <v>0</v>
      </c>
      <c r="F264" s="136">
        <f t="shared" ca="1" si="81"/>
        <v>0</v>
      </c>
      <c r="G264" s="138">
        <f t="shared" ca="1" si="82"/>
        <v>3000000</v>
      </c>
      <c r="H264" s="73">
        <f t="shared" ca="1" si="83"/>
        <v>0</v>
      </c>
      <c r="I264" s="136">
        <f t="shared" ca="1" si="84"/>
        <v>0</v>
      </c>
      <c r="J264" s="138">
        <f t="shared" ca="1" si="85"/>
        <v>3000000</v>
      </c>
      <c r="K264" s="73">
        <f t="shared" ca="1" si="86"/>
        <v>0</v>
      </c>
      <c r="L264" s="136">
        <f t="shared" ca="1" si="87"/>
        <v>0</v>
      </c>
      <c r="M264" s="138">
        <f t="shared" ca="1" si="88"/>
        <v>3000000</v>
      </c>
      <c r="N264" s="73">
        <f t="shared" ca="1" si="89"/>
        <v>0</v>
      </c>
      <c r="O264" s="136">
        <f t="shared" ca="1" si="90"/>
        <v>0</v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 t="str">
        <f t="shared" ca="1" si="78"/>
        <v/>
      </c>
      <c r="D265" s="138" t="str">
        <f t="shared" ca="1" si="79"/>
        <v/>
      </c>
      <c r="E265" s="73" t="str">
        <f t="shared" ca="1" si="80"/>
        <v/>
      </c>
      <c r="F265" s="136" t="str">
        <f t="shared" ca="1" si="81"/>
        <v/>
      </c>
      <c r="G265" s="138" t="str">
        <f t="shared" ca="1" si="82"/>
        <v/>
      </c>
      <c r="H265" s="73" t="str">
        <f t="shared" ca="1" si="83"/>
        <v/>
      </c>
      <c r="I265" s="136" t="str">
        <f t="shared" ca="1" si="84"/>
        <v/>
      </c>
      <c r="J265" s="138" t="str">
        <f t="shared" ca="1" si="85"/>
        <v/>
      </c>
      <c r="K265" s="73" t="str">
        <f t="shared" ca="1" si="86"/>
        <v/>
      </c>
      <c r="L265" s="136" t="str">
        <f t="shared" ca="1" si="87"/>
        <v/>
      </c>
      <c r="M265" s="138" t="str">
        <f t="shared" ca="1" si="88"/>
        <v/>
      </c>
      <c r="N265" s="73" t="str">
        <f t="shared" ca="1" si="89"/>
        <v/>
      </c>
      <c r="O265" s="136" t="str">
        <f t="shared" ca="1" si="90"/>
        <v/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 t="str">
        <f t="shared" ca="1" si="78"/>
        <v/>
      </c>
      <c r="D266" s="138" t="str">
        <f t="shared" ca="1" si="79"/>
        <v/>
      </c>
      <c r="E266" s="73" t="str">
        <f t="shared" ca="1" si="80"/>
        <v/>
      </c>
      <c r="F266" s="136" t="str">
        <f t="shared" ca="1" si="81"/>
        <v/>
      </c>
      <c r="G266" s="138" t="str">
        <f t="shared" ca="1" si="82"/>
        <v/>
      </c>
      <c r="H266" s="73" t="str">
        <f t="shared" ca="1" si="83"/>
        <v/>
      </c>
      <c r="I266" s="136" t="str">
        <f t="shared" ca="1" si="84"/>
        <v/>
      </c>
      <c r="J266" s="138" t="str">
        <f t="shared" ca="1" si="85"/>
        <v/>
      </c>
      <c r="K266" s="73" t="str">
        <f t="shared" ca="1" si="86"/>
        <v/>
      </c>
      <c r="L266" s="136" t="str">
        <f t="shared" ca="1" si="87"/>
        <v/>
      </c>
      <c r="M266" s="138" t="str">
        <f t="shared" ca="1" si="88"/>
        <v/>
      </c>
      <c r="N266" s="73" t="str">
        <f t="shared" ca="1" si="89"/>
        <v/>
      </c>
      <c r="O266" s="136" t="str">
        <f t="shared" ca="1" si="90"/>
        <v/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 t="str">
        <f t="shared" ca="1" si="78"/>
        <v/>
      </c>
      <c r="D267" s="138" t="str">
        <f t="shared" ca="1" si="79"/>
        <v/>
      </c>
      <c r="E267" s="73" t="str">
        <f t="shared" ca="1" si="80"/>
        <v/>
      </c>
      <c r="F267" s="136" t="str">
        <f t="shared" ca="1" si="81"/>
        <v/>
      </c>
      <c r="G267" s="138" t="str">
        <f t="shared" ca="1" si="82"/>
        <v/>
      </c>
      <c r="H267" s="73" t="str">
        <f t="shared" ca="1" si="83"/>
        <v/>
      </c>
      <c r="I267" s="136" t="str">
        <f t="shared" ca="1" si="84"/>
        <v/>
      </c>
      <c r="J267" s="138" t="str">
        <f t="shared" ca="1" si="85"/>
        <v/>
      </c>
      <c r="K267" s="73" t="str">
        <f t="shared" ca="1" si="86"/>
        <v/>
      </c>
      <c r="L267" s="136" t="str">
        <f t="shared" ca="1" si="87"/>
        <v/>
      </c>
      <c r="M267" s="138" t="str">
        <f t="shared" ca="1" si="88"/>
        <v/>
      </c>
      <c r="N267" s="73" t="str">
        <f t="shared" ca="1" si="89"/>
        <v/>
      </c>
      <c r="O267" s="136" t="str">
        <f t="shared" ca="1" si="90"/>
        <v/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 t="str">
        <f t="shared" ca="1" si="78"/>
        <v/>
      </c>
      <c r="D268" s="138" t="str">
        <f t="shared" ca="1" si="79"/>
        <v/>
      </c>
      <c r="E268" s="73" t="str">
        <f t="shared" ca="1" si="80"/>
        <v/>
      </c>
      <c r="F268" s="136" t="str">
        <f t="shared" ca="1" si="81"/>
        <v/>
      </c>
      <c r="G268" s="138" t="str">
        <f t="shared" ca="1" si="82"/>
        <v/>
      </c>
      <c r="H268" s="73" t="str">
        <f t="shared" ca="1" si="83"/>
        <v/>
      </c>
      <c r="I268" s="136" t="str">
        <f t="shared" ca="1" si="84"/>
        <v/>
      </c>
      <c r="J268" s="138" t="str">
        <f t="shared" ca="1" si="85"/>
        <v/>
      </c>
      <c r="K268" s="73" t="str">
        <f t="shared" ca="1" si="86"/>
        <v/>
      </c>
      <c r="L268" s="136" t="str">
        <f t="shared" ca="1" si="87"/>
        <v/>
      </c>
      <c r="M268" s="138" t="str">
        <f t="shared" ca="1" si="88"/>
        <v/>
      </c>
      <c r="N268" s="73" t="str">
        <f t="shared" ca="1" si="89"/>
        <v/>
      </c>
      <c r="O268" s="136" t="str">
        <f t="shared" ca="1" si="90"/>
        <v/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 t="str">
        <f t="shared" ca="1" si="78"/>
        <v/>
      </c>
      <c r="D269" s="138" t="str">
        <f t="shared" ca="1" si="79"/>
        <v/>
      </c>
      <c r="E269" s="73" t="str">
        <f t="shared" ca="1" si="80"/>
        <v/>
      </c>
      <c r="F269" s="136" t="str">
        <f t="shared" ca="1" si="81"/>
        <v/>
      </c>
      <c r="G269" s="138" t="str">
        <f t="shared" ca="1" si="82"/>
        <v/>
      </c>
      <c r="H269" s="73" t="str">
        <f t="shared" ca="1" si="83"/>
        <v/>
      </c>
      <c r="I269" s="136" t="str">
        <f t="shared" ca="1" si="84"/>
        <v/>
      </c>
      <c r="J269" s="138" t="str">
        <f t="shared" ca="1" si="85"/>
        <v/>
      </c>
      <c r="K269" s="73" t="str">
        <f t="shared" ca="1" si="86"/>
        <v/>
      </c>
      <c r="L269" s="136" t="str">
        <f t="shared" ca="1" si="87"/>
        <v/>
      </c>
      <c r="M269" s="138" t="str">
        <f t="shared" ca="1" si="88"/>
        <v/>
      </c>
      <c r="N269" s="73" t="str">
        <f t="shared" ca="1" si="89"/>
        <v/>
      </c>
      <c r="O269" s="136" t="str">
        <f t="shared" ca="1" si="90"/>
        <v/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 t="str">
        <f t="shared" ca="1" si="78"/>
        <v/>
      </c>
      <c r="D270" s="138" t="str">
        <f t="shared" ca="1" si="79"/>
        <v/>
      </c>
      <c r="E270" s="73" t="str">
        <f t="shared" ca="1" si="80"/>
        <v/>
      </c>
      <c r="F270" s="136" t="str">
        <f t="shared" ca="1" si="81"/>
        <v/>
      </c>
      <c r="G270" s="138" t="str">
        <f t="shared" ca="1" si="82"/>
        <v/>
      </c>
      <c r="H270" s="73" t="str">
        <f t="shared" ca="1" si="83"/>
        <v/>
      </c>
      <c r="I270" s="136" t="str">
        <f t="shared" ca="1" si="84"/>
        <v/>
      </c>
      <c r="J270" s="138" t="str">
        <f t="shared" ca="1" si="85"/>
        <v/>
      </c>
      <c r="K270" s="73" t="str">
        <f t="shared" ca="1" si="86"/>
        <v/>
      </c>
      <c r="L270" s="136" t="str">
        <f t="shared" ca="1" si="87"/>
        <v/>
      </c>
      <c r="M270" s="138" t="str">
        <f t="shared" ca="1" si="88"/>
        <v/>
      </c>
      <c r="N270" s="73" t="str">
        <f t="shared" ca="1" si="89"/>
        <v/>
      </c>
      <c r="O270" s="136" t="str">
        <f t="shared" ca="1" si="90"/>
        <v/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 t="str">
        <f t="shared" ca="1" si="78"/>
        <v/>
      </c>
      <c r="D271" s="141" t="str">
        <f t="shared" ca="1" si="79"/>
        <v/>
      </c>
      <c r="E271" s="72" t="str">
        <f t="shared" ca="1" si="80"/>
        <v/>
      </c>
      <c r="F271" s="140" t="str">
        <f t="shared" ca="1" si="81"/>
        <v/>
      </c>
      <c r="G271" s="141" t="str">
        <f t="shared" ca="1" si="82"/>
        <v/>
      </c>
      <c r="H271" s="72" t="str">
        <f t="shared" ca="1" si="83"/>
        <v/>
      </c>
      <c r="I271" s="140" t="str">
        <f t="shared" ca="1" si="84"/>
        <v/>
      </c>
      <c r="J271" s="141" t="str">
        <f t="shared" ca="1" si="85"/>
        <v/>
      </c>
      <c r="K271" s="72" t="str">
        <f t="shared" ca="1" si="86"/>
        <v/>
      </c>
      <c r="L271" s="140" t="str">
        <f t="shared" ca="1" si="87"/>
        <v/>
      </c>
      <c r="M271" s="141" t="str">
        <f t="shared" ca="1" si="88"/>
        <v/>
      </c>
      <c r="N271" s="72" t="str">
        <f t="shared" ca="1" si="89"/>
        <v/>
      </c>
      <c r="O271" s="140" t="str">
        <f t="shared" ca="1" si="90"/>
        <v/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 t="str">
        <f t="shared" ca="1" si="78"/>
        <v/>
      </c>
      <c r="D272" s="138" t="str">
        <f t="shared" ca="1" si="79"/>
        <v/>
      </c>
      <c r="E272" s="73" t="str">
        <f t="shared" ca="1" si="80"/>
        <v/>
      </c>
      <c r="F272" s="136" t="str">
        <f t="shared" ca="1" si="81"/>
        <v/>
      </c>
      <c r="G272" s="138" t="str">
        <f t="shared" ca="1" si="82"/>
        <v/>
      </c>
      <c r="H272" s="73" t="str">
        <f t="shared" ca="1" si="83"/>
        <v/>
      </c>
      <c r="I272" s="136" t="str">
        <f t="shared" ca="1" si="84"/>
        <v/>
      </c>
      <c r="J272" s="138" t="str">
        <f t="shared" ca="1" si="85"/>
        <v/>
      </c>
      <c r="K272" s="73" t="str">
        <f t="shared" ca="1" si="86"/>
        <v/>
      </c>
      <c r="L272" s="136" t="str">
        <f t="shared" ca="1" si="87"/>
        <v/>
      </c>
      <c r="M272" s="138" t="str">
        <f t="shared" ca="1" si="88"/>
        <v/>
      </c>
      <c r="N272" s="73" t="str">
        <f t="shared" ca="1" si="89"/>
        <v/>
      </c>
      <c r="O272" s="136" t="str">
        <f t="shared" ca="1" si="90"/>
        <v/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 t="str">
        <f t="shared" ca="1" si="78"/>
        <v/>
      </c>
      <c r="D273" s="138" t="str">
        <f t="shared" ca="1" si="79"/>
        <v/>
      </c>
      <c r="E273" s="73" t="str">
        <f t="shared" ca="1" si="80"/>
        <v/>
      </c>
      <c r="F273" s="136" t="str">
        <f t="shared" ca="1" si="81"/>
        <v/>
      </c>
      <c r="G273" s="138" t="str">
        <f t="shared" ca="1" si="82"/>
        <v/>
      </c>
      <c r="H273" s="73" t="str">
        <f t="shared" ca="1" si="83"/>
        <v/>
      </c>
      <c r="I273" s="136" t="str">
        <f t="shared" ca="1" si="84"/>
        <v/>
      </c>
      <c r="J273" s="138" t="str">
        <f t="shared" ca="1" si="85"/>
        <v/>
      </c>
      <c r="K273" s="73" t="str">
        <f t="shared" ca="1" si="86"/>
        <v/>
      </c>
      <c r="L273" s="136" t="str">
        <f t="shared" ca="1" si="87"/>
        <v/>
      </c>
      <c r="M273" s="138" t="str">
        <f t="shared" ca="1" si="88"/>
        <v/>
      </c>
      <c r="N273" s="73" t="str">
        <f t="shared" ca="1" si="89"/>
        <v/>
      </c>
      <c r="O273" s="136" t="str">
        <f t="shared" ca="1" si="90"/>
        <v/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 t="str">
        <f t="shared" ca="1" si="78"/>
        <v/>
      </c>
      <c r="D274" s="138" t="str">
        <f t="shared" ca="1" si="79"/>
        <v/>
      </c>
      <c r="E274" s="73" t="str">
        <f t="shared" ca="1" si="80"/>
        <v/>
      </c>
      <c r="F274" s="136" t="str">
        <f t="shared" ca="1" si="81"/>
        <v/>
      </c>
      <c r="G274" s="138" t="str">
        <f t="shared" ca="1" si="82"/>
        <v/>
      </c>
      <c r="H274" s="73" t="str">
        <f t="shared" ca="1" si="83"/>
        <v/>
      </c>
      <c r="I274" s="136" t="str">
        <f t="shared" ca="1" si="84"/>
        <v/>
      </c>
      <c r="J274" s="138" t="str">
        <f t="shared" ca="1" si="85"/>
        <v/>
      </c>
      <c r="K274" s="73" t="str">
        <f t="shared" ca="1" si="86"/>
        <v/>
      </c>
      <c r="L274" s="136" t="str">
        <f t="shared" ca="1" si="87"/>
        <v/>
      </c>
      <c r="M274" s="138" t="str">
        <f t="shared" ca="1" si="88"/>
        <v/>
      </c>
      <c r="N274" s="73" t="str">
        <f t="shared" ca="1" si="89"/>
        <v/>
      </c>
      <c r="O274" s="136" t="str">
        <f t="shared" ca="1" si="90"/>
        <v/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 t="str">
        <f t="shared" ca="1" si="78"/>
        <v/>
      </c>
      <c r="D275" s="138" t="str">
        <f t="shared" ca="1" si="79"/>
        <v/>
      </c>
      <c r="E275" s="73" t="str">
        <f t="shared" ca="1" si="80"/>
        <v/>
      </c>
      <c r="F275" s="136" t="str">
        <f t="shared" ca="1" si="81"/>
        <v/>
      </c>
      <c r="G275" s="138" t="str">
        <f t="shared" ca="1" si="82"/>
        <v/>
      </c>
      <c r="H275" s="73" t="str">
        <f t="shared" ca="1" si="83"/>
        <v/>
      </c>
      <c r="I275" s="136" t="str">
        <f t="shared" ca="1" si="84"/>
        <v/>
      </c>
      <c r="J275" s="138" t="str">
        <f t="shared" ca="1" si="85"/>
        <v/>
      </c>
      <c r="K275" s="73" t="str">
        <f t="shared" ca="1" si="86"/>
        <v/>
      </c>
      <c r="L275" s="136" t="str">
        <f t="shared" ca="1" si="87"/>
        <v/>
      </c>
      <c r="M275" s="138" t="str">
        <f t="shared" ca="1" si="88"/>
        <v/>
      </c>
      <c r="N275" s="73" t="str">
        <f t="shared" ca="1" si="89"/>
        <v/>
      </c>
      <c r="O275" s="136" t="str">
        <f t="shared" ca="1" si="90"/>
        <v/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250" t="s">
        <v>319</v>
      </c>
      <c r="B281" s="252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256"/>
      <c r="B282" s="258"/>
      <c r="C282" s="135">
        <f ca="1">SUM(C250:C280)</f>
        <v>57000000</v>
      </c>
      <c r="D282" s="139">
        <f ca="1">SUM(D250:D280)</f>
        <v>56113960.535292163</v>
      </c>
      <c r="E282" s="75">
        <f ca="1">IFERROR(F282 / (SUM($C250:$C280) / COUNT($C250:$C280)), 0)</f>
        <v>-0.23316828018627139</v>
      </c>
      <c r="F282" s="137">
        <f ca="1">SUM(F250:F280)</f>
        <v>-886039.46470783127</v>
      </c>
      <c r="G282" s="139">
        <f ca="1">SUM(G250:G280)</f>
        <v>56294705.763900362</v>
      </c>
      <c r="H282" s="75">
        <f ca="1">IFERROR(I282 / (SUM($C250:$C280) / COUNT($C250:$C280)), 0)</f>
        <v>-0.18560374634200921</v>
      </c>
      <c r="I282" s="137">
        <f ca="1">SUM(I250:I280)</f>
        <v>-705294.23609963502</v>
      </c>
      <c r="J282" s="139">
        <f ca="1">SUM(J250:J280)</f>
        <v>56418927.945495397</v>
      </c>
      <c r="K282" s="75">
        <f ca="1">IFERROR(L282 / (SUM($C250:$C280) / COUNT($C250:$C280)), 0)</f>
        <v>-0.15291369855384129</v>
      </c>
      <c r="L282" s="137">
        <f ca="1">SUM(L250:L280)</f>
        <v>-581072.05450459686</v>
      </c>
      <c r="M282" s="139">
        <f ca="1">SUM(M250:M280)</f>
        <v>56192222.466236778</v>
      </c>
      <c r="N282" s="75">
        <f ca="1">IFERROR(O282 / (SUM($C250:$C280) / COUNT($C250:$C280)), 0)</f>
        <v>-0.21257303520084497</v>
      </c>
      <c r="O282" s="137">
        <f ca="1">SUM(O250:O280)</f>
        <v>-807777.53376321087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2933" priority="323">
      <formula>$E$54 &gt; 0</formula>
    </cfRule>
    <cfRule type="expression" dxfId="2932" priority="324">
      <formula>$E$54 = 0</formula>
    </cfRule>
    <cfRule type="expression" dxfId="2931" priority="325">
      <formula>$E$54 &lt; 0</formula>
    </cfRule>
  </conditionalFormatting>
  <conditionalFormatting sqref="G20:I21 H54:I54">
    <cfRule type="expression" dxfId="2930" priority="320">
      <formula>$H$54 &gt; 0</formula>
    </cfRule>
    <cfRule type="expression" dxfId="2929" priority="321">
      <formula>$H$54 = 0</formula>
    </cfRule>
    <cfRule type="expression" dxfId="2928" priority="322">
      <formula>$H$54 &lt; 0</formula>
    </cfRule>
  </conditionalFormatting>
  <conditionalFormatting sqref="J20:L21 K54:L54">
    <cfRule type="expression" dxfId="2927" priority="317">
      <formula>$K$54 &gt; 0</formula>
    </cfRule>
    <cfRule type="expression" dxfId="2926" priority="318">
      <formula>$K$54 = 0</formula>
    </cfRule>
    <cfRule type="expression" dxfId="2925" priority="319">
      <formula>$K$54 &lt; 0</formula>
    </cfRule>
  </conditionalFormatting>
  <conditionalFormatting sqref="M20:O21 N54:O54">
    <cfRule type="expression" dxfId="2924" priority="314">
      <formula>$N$54 &gt; 0</formula>
    </cfRule>
    <cfRule type="expression" dxfId="2923" priority="315">
      <formula>$N$54 = 0</formula>
    </cfRule>
    <cfRule type="expression" dxfId="2922" priority="316">
      <formula>$N$54 &lt; 0</formula>
    </cfRule>
  </conditionalFormatting>
  <conditionalFormatting sqref="D22:F52">
    <cfRule type="expression" dxfId="2921" priority="299">
      <formula>AND($E22 &gt; 0, ISNUMBER($E22))</formula>
    </cfRule>
    <cfRule type="expression" dxfId="2920" priority="300">
      <formula>AND($E22 = 0, ISNUMBER($E22))</formula>
    </cfRule>
    <cfRule type="expression" dxfId="2919" priority="301">
      <formula>AND($E22 &lt; 0, ISNUMBER($E22))</formula>
    </cfRule>
  </conditionalFormatting>
  <conditionalFormatting sqref="G22:I52">
    <cfRule type="expression" dxfId="2918" priority="296">
      <formula>AND($H22 &gt; 0, ISNUMBER($H22))</formula>
    </cfRule>
    <cfRule type="expression" dxfId="2917" priority="297">
      <formula>AND($H22 = 0, ISNUMBER($H22))</formula>
    </cfRule>
    <cfRule type="expression" dxfId="2916" priority="298">
      <formula>AND($H22 &lt; 0, ISNUMBER($H22))</formula>
    </cfRule>
  </conditionalFormatting>
  <conditionalFormatting sqref="J22:L52">
    <cfRule type="expression" dxfId="2915" priority="293">
      <formula>AND($K22 &gt; 0, ISNUMBER($K22))</formula>
    </cfRule>
    <cfRule type="expression" dxfId="2914" priority="294">
      <formula>AND($K22 = 0, ISNUMBER($K22))</formula>
    </cfRule>
    <cfRule type="expression" dxfId="2913" priority="295">
      <formula>AND($K22 &lt; 0, ISNUMBER($K22))</formula>
    </cfRule>
  </conditionalFormatting>
  <conditionalFormatting sqref="M22:O52">
    <cfRule type="expression" dxfId="2912" priority="290">
      <formula>AND($N22 &gt; 0, ISNUMBER($N22))</formula>
    </cfRule>
    <cfRule type="expression" dxfId="2911" priority="291">
      <formula>AND($N22 = 0, ISNUMBER($N22))</formula>
    </cfRule>
    <cfRule type="expression" dxfId="2910" priority="292">
      <formula>AND($N22 &lt; 0, ISNUMBER($N22))</formula>
    </cfRule>
  </conditionalFormatting>
  <conditionalFormatting sqref="D58:F59 E92:F92">
    <cfRule type="expression" dxfId="2909" priority="287">
      <formula>$E$92 &gt; 0</formula>
    </cfRule>
    <cfRule type="expression" dxfId="2908" priority="288">
      <formula>$E$92 = 0</formula>
    </cfRule>
    <cfRule type="expression" dxfId="2907" priority="289">
      <formula>$E$92 &lt; 0</formula>
    </cfRule>
  </conditionalFormatting>
  <conditionalFormatting sqref="G58:I59 H92:I92">
    <cfRule type="expression" dxfId="2906" priority="284">
      <formula>$H$92 &gt; 0</formula>
    </cfRule>
    <cfRule type="expression" dxfId="2905" priority="285">
      <formula>$H$92 = 0</formula>
    </cfRule>
    <cfRule type="expression" dxfId="2904" priority="286">
      <formula>$H$92 &lt; 0</formula>
    </cfRule>
  </conditionalFormatting>
  <conditionalFormatting sqref="J58:L59 K92:L92">
    <cfRule type="expression" dxfId="2903" priority="281">
      <formula>$K$92 &gt; 0</formula>
    </cfRule>
    <cfRule type="expression" dxfId="2902" priority="282">
      <formula>$K$92 = 0</formula>
    </cfRule>
    <cfRule type="expression" dxfId="2901" priority="283">
      <formula>$K$92 &lt; 0</formula>
    </cfRule>
  </conditionalFormatting>
  <conditionalFormatting sqref="M58:O59 N92:O92">
    <cfRule type="expression" dxfId="2900" priority="278">
      <formula>$N$92 &gt; 0</formula>
    </cfRule>
    <cfRule type="expression" dxfId="2899" priority="279">
      <formula>$N$92 = 0</formula>
    </cfRule>
    <cfRule type="expression" dxfId="2898" priority="280">
      <formula>$N$92 &lt; 0</formula>
    </cfRule>
  </conditionalFormatting>
  <conditionalFormatting sqref="D60:F90">
    <cfRule type="expression" dxfId="2897" priority="275">
      <formula>AND($E60 &gt; 0, ISNUMBER($E60))</formula>
    </cfRule>
    <cfRule type="expression" dxfId="2896" priority="276">
      <formula>AND($E60 = 0, ISNUMBER($E60))</formula>
    </cfRule>
    <cfRule type="expression" dxfId="2895" priority="277">
      <formula>AND($E60 &lt; 0, ISNUMBER($E60))</formula>
    </cfRule>
  </conditionalFormatting>
  <conditionalFormatting sqref="G60:I90">
    <cfRule type="expression" dxfId="2894" priority="272">
      <formula>AND($H60 &gt; 0, ISNUMBER($H60))</formula>
    </cfRule>
    <cfRule type="expression" dxfId="2893" priority="273">
      <formula>AND($H60 = 0, ISNUMBER($H60))</formula>
    </cfRule>
    <cfRule type="expression" dxfId="2892" priority="274">
      <formula>AND($H60 &lt; 0, ISNUMBER($H60))</formula>
    </cfRule>
  </conditionalFormatting>
  <conditionalFormatting sqref="J60:L90">
    <cfRule type="expression" dxfId="2891" priority="269">
      <formula>AND($K60 &gt; 0, ISNUMBER($K60))</formula>
    </cfRule>
    <cfRule type="expression" dxfId="2890" priority="270">
      <formula>AND($K60 = 0, ISNUMBER($K60))</formula>
    </cfRule>
    <cfRule type="expression" dxfId="2889" priority="271">
      <formula>AND($K60 &lt; 0, ISNUMBER($K60))</formula>
    </cfRule>
  </conditionalFormatting>
  <conditionalFormatting sqref="M60:O90">
    <cfRule type="expression" dxfId="2888" priority="266">
      <formula>AND($N60 &gt; 0, ISNUMBER($N60))</formula>
    </cfRule>
    <cfRule type="expression" dxfId="2887" priority="267">
      <formula>AND($N60 = 0, ISNUMBER($N60))</formula>
    </cfRule>
    <cfRule type="expression" dxfId="2886" priority="268">
      <formula>AND($N60 &lt; 0, ISNUMBER($N60))</formula>
    </cfRule>
  </conditionalFormatting>
  <conditionalFormatting sqref="D96:F97 E130:F130">
    <cfRule type="expression" dxfId="2885" priority="263">
      <formula>$E$130 &gt; 0</formula>
    </cfRule>
    <cfRule type="expression" dxfId="2884" priority="264">
      <formula>$E$130 = 0</formula>
    </cfRule>
    <cfRule type="expression" dxfId="2883" priority="265">
      <formula>$E$130 &lt; 0</formula>
    </cfRule>
  </conditionalFormatting>
  <conditionalFormatting sqref="G96:I97 H130:I130">
    <cfRule type="expression" dxfId="2882" priority="260">
      <formula>$H$130 &gt; 0</formula>
    </cfRule>
    <cfRule type="expression" dxfId="2881" priority="261">
      <formula>$H$130 = 0</formula>
    </cfRule>
    <cfRule type="expression" dxfId="2880" priority="262">
      <formula>$H$130 &lt; 0</formula>
    </cfRule>
  </conditionalFormatting>
  <conditionalFormatting sqref="J96:L97 K130:L130">
    <cfRule type="expression" dxfId="2879" priority="257">
      <formula>$K$130 &gt; 0</formula>
    </cfRule>
    <cfRule type="expression" dxfId="2878" priority="258">
      <formula>$K$130 = 0</formula>
    </cfRule>
    <cfRule type="expression" dxfId="2877" priority="259">
      <formula>$K$130 &lt; 0</formula>
    </cfRule>
  </conditionalFormatting>
  <conditionalFormatting sqref="M96:O97 N130:O130">
    <cfRule type="expression" dxfId="2876" priority="254">
      <formula>$N$130 &gt; 0</formula>
    </cfRule>
    <cfRule type="expression" dxfId="2875" priority="255">
      <formula>$N$130 = 0</formula>
    </cfRule>
    <cfRule type="expression" dxfId="2874" priority="256">
      <formula>$N$130 &lt; 0</formula>
    </cfRule>
  </conditionalFormatting>
  <conditionalFormatting sqref="D98:F128">
    <cfRule type="expression" dxfId="2873" priority="251">
      <formula>AND($E98 &gt; 0, ISNUMBER($E98))</formula>
    </cfRule>
    <cfRule type="expression" dxfId="2872" priority="252">
      <formula>AND($E98 = 0, ISNUMBER($E98))</formula>
    </cfRule>
    <cfRule type="expression" dxfId="2871" priority="253">
      <formula>AND($E98 &lt; 0, ISNUMBER($E98))</formula>
    </cfRule>
  </conditionalFormatting>
  <conditionalFormatting sqref="G98:I128">
    <cfRule type="expression" dxfId="2870" priority="248">
      <formula>AND($H98 &gt; 0, ISNUMBER($H98))</formula>
    </cfRule>
    <cfRule type="expression" dxfId="2869" priority="249">
      <formula>AND($H98 = 0, ISNUMBER($H98))</formula>
    </cfRule>
    <cfRule type="expression" dxfId="2868" priority="250">
      <formula>AND($H98 &lt; 0, ISNUMBER($H98))</formula>
    </cfRule>
  </conditionalFormatting>
  <conditionalFormatting sqref="J98:L128">
    <cfRule type="expression" dxfId="2867" priority="245">
      <formula>AND($K98 &gt; 0, ISNUMBER($K98))</formula>
    </cfRule>
    <cfRule type="expression" dxfId="2866" priority="246">
      <formula>AND($K98 = 0, ISNUMBER($K98))</formula>
    </cfRule>
    <cfRule type="expression" dxfId="2865" priority="247">
      <formula>AND($K98 &lt; 0, ISNUMBER($K98))</formula>
    </cfRule>
  </conditionalFormatting>
  <conditionalFormatting sqref="M98:O128">
    <cfRule type="expression" dxfId="2864" priority="242">
      <formula>AND($N98 &gt; 0, ISNUMBER($N98))</formula>
    </cfRule>
    <cfRule type="expression" dxfId="2863" priority="243">
      <formula>AND($N98 = 0, ISNUMBER($N98))</formula>
    </cfRule>
    <cfRule type="expression" dxfId="2862" priority="244">
      <formula>AND($N98 &lt; 0, ISNUMBER($N98))</formula>
    </cfRule>
  </conditionalFormatting>
  <conditionalFormatting sqref="D134:F135 E168:F168">
    <cfRule type="expression" dxfId="2861" priority="239">
      <formula>$E$168 &gt; 0</formula>
    </cfRule>
    <cfRule type="expression" dxfId="2860" priority="240">
      <formula>$E$168 = 0</formula>
    </cfRule>
    <cfRule type="expression" dxfId="2859" priority="241">
      <formula>$E$168 &lt; 0</formula>
    </cfRule>
  </conditionalFormatting>
  <conditionalFormatting sqref="G134:I135 H168:I168">
    <cfRule type="expression" dxfId="2858" priority="236">
      <formula>$H$168 &gt; 0</formula>
    </cfRule>
    <cfRule type="expression" dxfId="2857" priority="237">
      <formula>$H$168 = 0</formula>
    </cfRule>
    <cfRule type="expression" dxfId="2856" priority="238">
      <formula>$H$168 &lt; 0</formula>
    </cfRule>
  </conditionalFormatting>
  <conditionalFormatting sqref="J134:L135 K168:L168">
    <cfRule type="expression" dxfId="2855" priority="233">
      <formula>$K$168 &gt; 0</formula>
    </cfRule>
    <cfRule type="expression" dxfId="2854" priority="234">
      <formula>$K$168 = 0</formula>
    </cfRule>
    <cfRule type="expression" dxfId="2853" priority="235">
      <formula>$K$168 &lt; 0</formula>
    </cfRule>
  </conditionalFormatting>
  <conditionalFormatting sqref="M134:O135 N168:O168">
    <cfRule type="expression" dxfId="2852" priority="230">
      <formula>$N$168 &gt; 0</formula>
    </cfRule>
    <cfRule type="expression" dxfId="2851" priority="231">
      <formula>$N$168 = 0</formula>
    </cfRule>
    <cfRule type="expression" dxfId="2850" priority="232">
      <formula>$N$168 &lt; 0</formula>
    </cfRule>
  </conditionalFormatting>
  <conditionalFormatting sqref="D136:F166">
    <cfRule type="expression" dxfId="2849" priority="227">
      <formula>AND($E136 &gt; 0, ISNUMBER($E136))</formula>
    </cfRule>
    <cfRule type="expression" dxfId="2848" priority="228">
      <formula>AND($E136 = 0, ISNUMBER($E136))</formula>
    </cfRule>
    <cfRule type="expression" dxfId="2847" priority="229">
      <formula>AND($E136 &lt; 0, ISNUMBER($E136))</formula>
    </cfRule>
  </conditionalFormatting>
  <conditionalFormatting sqref="G136:I166">
    <cfRule type="expression" dxfId="2846" priority="224">
      <formula>AND($H136 &gt; 0, ISNUMBER($H136))</formula>
    </cfRule>
    <cfRule type="expression" dxfId="2845" priority="225">
      <formula>AND($H136 = 0, ISNUMBER($H136))</formula>
    </cfRule>
    <cfRule type="expression" dxfId="2844" priority="226">
      <formula>AND($H136 &lt; 0, ISNUMBER($H136))</formula>
    </cfRule>
  </conditionalFormatting>
  <conditionalFormatting sqref="J136:L166">
    <cfRule type="expression" dxfId="2843" priority="221">
      <formula>AND($K136 &gt; 0, ISNUMBER($K136))</formula>
    </cfRule>
    <cfRule type="expression" dxfId="2842" priority="222">
      <formula>AND($K136 = 0, ISNUMBER($K136))</formula>
    </cfRule>
    <cfRule type="expression" dxfId="2841" priority="223">
      <formula>AND($K136 &lt; 0, ISNUMBER($K136))</formula>
    </cfRule>
  </conditionalFormatting>
  <conditionalFormatting sqref="M136:O166">
    <cfRule type="expression" dxfId="2840" priority="218">
      <formula>AND($N136 &gt; 0, ISNUMBER($N136))</formula>
    </cfRule>
    <cfRule type="expression" dxfId="2839" priority="219">
      <formula>AND($N136 = 0, ISNUMBER($N136))</formula>
    </cfRule>
    <cfRule type="expression" dxfId="2838" priority="220">
      <formula>AND($N136 &lt; 0, ISNUMBER($N136))</formula>
    </cfRule>
  </conditionalFormatting>
  <conditionalFormatting sqref="D172:F173 E206:F206">
    <cfRule type="expression" dxfId="2837" priority="215">
      <formula>$E$206 &gt; 0</formula>
    </cfRule>
    <cfRule type="expression" dxfId="2836" priority="216">
      <formula>$E$206 = 0</formula>
    </cfRule>
    <cfRule type="expression" dxfId="2835" priority="217">
      <formula>$E$206 &lt; 0</formula>
    </cfRule>
  </conditionalFormatting>
  <conditionalFormatting sqref="G172:I173 H206:I206">
    <cfRule type="expression" dxfId="2834" priority="212">
      <formula>$H$206 &gt; 0</formula>
    </cfRule>
    <cfRule type="expression" dxfId="2833" priority="213">
      <formula>$H$206 = 0</formula>
    </cfRule>
    <cfRule type="expression" dxfId="2832" priority="214">
      <formula>$H$206 &lt; 0</formula>
    </cfRule>
  </conditionalFormatting>
  <conditionalFormatting sqref="J172:L173 K206:L206">
    <cfRule type="expression" dxfId="2831" priority="209">
      <formula>$K$206 &gt; 0</formula>
    </cfRule>
    <cfRule type="expression" dxfId="2830" priority="210">
      <formula>$K$206 = 0</formula>
    </cfRule>
    <cfRule type="expression" dxfId="2829" priority="211">
      <formula>$K$206 &lt; 0</formula>
    </cfRule>
  </conditionalFormatting>
  <conditionalFormatting sqref="M172:O173 N206:O206">
    <cfRule type="expression" dxfId="2828" priority="206">
      <formula>$N$206 &gt; 0</formula>
    </cfRule>
    <cfRule type="expression" dxfId="2827" priority="207">
      <formula>$N$206 = 0</formula>
    </cfRule>
    <cfRule type="expression" dxfId="2826" priority="208">
      <formula>$N$206 &lt; 0</formula>
    </cfRule>
  </conditionalFormatting>
  <conditionalFormatting sqref="D174:F204">
    <cfRule type="expression" dxfId="2825" priority="203">
      <formula>AND($E174 &gt; 0, ISNUMBER($E174))</formula>
    </cfRule>
    <cfRule type="expression" dxfId="2824" priority="204">
      <formula>AND($E174 = 0, ISNUMBER($E174))</formula>
    </cfRule>
    <cfRule type="expression" dxfId="2823" priority="205">
      <formula>AND($E174 &lt; 0, ISNUMBER($E174))</formula>
    </cfRule>
  </conditionalFormatting>
  <conditionalFormatting sqref="G174:I204">
    <cfRule type="expression" dxfId="2822" priority="200">
      <formula>AND($H174 &gt; 0, ISNUMBER($H174))</formula>
    </cfRule>
    <cfRule type="expression" dxfId="2821" priority="201">
      <formula>AND($H174 = 0, ISNUMBER($H174))</formula>
    </cfRule>
    <cfRule type="expression" dxfId="2820" priority="202">
      <formula>AND($H174 &lt; 0, ISNUMBER($H174))</formula>
    </cfRule>
  </conditionalFormatting>
  <conditionalFormatting sqref="J174:L204">
    <cfRule type="expression" dxfId="2819" priority="197">
      <formula>AND($K174 &gt; 0, ISNUMBER($K174))</formula>
    </cfRule>
    <cfRule type="expression" dxfId="2818" priority="198">
      <formula>AND($K174 = 0, ISNUMBER($K174))</formula>
    </cfRule>
    <cfRule type="expression" dxfId="2817" priority="199">
      <formula>AND($K174 &lt; 0, ISNUMBER($K174))</formula>
    </cfRule>
  </conditionalFormatting>
  <conditionalFormatting sqref="M174:O204">
    <cfRule type="expression" dxfId="2816" priority="194">
      <formula>AND($N174 &gt; 0, ISNUMBER($N174))</formula>
    </cfRule>
    <cfRule type="expression" dxfId="2815" priority="195">
      <formula>AND($N174 = 0, ISNUMBER($N174))</formula>
    </cfRule>
    <cfRule type="expression" dxfId="2814" priority="196">
      <formula>AND($N174 &lt; 0, ISNUMBER($N174))</formula>
    </cfRule>
  </conditionalFormatting>
  <conditionalFormatting sqref="D210:F211 E244:F244">
    <cfRule type="expression" dxfId="2813" priority="191">
      <formula>$E$244 &gt; 0</formula>
    </cfRule>
    <cfRule type="expression" dxfId="2812" priority="192">
      <formula>$E$244 = 0</formula>
    </cfRule>
    <cfRule type="expression" dxfId="2811" priority="193">
      <formula>$E$244 &lt; 0</formula>
    </cfRule>
  </conditionalFormatting>
  <conditionalFormatting sqref="G210:I211 H244:I244">
    <cfRule type="expression" dxfId="2810" priority="188">
      <formula>$H$244 &gt; 0</formula>
    </cfRule>
    <cfRule type="expression" dxfId="2809" priority="189">
      <formula>$H$244 = 0</formula>
    </cfRule>
    <cfRule type="expression" dxfId="2808" priority="190">
      <formula>$H$244 &lt; 0</formula>
    </cfRule>
  </conditionalFormatting>
  <conditionalFormatting sqref="J210:L211 K244:L244">
    <cfRule type="expression" dxfId="2807" priority="185">
      <formula>$K$244 &gt; 0</formula>
    </cfRule>
    <cfRule type="expression" dxfId="2806" priority="186">
      <formula>$K$244 = 0</formula>
    </cfRule>
    <cfRule type="expression" dxfId="2805" priority="187">
      <formula>$K$244 &lt; 0</formula>
    </cfRule>
  </conditionalFormatting>
  <conditionalFormatting sqref="M210:O211 N244:O244">
    <cfRule type="expression" dxfId="2804" priority="182">
      <formula>$N$244 &gt; 0</formula>
    </cfRule>
    <cfRule type="expression" dxfId="2803" priority="183">
      <formula>$N$244 = 0</formula>
    </cfRule>
    <cfRule type="expression" dxfId="2802" priority="184">
      <formula>$N$244 &lt; 0</formula>
    </cfRule>
  </conditionalFormatting>
  <conditionalFormatting sqref="D212:F242">
    <cfRule type="expression" dxfId="2801" priority="179">
      <formula>AND($E212 &gt; 0, ISNUMBER($E212))</formula>
    </cfRule>
    <cfRule type="expression" dxfId="2800" priority="180">
      <formula>AND($E212 = 0, ISNUMBER($E212))</formula>
    </cfRule>
    <cfRule type="expression" dxfId="2799" priority="181">
      <formula>AND($E212 &lt; 0, ISNUMBER($E212))</formula>
    </cfRule>
  </conditionalFormatting>
  <conditionalFormatting sqref="G212:I242">
    <cfRule type="expression" dxfId="2798" priority="176">
      <formula>AND($H212 &gt; 0, ISNUMBER($H212))</formula>
    </cfRule>
    <cfRule type="expression" dxfId="2797" priority="177">
      <formula>AND($H212 = 0, ISNUMBER($H212))</formula>
    </cfRule>
    <cfRule type="expression" dxfId="2796" priority="178">
      <formula>AND($H212 &lt; 0, ISNUMBER($H212))</formula>
    </cfRule>
  </conditionalFormatting>
  <conditionalFormatting sqref="J212:L242">
    <cfRule type="expression" dxfId="2795" priority="173">
      <formula>AND($K212 &gt; 0, ISNUMBER($K212))</formula>
    </cfRule>
    <cfRule type="expression" dxfId="2794" priority="174">
      <formula>AND($K212 = 0, ISNUMBER($K212))</formula>
    </cfRule>
    <cfRule type="expression" dxfId="2793" priority="175">
      <formula>AND($K212 &lt; 0, ISNUMBER($K212))</formula>
    </cfRule>
  </conditionalFormatting>
  <conditionalFormatting sqref="M212:O242">
    <cfRule type="expression" dxfId="2792" priority="170">
      <formula>AND($N212 &gt; 0, ISNUMBER($N212))</formula>
    </cfRule>
    <cfRule type="expression" dxfId="2791" priority="171">
      <formula>AND($N212 = 0, ISNUMBER($N212))</formula>
    </cfRule>
    <cfRule type="expression" dxfId="2790" priority="172">
      <formula>AND($N212 &lt; 0, ISNUMBER($N212))</formula>
    </cfRule>
  </conditionalFormatting>
  <conditionalFormatting sqref="D248:F249 E282:F282">
    <cfRule type="expression" dxfId="2789" priority="167">
      <formula>$E$282 &gt; 0</formula>
    </cfRule>
    <cfRule type="expression" dxfId="2788" priority="168">
      <formula>$E$282 = 0</formula>
    </cfRule>
    <cfRule type="expression" dxfId="2787" priority="169">
      <formula>$E$282 &lt; 0</formula>
    </cfRule>
  </conditionalFormatting>
  <conditionalFormatting sqref="G248:I249 H282:I282">
    <cfRule type="expression" dxfId="2786" priority="164">
      <formula>$H$282 &gt; 0</formula>
    </cfRule>
    <cfRule type="expression" dxfId="2785" priority="165">
      <formula>$H$282 = 0</formula>
    </cfRule>
    <cfRule type="expression" dxfId="2784" priority="166">
      <formula>$H$282 &lt; 0</formula>
    </cfRule>
  </conditionalFormatting>
  <conditionalFormatting sqref="J248:L249 K282:L282">
    <cfRule type="expression" dxfId="2783" priority="161">
      <formula>$K$282 &gt; 0</formula>
    </cfRule>
    <cfRule type="expression" dxfId="2782" priority="162">
      <formula>$K$282 = 0</formula>
    </cfRule>
    <cfRule type="expression" dxfId="2781" priority="163">
      <formula>$K$282 &lt; 0</formula>
    </cfRule>
  </conditionalFormatting>
  <conditionalFormatting sqref="M248:O249 N282:O282">
    <cfRule type="expression" dxfId="2780" priority="158">
      <formula>$N$282 &gt; 0</formula>
    </cfRule>
    <cfRule type="expression" dxfId="2779" priority="159">
      <formula>$N$282 = 0</formula>
    </cfRule>
    <cfRule type="expression" dxfId="2778" priority="160">
      <formula>$N$282 &lt; 0</formula>
    </cfRule>
  </conditionalFormatting>
  <conditionalFormatting sqref="D250:F280">
    <cfRule type="expression" dxfId="2777" priority="155">
      <formula>AND($E250 &gt; 0, ISNUMBER($E250))</formula>
    </cfRule>
    <cfRule type="expression" dxfId="2776" priority="156">
      <formula>AND($E250 = 0, ISNUMBER($E250))</formula>
    </cfRule>
    <cfRule type="expression" dxfId="2775" priority="157">
      <formula>AND($E250 &lt; 0, ISNUMBER($E250))</formula>
    </cfRule>
  </conditionalFormatting>
  <conditionalFormatting sqref="G250:I280">
    <cfRule type="expression" dxfId="2774" priority="152">
      <formula>AND($H250 &gt; 0, ISNUMBER($H250))</formula>
    </cfRule>
    <cfRule type="expression" dxfId="2773" priority="153">
      <formula>AND($H250 = 0, ISNUMBER($H250))</formula>
    </cfRule>
    <cfRule type="expression" dxfId="2772" priority="154">
      <formula>AND($H250 &lt; 0, ISNUMBER($H250))</formula>
    </cfRule>
  </conditionalFormatting>
  <conditionalFormatting sqref="J250:L280">
    <cfRule type="expression" dxfId="2771" priority="149">
      <formula>AND($K250 &gt; 0, ISNUMBER($K250))</formula>
    </cfRule>
    <cfRule type="expression" dxfId="2770" priority="150">
      <formula>AND($K250 = 0, ISNUMBER($K250))</formula>
    </cfRule>
    <cfRule type="expression" dxfId="2769" priority="151">
      <formula>AND($K250 &lt; 0, ISNUMBER($K250))</formula>
    </cfRule>
  </conditionalFormatting>
  <conditionalFormatting sqref="M250:O280">
    <cfRule type="expression" dxfId="2768" priority="146">
      <formula>AND($N250 &gt; 0, ISNUMBER($N250))</formula>
    </cfRule>
    <cfRule type="expression" dxfId="2767" priority="147">
      <formula>AND($N250 = 0, ISNUMBER($N250))</formula>
    </cfRule>
    <cfRule type="expression" dxfId="2766" priority="148">
      <formula>AND($N250 &lt; 0, ISNUMBER($N250))</formula>
    </cfRule>
  </conditionalFormatting>
  <conditionalFormatting sqref="D5:F6">
    <cfRule type="expression" dxfId="2765" priority="143">
      <formula>$F$130 &gt; 0</formula>
    </cfRule>
    <cfRule type="expression" dxfId="2764" priority="144">
      <formula>$F$130 = 0</formula>
    </cfRule>
    <cfRule type="expression" dxfId="2763" priority="145">
      <formula>$F$130 &lt; 0</formula>
    </cfRule>
  </conditionalFormatting>
  <conditionalFormatting sqref="D7:F8">
    <cfRule type="expression" dxfId="2762" priority="140">
      <formula>$F$206 &gt; 0</formula>
    </cfRule>
    <cfRule type="expression" dxfId="2761" priority="141">
      <formula>$F$206 = 0</formula>
    </cfRule>
    <cfRule type="expression" dxfId="2760" priority="142">
      <formula>$F$206 &lt; 0</formula>
    </cfRule>
  </conditionalFormatting>
  <conditionalFormatting sqref="D9:F10">
    <cfRule type="expression" dxfId="2759" priority="137">
      <formula>$F$244 &gt; 0</formula>
    </cfRule>
    <cfRule type="expression" dxfId="2758" priority="138">
      <formula>$F$244 = 0</formula>
    </cfRule>
    <cfRule type="expression" dxfId="2757" priority="139">
      <formula>$F$244 &lt; 0</formula>
    </cfRule>
  </conditionalFormatting>
  <conditionalFormatting sqref="D11:F12">
    <cfRule type="expression" dxfId="2756" priority="134">
      <formula>$F$168 &gt; 0</formula>
    </cfRule>
    <cfRule type="expression" dxfId="2755" priority="135">
      <formula>$F$168 = 0</formula>
    </cfRule>
    <cfRule type="expression" dxfId="2754" priority="136">
      <formula>$F$168 &lt; 0</formula>
    </cfRule>
  </conditionalFormatting>
  <conditionalFormatting sqref="D13:F14">
    <cfRule type="expression" dxfId="2753" priority="92">
      <formula>$F$282 &gt; 0</formula>
    </cfRule>
    <cfRule type="expression" dxfId="2752" priority="93">
      <formula>$F$282 = 0</formula>
    </cfRule>
    <cfRule type="expression" dxfId="2751" priority="94">
      <formula>$F$282 &lt; 0</formula>
    </cfRule>
  </conditionalFormatting>
  <conditionalFormatting sqref="D15:F16">
    <cfRule type="expression" dxfId="2750" priority="77">
      <formula>$F$54 &gt; 0</formula>
    </cfRule>
    <cfRule type="expression" dxfId="2749" priority="78">
      <formula>$F$54 = 0</formula>
    </cfRule>
    <cfRule type="expression" dxfId="2748" priority="79">
      <formula>$F$54 &lt; 0</formula>
    </cfRule>
  </conditionalFormatting>
  <conditionalFormatting sqref="G5:I6">
    <cfRule type="expression" dxfId="2747" priority="65">
      <formula>$I$130 &gt; 0</formula>
    </cfRule>
    <cfRule type="expression" dxfId="2746" priority="66">
      <formula>$I$130 = 0</formula>
    </cfRule>
    <cfRule type="expression" dxfId="2745" priority="67">
      <formula>$I$130 &lt; 0</formula>
    </cfRule>
  </conditionalFormatting>
  <conditionalFormatting sqref="G7:I8">
    <cfRule type="expression" dxfId="2744" priority="62">
      <formula>$I$206 &gt; 0</formula>
    </cfRule>
    <cfRule type="expression" dxfId="2743" priority="63">
      <formula>$I$206 = 0</formula>
    </cfRule>
    <cfRule type="expression" dxfId="2742" priority="64">
      <formula>$I$206 &lt; 0</formula>
    </cfRule>
  </conditionalFormatting>
  <conditionalFormatting sqref="G9:I10">
    <cfRule type="expression" dxfId="2741" priority="59">
      <formula>$I$244 &gt; 0</formula>
    </cfRule>
    <cfRule type="expression" dxfId="2740" priority="60">
      <formula>$I$244 = 0</formula>
    </cfRule>
    <cfRule type="expression" dxfId="2739" priority="61">
      <formula>$I$244 &lt; 0</formula>
    </cfRule>
  </conditionalFormatting>
  <conditionalFormatting sqref="G11:I12">
    <cfRule type="expression" dxfId="2738" priority="56">
      <formula>$I$168 &gt; 0</formula>
    </cfRule>
    <cfRule type="expression" dxfId="2737" priority="57">
      <formula>$I$168 = 0</formula>
    </cfRule>
    <cfRule type="expression" dxfId="2736" priority="58">
      <formula>$I$168 &lt; 0</formula>
    </cfRule>
  </conditionalFormatting>
  <conditionalFormatting sqref="G13:I14">
    <cfRule type="expression" dxfId="2735" priority="53">
      <formula>$I$282 &gt; 0</formula>
    </cfRule>
    <cfRule type="expression" dxfId="2734" priority="54">
      <formula>$I$282 = 0</formula>
    </cfRule>
    <cfRule type="expression" dxfId="2733" priority="55">
      <formula>$I$282 &lt; 0</formula>
    </cfRule>
  </conditionalFormatting>
  <conditionalFormatting sqref="G15:I16">
    <cfRule type="expression" dxfId="2732" priority="50">
      <formula>$I$54 &gt; 0</formula>
    </cfRule>
    <cfRule type="expression" dxfId="2731" priority="51">
      <formula>$I$54 = 0</formula>
    </cfRule>
    <cfRule type="expression" dxfId="2730" priority="52">
      <formula>$I$54 &lt; 0</formula>
    </cfRule>
  </conditionalFormatting>
  <conditionalFormatting sqref="J5:L6">
    <cfRule type="expression" dxfId="2729" priority="47">
      <formula>$L$130 &gt; 0</formula>
    </cfRule>
    <cfRule type="expression" dxfId="2728" priority="48">
      <formula>$L$130 = 0</formula>
    </cfRule>
    <cfRule type="expression" dxfId="2727" priority="49">
      <formula>$L$130 &lt; 0</formula>
    </cfRule>
  </conditionalFormatting>
  <conditionalFormatting sqref="J7:L8">
    <cfRule type="expression" dxfId="2726" priority="44">
      <formula>$L$206 &gt; 0</formula>
    </cfRule>
    <cfRule type="expression" dxfId="2725" priority="45">
      <formula>$L$206 = 0</formula>
    </cfRule>
    <cfRule type="expression" dxfId="2724" priority="46">
      <formula>$L$206 &lt; 0</formula>
    </cfRule>
  </conditionalFormatting>
  <conditionalFormatting sqref="J9:L10">
    <cfRule type="expression" dxfId="2723" priority="41">
      <formula>$L$244 &gt; 0</formula>
    </cfRule>
    <cfRule type="expression" dxfId="2722" priority="42">
      <formula>$L$244 = 0</formula>
    </cfRule>
    <cfRule type="expression" dxfId="2721" priority="43">
      <formula>$L$244 &lt; 0</formula>
    </cfRule>
  </conditionalFormatting>
  <conditionalFormatting sqref="J11:L12">
    <cfRule type="expression" dxfId="2720" priority="38">
      <formula>$L$168 &gt; 0</formula>
    </cfRule>
    <cfRule type="expression" dxfId="2719" priority="39">
      <formula>$L$168 = 0</formula>
    </cfRule>
    <cfRule type="expression" dxfId="2718" priority="40">
      <formula>$L$168 &lt; 0</formula>
    </cfRule>
  </conditionalFormatting>
  <conditionalFormatting sqref="J13:L14">
    <cfRule type="expression" dxfId="2717" priority="35">
      <formula>$L$282 &gt; 0</formula>
    </cfRule>
    <cfRule type="expression" dxfId="2716" priority="36">
      <formula>$L$282 = 0</formula>
    </cfRule>
    <cfRule type="expression" dxfId="2715" priority="37">
      <formula>$L$282 &lt; 0</formula>
    </cfRule>
  </conditionalFormatting>
  <conditionalFormatting sqref="J15:L16">
    <cfRule type="expression" dxfId="2714" priority="32">
      <formula>$L$54 &gt; 0</formula>
    </cfRule>
    <cfRule type="expression" dxfId="2713" priority="33">
      <formula>$L$54 = 0</formula>
    </cfRule>
    <cfRule type="expression" dxfId="2712" priority="34">
      <formula>$L$54 &lt; 0</formula>
    </cfRule>
  </conditionalFormatting>
  <conditionalFormatting sqref="M5:O6">
    <cfRule type="expression" dxfId="2711" priority="29">
      <formula>$O$130 &gt; 0</formula>
    </cfRule>
    <cfRule type="expression" dxfId="2710" priority="30">
      <formula>$O$130 = 0</formula>
    </cfRule>
    <cfRule type="expression" dxfId="2709" priority="31">
      <formula>$O$130 &lt; 0</formula>
    </cfRule>
  </conditionalFormatting>
  <conditionalFormatting sqref="M7:O8">
    <cfRule type="expression" dxfId="2708" priority="26">
      <formula>$O$206 &gt; 0</formula>
    </cfRule>
    <cfRule type="expression" dxfId="2707" priority="27">
      <formula>$O$206 = 0</formula>
    </cfRule>
    <cfRule type="expression" dxfId="2706" priority="28">
      <formula>$O$206 &lt; 0</formula>
    </cfRule>
  </conditionalFormatting>
  <conditionalFormatting sqref="M9:O10">
    <cfRule type="expression" dxfId="2705" priority="23">
      <formula>$O$244 &gt; 0</formula>
    </cfRule>
    <cfRule type="expression" dxfId="2704" priority="24">
      <formula>$O$244 = 0</formula>
    </cfRule>
    <cfRule type="expression" dxfId="2703" priority="25">
      <formula>$O$244 &lt; 0</formula>
    </cfRule>
  </conditionalFormatting>
  <conditionalFormatting sqref="M11:O12">
    <cfRule type="expression" dxfId="2702" priority="20">
      <formula>$O$168 &gt; 0</formula>
    </cfRule>
    <cfRule type="expression" dxfId="2701" priority="21">
      <formula>$O$168 = 0</formula>
    </cfRule>
    <cfRule type="expression" dxfId="2700" priority="22">
      <formula>$O$168 &lt; 0</formula>
    </cfRule>
  </conditionalFormatting>
  <conditionalFormatting sqref="M13:O14">
    <cfRule type="expression" dxfId="2699" priority="17">
      <formula>$O$282 &gt; 0</formula>
    </cfRule>
    <cfRule type="expression" dxfId="2698" priority="18">
      <formula>$O$282 = 0</formula>
    </cfRule>
    <cfRule type="expression" dxfId="2697" priority="19">
      <formula>$O$282 &lt; 0</formula>
    </cfRule>
  </conditionalFormatting>
  <conditionalFormatting sqref="M15:O16">
    <cfRule type="expression" dxfId="2696" priority="14">
      <formula>$O$54 &gt; 0</formula>
    </cfRule>
    <cfRule type="expression" dxfId="2695" priority="15">
      <formula>$O$54 = 0</formula>
    </cfRule>
    <cfRule type="expression" dxfId="2694" priority="16">
      <formula>$O$54 &lt; 0</formula>
    </cfRule>
  </conditionalFormatting>
  <conditionalFormatting sqref="D3:F4">
    <cfRule type="expression" dxfId="2693" priority="11">
      <formula>$F$92 &gt; 0</formula>
    </cfRule>
    <cfRule type="expression" dxfId="2692" priority="12">
      <formula>$F$92 = 0</formula>
    </cfRule>
    <cfRule type="expression" dxfId="2691" priority="13">
      <formula>$F$92 &lt; 0</formula>
    </cfRule>
  </conditionalFormatting>
  <conditionalFormatting sqref="G3:I4">
    <cfRule type="expression" dxfId="2690" priority="8">
      <formula>$I$92 &gt; 0</formula>
    </cfRule>
    <cfRule type="expression" dxfId="2689" priority="9">
      <formula>$I$92 = 0</formula>
    </cfRule>
    <cfRule type="expression" dxfId="2688" priority="10">
      <formula>$I$92 &lt; 0</formula>
    </cfRule>
  </conditionalFormatting>
  <conditionalFormatting sqref="J3:L4">
    <cfRule type="expression" dxfId="2687" priority="5">
      <formula>$L$92 &gt; 0</formula>
    </cfRule>
    <cfRule type="expression" dxfId="2686" priority="6">
      <formula>$L$92 = 0</formula>
    </cfRule>
    <cfRule type="expression" dxfId="2685" priority="7">
      <formula>$L$92 &lt; 0</formula>
    </cfRule>
  </conditionalFormatting>
  <conditionalFormatting sqref="M3:O4">
    <cfRule type="expression" dxfId="2684" priority="2">
      <formula>$O$92 &gt; 0</formula>
    </cfRule>
    <cfRule type="expression" dxfId="2683" priority="3">
      <formula>$O$92 = 0</formula>
    </cfRule>
    <cfRule type="expression" dxfId="268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44317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" t="s">
        <v>3</v>
      </c>
      <c r="B2" s="247" t="s">
        <v>4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5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4" t="s">
        <v>7</v>
      </c>
      <c r="B3" s="253" t="s">
        <v>8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257"/>
      <c r="I3" s="258"/>
      <c r="J3" s="4" t="s">
        <v>7</v>
      </c>
      <c r="K3" s="253" t="s">
        <v>9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53" t="s">
        <v>12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13</v>
      </c>
      <c r="L4" s="254"/>
      <c r="M4" s="254"/>
      <c r="N4" s="254"/>
      <c r="O4" s="255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53" t="s">
        <v>16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257"/>
      <c r="I5" s="258"/>
      <c r="J5" s="4" t="s">
        <v>15</v>
      </c>
      <c r="K5" s="253" t="s">
        <v>17</v>
      </c>
      <c r="L5" s="254"/>
      <c r="M5" s="254"/>
      <c r="N5" s="254"/>
      <c r="O5" s="255"/>
    </row>
    <row r="6" spans="1:19">
      <c r="A6" s="4" t="s">
        <v>18</v>
      </c>
      <c r="B6" s="253" t="s">
        <v>19</v>
      </c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20</v>
      </c>
      <c r="L6" s="254"/>
      <c r="M6" s="254"/>
      <c r="N6" s="254"/>
      <c r="O6" s="255"/>
    </row>
    <row r="7" spans="1:19" ht="17.25" thickBot="1">
      <c r="A7" s="4" t="s">
        <v>21</v>
      </c>
      <c r="B7" s="253" t="s">
        <v>22</v>
      </c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257"/>
      <c r="I7" s="258"/>
      <c r="J7" s="4" t="s">
        <v>21</v>
      </c>
      <c r="K7" s="253" t="s">
        <v>23</v>
      </c>
      <c r="L7" s="254"/>
      <c r="M7" s="254"/>
      <c r="N7" s="254"/>
      <c r="O7" s="255"/>
    </row>
    <row r="8" spans="1:19" ht="17.25" thickBot="1">
      <c r="A8" s="4" t="s">
        <v>24</v>
      </c>
      <c r="B8" s="253" t="s">
        <v>25</v>
      </c>
      <c r="C8" s="254"/>
      <c r="D8" s="254"/>
      <c r="E8" s="254"/>
      <c r="F8" s="255"/>
      <c r="G8" s="250" t="s">
        <v>285</v>
      </c>
      <c r="H8" s="251"/>
      <c r="I8" s="252"/>
      <c r="J8" s="4" t="s">
        <v>24</v>
      </c>
      <c r="K8" s="253" t="s">
        <v>26</v>
      </c>
      <c r="L8" s="254"/>
      <c r="M8" s="254"/>
      <c r="N8" s="254"/>
      <c r="O8" s="255"/>
      <c r="Q8" s="241" t="s">
        <v>27</v>
      </c>
      <c r="R8" s="243"/>
    </row>
    <row r="9" spans="1:19" ht="17.25" thickBot="1">
      <c r="A9" s="4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257"/>
      <c r="I9" s="258"/>
      <c r="J9" s="4" t="s">
        <v>28</v>
      </c>
      <c r="K9" s="253" t="s">
        <v>293</v>
      </c>
      <c r="L9" s="254"/>
      <c r="M9" s="254"/>
      <c r="N9" s="254"/>
      <c r="O9" s="255"/>
      <c r="Q9" s="2" t="s">
        <v>29</v>
      </c>
      <c r="R9" s="6">
        <v>10</v>
      </c>
    </row>
    <row r="10" spans="1:19">
      <c r="A10" s="4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/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7" t="s">
        <v>32</v>
      </c>
      <c r="B11" s="259"/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257"/>
      <c r="I11" s="258"/>
      <c r="J11" s="7" t="s">
        <v>32</v>
      </c>
      <c r="K11" s="259"/>
      <c r="L11" s="260"/>
      <c r="M11" s="260"/>
      <c r="N11" s="260"/>
      <c r="O11" s="261"/>
      <c r="Q11" s="61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07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62017000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-1.6680144000000001E-2</v>
      </c>
      <c r="N14" s="272"/>
      <c r="O14" s="273"/>
      <c r="Q14" s="262"/>
      <c r="R14" s="262"/>
      <c r="S14" s="262"/>
    </row>
    <row r="15" spans="1:19" ht="17.25" customHeight="1" thickBot="1">
      <c r="A15" s="263" t="s">
        <v>39</v>
      </c>
      <c r="B15" s="274" t="str">
        <f>TEXT($G$1, "[$-ko-KR]yyyy-mm-dd(ddd) ") &amp; "오전 00:00"</f>
        <v>2021-05-01(토) 오전 00:00</v>
      </c>
      <c r="C15" s="275"/>
      <c r="D15" s="264" t="str">
        <f>TEXT($G$1, "[$-ko-KR]yyyy-mm-dd(ddd) ") &amp; "오후 14:00"</f>
        <v>2021-05-01(토) 오후 14:00</v>
      </c>
      <c r="E15" s="265"/>
      <c r="F15" s="266"/>
      <c r="G15" s="264" t="str">
        <f>TEXT($G$1, "[$-ko-KR]yyyy-mm-dd(ddd) ") &amp; "오후 19:00"</f>
        <v>2021-05-01(토) 오후 19:00</v>
      </c>
      <c r="H15" s="265"/>
      <c r="I15" s="266"/>
      <c r="J15" s="264" t="str">
        <f>TEXT($G$1, "[$-ko-KR]yyyy-mm-dd(ddd) ") &amp; "오후 21:00"</f>
        <v>2021-05-01(토) 오후 21:00</v>
      </c>
      <c r="K15" s="265"/>
      <c r="L15" s="266"/>
      <c r="M15" s="264" t="str">
        <f>TEXT($G$1+1, "[$-ko-KR]yyyy-mm-dd(ddd) ") &amp; "오전 00:00"</f>
        <v>2021-05-02(일) 오전 00:00</v>
      </c>
      <c r="N15" s="265"/>
      <c r="O15" s="266"/>
      <c r="Q15" s="262"/>
      <c r="R15" s="262"/>
      <c r="S15" s="262"/>
    </row>
    <row r="16" spans="1:19" ht="17.25" customHeight="1" thickBot="1">
      <c r="A16" s="26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7"/>
      <c r="R16" s="267"/>
      <c r="S16" s="267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262"/>
      <c r="R17" s="262"/>
      <c r="S17" s="262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262"/>
      <c r="R18" s="262"/>
      <c r="S18" s="262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267"/>
      <c r="R19" s="267"/>
      <c r="S19" s="267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267"/>
      <c r="R20" s="267"/>
      <c r="S20" s="267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267"/>
      <c r="R21" s="267"/>
      <c r="S21" s="267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67"/>
      <c r="R22" s="267"/>
      <c r="S22" s="26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76"/>
      <c r="R26" s="277"/>
      <c r="S26" s="27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67"/>
      <c r="R32" s="267"/>
      <c r="S32" s="26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92"/>
      <c r="R36" s="293"/>
      <c r="S36" s="294"/>
    </row>
    <row r="37" spans="1:19" ht="17.25" customHeight="1" thickBot="1">
      <c r="A37" s="26" t="s">
        <v>42</v>
      </c>
      <c r="B37" s="298">
        <v>300000</v>
      </c>
      <c r="C37" s="299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07" t="s">
        <v>298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62017000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-1.6680144000000001E-2</v>
      </c>
      <c r="N41" s="272"/>
      <c r="O41" s="273"/>
      <c r="Q41" s="262"/>
      <c r="R41" s="262"/>
      <c r="S41" s="262"/>
    </row>
    <row r="42" spans="1:19" ht="17.25" customHeight="1" thickBot="1">
      <c r="A42" s="285" t="s">
        <v>55</v>
      </c>
      <c r="B42" s="287" t="str">
        <f>TEXT($G$1, "[$-ko-KR]yyyy-mm-dd(ddd) ") &amp; "오전 00:00"</f>
        <v>2021-05-01(토) 오전 00:00</v>
      </c>
      <c r="C42" s="288"/>
      <c r="D42" s="264" t="str">
        <f>TEXT($G$1, "[$-ko-KR]yyyy-mm-dd(ddd) ") &amp; "오후 14:00"</f>
        <v>2021-05-01(토) 오후 14:00</v>
      </c>
      <c r="E42" s="265"/>
      <c r="F42" s="266"/>
      <c r="G42" s="264" t="str">
        <f>TEXT($G$1, "[$-ko-KR]yyyy-mm-dd(ddd) ") &amp; "오후 19:00"</f>
        <v>2021-05-01(토) 오후 19:00</v>
      </c>
      <c r="H42" s="265"/>
      <c r="I42" s="266"/>
      <c r="J42" s="264" t="str">
        <f>TEXT($G$1, "[$-ko-KR]yyyy-mm-dd(ddd) ") &amp; "오후 21:00"</f>
        <v>2021-05-01(토) 오후 21:00</v>
      </c>
      <c r="K42" s="265"/>
      <c r="L42" s="266"/>
      <c r="M42" s="264" t="str">
        <f>TEXT($G$1+1, "[$-ko-KR]yyyy-mm-dd(ddd) ") &amp; "오전 00:00"</f>
        <v>2021-05-02(일) 오전 00:00</v>
      </c>
      <c r="N42" s="265"/>
      <c r="O42" s="266"/>
      <c r="Q42" s="262"/>
      <c r="R42" s="262"/>
      <c r="S42" s="262"/>
    </row>
    <row r="43" spans="1:19" ht="17.25" customHeight="1" thickBot="1">
      <c r="A43" s="286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7"/>
      <c r="R43" s="267"/>
      <c r="S43" s="267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262"/>
      <c r="R44" s="262"/>
      <c r="S44" s="262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262"/>
      <c r="R45" s="262"/>
      <c r="S45" s="262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267"/>
      <c r="R46" s="267"/>
      <c r="S46" s="267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267"/>
      <c r="R47" s="267"/>
      <c r="S47" s="267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267"/>
      <c r="R48" s="267"/>
      <c r="S48" s="267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267"/>
      <c r="R49" s="267"/>
      <c r="S49" s="267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267"/>
      <c r="R50" s="267"/>
      <c r="S50" s="267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267"/>
      <c r="R51" s="267"/>
      <c r="S51" s="267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276"/>
      <c r="R53" s="277"/>
      <c r="S53" s="278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279"/>
      <c r="R54" s="280"/>
      <c r="S54" s="281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282"/>
      <c r="R55" s="283"/>
      <c r="S55" s="284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267"/>
      <c r="R56" s="267"/>
      <c r="S56" s="267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262"/>
      <c r="R57" s="262"/>
      <c r="S57" s="262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262"/>
      <c r="R58" s="262"/>
      <c r="S58" s="262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267"/>
      <c r="R59" s="267"/>
      <c r="S59" s="267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267"/>
      <c r="R60" s="267"/>
      <c r="S60" s="267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267"/>
      <c r="R61" s="267"/>
      <c r="S61" s="267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289"/>
      <c r="R62" s="290"/>
      <c r="S62" s="291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92"/>
      <c r="R63" s="293"/>
      <c r="S63" s="294"/>
    </row>
    <row r="64" spans="1:19" ht="17.25" customHeight="1" thickBot="1">
      <c r="A64" s="26" t="s">
        <v>301</v>
      </c>
      <c r="B64" s="298">
        <f>$B$37</f>
        <v>300000</v>
      </c>
      <c r="C64" s="299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07" t="s">
        <v>298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62017000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-1.6680144000000001E-2</v>
      </c>
      <c r="N68" s="272"/>
      <c r="O68" s="273"/>
      <c r="Q68" s="262"/>
      <c r="R68" s="262"/>
      <c r="S68" s="262"/>
    </row>
    <row r="69" spans="1:19" ht="17.25" thickBot="1">
      <c r="A69" s="285" t="s">
        <v>55</v>
      </c>
      <c r="B69" s="287" t="str">
        <f>TEXT($G$1, "[$-ko-KR]yyyy-mm-dd(ddd) ") &amp; "오전 00:00"</f>
        <v>2021-05-01(토) 오전 00:00</v>
      </c>
      <c r="C69" s="288"/>
      <c r="D69" s="264" t="str">
        <f>TEXT($G$1, "[$-ko-KR]yyyy-mm-dd(ddd) ") &amp; "오후 14:00"</f>
        <v>2021-05-01(토) 오후 14:00</v>
      </c>
      <c r="E69" s="265"/>
      <c r="F69" s="266"/>
      <c r="G69" s="264" t="str">
        <f>TEXT($G$1, "[$-ko-KR]yyyy-mm-dd(ddd) ") &amp; "오후 19:00"</f>
        <v>2021-05-01(토) 오후 19:00</v>
      </c>
      <c r="H69" s="265"/>
      <c r="I69" s="266"/>
      <c r="J69" s="264" t="str">
        <f>TEXT($G$1, "[$-ko-KR]yyyy-mm-dd(ddd) ") &amp; "오후 21:00"</f>
        <v>2021-05-01(토) 오후 21:00</v>
      </c>
      <c r="K69" s="265"/>
      <c r="L69" s="266"/>
      <c r="M69" s="264" t="str">
        <f>TEXT($G$1+1, "[$-ko-KR]yyyy-mm-dd(ddd) ") &amp; "오전 00:00"</f>
        <v>2021-05-02(일) 오전 00:00</v>
      </c>
      <c r="N69" s="265"/>
      <c r="O69" s="266"/>
      <c r="Q69" s="262"/>
      <c r="R69" s="262"/>
      <c r="S69" s="262"/>
    </row>
    <row r="70" spans="1:19" ht="17.25" thickBot="1">
      <c r="A70" s="286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7"/>
      <c r="R70" s="267"/>
      <c r="S70" s="267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262"/>
      <c r="R71" s="262"/>
      <c r="S71" s="262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62"/>
      <c r="R72" s="262"/>
      <c r="S72" s="262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267"/>
      <c r="R73" s="267"/>
      <c r="S73" s="267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267"/>
      <c r="R74" s="267"/>
      <c r="S74" s="267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267"/>
      <c r="R75" s="267"/>
      <c r="S75" s="267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267"/>
      <c r="R76" s="267"/>
      <c r="S76" s="267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267"/>
      <c r="R77" s="267"/>
      <c r="S77" s="267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267"/>
      <c r="R78" s="267"/>
      <c r="S78" s="267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276"/>
      <c r="R80" s="277"/>
      <c r="S80" s="278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279"/>
      <c r="R81" s="280"/>
      <c r="S81" s="281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282"/>
      <c r="R82" s="283"/>
      <c r="S82" s="284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267"/>
      <c r="R83" s="267"/>
      <c r="S83" s="267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262"/>
      <c r="R84" s="262"/>
      <c r="S84" s="262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262"/>
      <c r="R85" s="262"/>
      <c r="S85" s="262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267"/>
      <c r="R86" s="267"/>
      <c r="S86" s="267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267"/>
      <c r="R87" s="267"/>
      <c r="S87" s="267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267"/>
      <c r="R88" s="267"/>
      <c r="S88" s="267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289"/>
      <c r="R89" s="290"/>
      <c r="S89" s="291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292"/>
      <c r="R90" s="293"/>
      <c r="S90" s="294"/>
    </row>
    <row r="91" spans="1:19" ht="17.25" thickBot="1">
      <c r="A91" s="26" t="s">
        <v>301</v>
      </c>
      <c r="B91" s="298">
        <f>$B$37</f>
        <v>300000</v>
      </c>
      <c r="C91" s="299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07" t="s">
        <v>298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62017000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-1.6680144000000001E-2</v>
      </c>
      <c r="N95" s="272"/>
      <c r="O95" s="273"/>
      <c r="Q95" s="262"/>
      <c r="R95" s="262"/>
      <c r="S95" s="262"/>
    </row>
    <row r="96" spans="1:19" ht="17.25" thickBot="1">
      <c r="A96" s="285" t="s">
        <v>55</v>
      </c>
      <c r="B96" s="287" t="str">
        <f>TEXT($G$1, "[$-ko-KR]yyyy-mm-dd(ddd) ") &amp; "오전 00:00"</f>
        <v>2021-05-01(토) 오전 00:00</v>
      </c>
      <c r="C96" s="288"/>
      <c r="D96" s="264" t="str">
        <f>TEXT($G$1, "[$-ko-KR]yyyy-mm-dd(ddd) ") &amp; "오후 14:00"</f>
        <v>2021-05-01(토) 오후 14:00</v>
      </c>
      <c r="E96" s="265"/>
      <c r="F96" s="266"/>
      <c r="G96" s="264" t="str">
        <f>TEXT($G$1, "[$-ko-KR]yyyy-mm-dd(ddd) ") &amp; "오후 19:00"</f>
        <v>2021-05-01(토) 오후 19:00</v>
      </c>
      <c r="H96" s="265"/>
      <c r="I96" s="266"/>
      <c r="J96" s="264" t="str">
        <f>TEXT($G$1, "[$-ko-KR]yyyy-mm-dd(ddd) ") &amp; "오후 21:00"</f>
        <v>2021-05-01(토) 오후 21:00</v>
      </c>
      <c r="K96" s="265"/>
      <c r="L96" s="266"/>
      <c r="M96" s="264" t="str">
        <f>TEXT($G$1+1, "[$-ko-KR]yyyy-mm-dd(ddd) ") &amp; "오전 00:00"</f>
        <v>2021-05-02(일) 오전 00:00</v>
      </c>
      <c r="N96" s="265"/>
      <c r="O96" s="266"/>
      <c r="Q96" s="262"/>
      <c r="R96" s="262"/>
      <c r="S96" s="262"/>
    </row>
    <row r="97" spans="1:19" ht="17.25" thickBot="1">
      <c r="A97" s="286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7"/>
      <c r="R97" s="267"/>
      <c r="S97" s="267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262"/>
      <c r="R98" s="262"/>
      <c r="S98" s="262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262"/>
      <c r="R99" s="262"/>
      <c r="S99" s="262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267"/>
      <c r="R100" s="267"/>
      <c r="S100" s="267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267"/>
      <c r="R101" s="267"/>
      <c r="S101" s="267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267"/>
      <c r="R102" s="267"/>
      <c r="S102" s="267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267"/>
      <c r="R103" s="267"/>
      <c r="S103" s="267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67"/>
      <c r="R104" s="267"/>
      <c r="S104" s="267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267"/>
      <c r="R105" s="267"/>
      <c r="S105" s="267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276"/>
      <c r="R107" s="277"/>
      <c r="S107" s="278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279"/>
      <c r="R108" s="280"/>
      <c r="S108" s="281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282"/>
      <c r="R109" s="283"/>
      <c r="S109" s="284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267"/>
      <c r="R110" s="267"/>
      <c r="S110" s="267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262"/>
      <c r="R111" s="262"/>
      <c r="S111" s="262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262"/>
      <c r="R112" s="262"/>
      <c r="S112" s="262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267"/>
      <c r="R113" s="267"/>
      <c r="S113" s="267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267"/>
      <c r="R114" s="267"/>
      <c r="S114" s="267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267"/>
      <c r="R115" s="267"/>
      <c r="S115" s="267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289"/>
      <c r="R116" s="290"/>
      <c r="S116" s="291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292"/>
      <c r="R117" s="293"/>
      <c r="S117" s="294"/>
    </row>
    <row r="118" spans="1:19" ht="17.25" thickBot="1">
      <c r="A118" s="26" t="s">
        <v>301</v>
      </c>
      <c r="B118" s="298">
        <f>$B$37</f>
        <v>300000</v>
      </c>
      <c r="C118" s="299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295"/>
      <c r="R118" s="296"/>
      <c r="S118" s="297"/>
    </row>
    <row r="120" spans="1:19" ht="17.25" thickBot="1"/>
    <row r="121" spans="1:19" ht="17.25" thickBot="1">
      <c r="A121" s="241" t="s">
        <v>288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07" t="s">
        <v>298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62017000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-1.6680144000000001E-2</v>
      </c>
      <c r="N122" s="272"/>
      <c r="O122" s="273"/>
      <c r="Q122" s="262"/>
      <c r="R122" s="262"/>
      <c r="S122" s="262"/>
    </row>
    <row r="123" spans="1:19" ht="17.25" thickBot="1">
      <c r="A123" s="285" t="s">
        <v>55</v>
      </c>
      <c r="B123" s="287" t="str">
        <f>TEXT($G$1, "[$-ko-KR]yyyy-mm-dd(ddd) ") &amp; "오전 00:00"</f>
        <v>2021-05-01(토) 오전 00:00</v>
      </c>
      <c r="C123" s="288"/>
      <c r="D123" s="264" t="str">
        <f>TEXT($G$1, "[$-ko-KR]yyyy-mm-dd(ddd) ") &amp; "오후 14:00"</f>
        <v>2021-05-01(토) 오후 14:00</v>
      </c>
      <c r="E123" s="265"/>
      <c r="F123" s="266"/>
      <c r="G123" s="264" t="str">
        <f>TEXT($G$1, "[$-ko-KR]yyyy-mm-dd(ddd) ") &amp; "오후 19:00"</f>
        <v>2021-05-01(토) 오후 19:00</v>
      </c>
      <c r="H123" s="265"/>
      <c r="I123" s="266"/>
      <c r="J123" s="264" t="str">
        <f>TEXT($G$1, "[$-ko-KR]yyyy-mm-dd(ddd) ") &amp; "오후 21:00"</f>
        <v>2021-05-01(토) 오후 21:00</v>
      </c>
      <c r="K123" s="265"/>
      <c r="L123" s="266"/>
      <c r="M123" s="264" t="str">
        <f>TEXT($G$1+1, "[$-ko-KR]yyyy-mm-dd(ddd) ") &amp; "오전 00:00"</f>
        <v>2021-05-02(일) 오전 00:00</v>
      </c>
      <c r="N123" s="265"/>
      <c r="O123" s="266"/>
      <c r="Q123" s="262"/>
      <c r="R123" s="262"/>
      <c r="S123" s="262"/>
    </row>
    <row r="124" spans="1:19" ht="17.25" thickBot="1">
      <c r="A124" s="286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7"/>
      <c r="R124" s="267"/>
      <c r="S124" s="267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262"/>
      <c r="R125" s="262"/>
      <c r="S125" s="262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262"/>
      <c r="R126" s="262"/>
      <c r="S126" s="262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267"/>
      <c r="R127" s="267"/>
      <c r="S127" s="267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267"/>
      <c r="R128" s="267"/>
      <c r="S128" s="267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267"/>
      <c r="R129" s="267"/>
      <c r="S129" s="267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267"/>
      <c r="R130" s="267"/>
      <c r="S130" s="267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267"/>
      <c r="R131" s="267"/>
      <c r="S131" s="267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267"/>
      <c r="R132" s="267"/>
      <c r="S132" s="267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276"/>
      <c r="R134" s="277"/>
      <c r="S134" s="278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279"/>
      <c r="R135" s="280"/>
      <c r="S135" s="281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282"/>
      <c r="R136" s="283"/>
      <c r="S136" s="284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267"/>
      <c r="R137" s="267"/>
      <c r="S137" s="267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262"/>
      <c r="R138" s="262"/>
      <c r="S138" s="262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262"/>
      <c r="R139" s="262"/>
      <c r="S139" s="262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267"/>
      <c r="R140" s="267"/>
      <c r="S140" s="267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267"/>
      <c r="R141" s="267"/>
      <c r="S141" s="267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267"/>
      <c r="R142" s="267"/>
      <c r="S142" s="267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289"/>
      <c r="R143" s="290"/>
      <c r="S143" s="291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92"/>
      <c r="R144" s="293"/>
      <c r="S144" s="294"/>
    </row>
    <row r="145" spans="1:19" ht="17.25" thickBot="1">
      <c r="A145" s="26" t="s">
        <v>301</v>
      </c>
      <c r="B145" s="298">
        <f>$B$37</f>
        <v>300000</v>
      </c>
      <c r="C145" s="299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295"/>
      <c r="R145" s="296"/>
      <c r="S145" s="297"/>
    </row>
    <row r="147" spans="1:19" ht="17.25" thickBot="1"/>
    <row r="148" spans="1:19" ht="17.25" thickBot="1">
      <c r="A148" s="241" t="s">
        <v>289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07" t="s">
        <v>298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62017000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-1.6680144000000001E-2</v>
      </c>
      <c r="N149" s="272"/>
      <c r="O149" s="273"/>
      <c r="Q149" s="262"/>
      <c r="R149" s="262"/>
      <c r="S149" s="262"/>
    </row>
    <row r="150" spans="1:19" ht="17.25" thickBot="1">
      <c r="A150" s="285" t="s">
        <v>55</v>
      </c>
      <c r="B150" s="287" t="str">
        <f>TEXT($G$1, "[$-ko-KR]yyyy-mm-dd(ddd) ") &amp; "오전 00:00"</f>
        <v>2021-05-01(토) 오전 00:00</v>
      </c>
      <c r="C150" s="288"/>
      <c r="D150" s="264" t="str">
        <f>TEXT($G$1, "[$-ko-KR]yyyy-mm-dd(ddd) ") &amp; "오후 14:00"</f>
        <v>2021-05-01(토) 오후 14:00</v>
      </c>
      <c r="E150" s="265"/>
      <c r="F150" s="266"/>
      <c r="G150" s="264" t="str">
        <f>TEXT($G$1, "[$-ko-KR]yyyy-mm-dd(ddd) ") &amp; "오후 19:00"</f>
        <v>2021-05-01(토) 오후 19:00</v>
      </c>
      <c r="H150" s="265"/>
      <c r="I150" s="266"/>
      <c r="J150" s="264" t="str">
        <f>TEXT($G$1, "[$-ko-KR]yyyy-mm-dd(ddd) ") &amp; "오후 21:00"</f>
        <v>2021-05-01(토) 오후 21:00</v>
      </c>
      <c r="K150" s="265"/>
      <c r="L150" s="266"/>
      <c r="M150" s="264" t="str">
        <f>TEXT($G$1+1, "[$-ko-KR]yyyy-mm-dd(ddd) ") &amp; "오전 00:00"</f>
        <v>2021-05-02(일) 오전 00:00</v>
      </c>
      <c r="N150" s="265"/>
      <c r="O150" s="266"/>
      <c r="Q150" s="262"/>
      <c r="R150" s="262"/>
      <c r="S150" s="262"/>
    </row>
    <row r="151" spans="1:19" ht="17.25" thickBot="1">
      <c r="A151" s="286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7"/>
      <c r="R151" s="267"/>
      <c r="S151" s="267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262"/>
      <c r="R152" s="262"/>
      <c r="S152" s="262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262"/>
      <c r="R153" s="262"/>
      <c r="S153" s="262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267"/>
      <c r="R154" s="267"/>
      <c r="S154" s="267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267"/>
      <c r="R155" s="267"/>
      <c r="S155" s="267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267"/>
      <c r="R156" s="267"/>
      <c r="S156" s="267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267"/>
      <c r="R157" s="267"/>
      <c r="S157" s="267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267"/>
      <c r="R158" s="267"/>
      <c r="S158" s="267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267"/>
      <c r="R159" s="267"/>
      <c r="S159" s="267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276"/>
      <c r="R161" s="277"/>
      <c r="S161" s="278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279"/>
      <c r="R162" s="280"/>
      <c r="S162" s="281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282"/>
      <c r="R163" s="283"/>
      <c r="S163" s="284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267"/>
      <c r="R164" s="267"/>
      <c r="S164" s="267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262"/>
      <c r="R165" s="262"/>
      <c r="S165" s="262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262"/>
      <c r="R166" s="262"/>
      <c r="S166" s="262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267"/>
      <c r="R167" s="267"/>
      <c r="S167" s="267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267"/>
      <c r="R168" s="267"/>
      <c r="S168" s="267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267"/>
      <c r="R169" s="267"/>
      <c r="S169" s="267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289"/>
      <c r="R170" s="290"/>
      <c r="S170" s="291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292"/>
      <c r="R171" s="293"/>
      <c r="S171" s="294"/>
    </row>
    <row r="172" spans="1:19" ht="17.25" thickBot="1">
      <c r="A172" s="26" t="s">
        <v>301</v>
      </c>
      <c r="B172" s="298">
        <f>$B$37</f>
        <v>300000</v>
      </c>
      <c r="C172" s="299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295"/>
      <c r="R172" s="296"/>
      <c r="S172" s="297"/>
    </row>
    <row r="174" spans="1:19" ht="17.25" thickBot="1"/>
    <row r="175" spans="1:19" ht="17.25" thickBot="1">
      <c r="A175" s="241" t="s">
        <v>285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07" t="s">
        <v>298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62017000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-1.6680144000000001E-2</v>
      </c>
      <c r="N176" s="272"/>
      <c r="O176" s="273"/>
      <c r="Q176" s="262"/>
      <c r="R176" s="262"/>
      <c r="S176" s="262"/>
    </row>
    <row r="177" spans="1:19" ht="17.25" thickBot="1">
      <c r="A177" s="285" t="s">
        <v>55</v>
      </c>
      <c r="B177" s="287" t="str">
        <f>TEXT($G$1, "[$-ko-KR]yyyy-mm-dd(ddd) ") &amp; "오전 00:00"</f>
        <v>2021-05-01(토) 오전 00:00</v>
      </c>
      <c r="C177" s="288"/>
      <c r="D177" s="264" t="str">
        <f>TEXT($G$1, "[$-ko-KR]yyyy-mm-dd(ddd) ") &amp; "오후 14:00"</f>
        <v>2021-05-01(토) 오후 14:00</v>
      </c>
      <c r="E177" s="265"/>
      <c r="F177" s="266"/>
      <c r="G177" s="264" t="str">
        <f>TEXT($G$1, "[$-ko-KR]yyyy-mm-dd(ddd) ") &amp; "오후 19:00"</f>
        <v>2021-05-01(토) 오후 19:00</v>
      </c>
      <c r="H177" s="265"/>
      <c r="I177" s="266"/>
      <c r="J177" s="264" t="str">
        <f>TEXT($G$1, "[$-ko-KR]yyyy-mm-dd(ddd) ") &amp; "오후 21:00"</f>
        <v>2021-05-01(토) 오후 21:00</v>
      </c>
      <c r="K177" s="265"/>
      <c r="L177" s="266"/>
      <c r="M177" s="264" t="str">
        <f>TEXT($G$1+1, "[$-ko-KR]yyyy-mm-dd(ddd) ") &amp; "오전 00:00"</f>
        <v>2021-05-02(일) 오전 00:00</v>
      </c>
      <c r="N177" s="265"/>
      <c r="O177" s="266"/>
      <c r="Q177" s="262"/>
      <c r="R177" s="262"/>
      <c r="S177" s="262"/>
    </row>
    <row r="178" spans="1:19" ht="17.25" thickBot="1">
      <c r="A178" s="286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7"/>
      <c r="R178" s="267"/>
      <c r="S178" s="267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262"/>
      <c r="R179" s="262"/>
      <c r="S179" s="262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262"/>
      <c r="R180" s="262"/>
      <c r="S180" s="262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267"/>
      <c r="R181" s="267"/>
      <c r="S181" s="267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267"/>
      <c r="R182" s="267"/>
      <c r="S182" s="267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267"/>
      <c r="R183" s="267"/>
      <c r="S183" s="267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267"/>
      <c r="R184" s="267"/>
      <c r="S184" s="267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267"/>
      <c r="R185" s="267"/>
      <c r="S185" s="267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267"/>
      <c r="R186" s="267"/>
      <c r="S186" s="267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276"/>
      <c r="R188" s="277"/>
      <c r="S188" s="278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279"/>
      <c r="R189" s="280"/>
      <c r="S189" s="281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282"/>
      <c r="R190" s="283"/>
      <c r="S190" s="284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267"/>
      <c r="R191" s="267"/>
      <c r="S191" s="267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262"/>
      <c r="R192" s="262"/>
      <c r="S192" s="262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262"/>
      <c r="R193" s="262"/>
      <c r="S193" s="262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267"/>
      <c r="R194" s="267"/>
      <c r="S194" s="267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267"/>
      <c r="R195" s="267"/>
      <c r="S195" s="267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267"/>
      <c r="R196" s="267"/>
      <c r="S196" s="267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289"/>
      <c r="R197" s="290"/>
      <c r="S197" s="291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292"/>
      <c r="R198" s="293"/>
      <c r="S198" s="294"/>
    </row>
    <row r="199" spans="1:19" ht="17.25" thickBot="1">
      <c r="A199" s="26" t="s">
        <v>301</v>
      </c>
      <c r="B199" s="298">
        <f>$B$37</f>
        <v>300000</v>
      </c>
      <c r="C199" s="299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71" priority="157">
      <formula>AND($N17 &gt; 0, ISNUMBER($N17))</formula>
    </cfRule>
    <cfRule type="expression" dxfId="2670" priority="158">
      <formula>AND($N17 = 0 * ISNUMBER($N17))</formula>
    </cfRule>
    <cfRule type="expression" dxfId="2669" priority="159">
      <formula>AND($N17 &lt; 0, ISNUMBER($N17))</formula>
    </cfRule>
  </conditionalFormatting>
  <conditionalFormatting sqref="A17:F36">
    <cfRule type="expression" dxfId="2668" priority="166">
      <formula>AND($E17 &gt; 0, ISNUMBER($E17))</formula>
    </cfRule>
    <cfRule type="expression" dxfId="2667" priority="167">
      <formula>AND($E17 = 0 * ISNUMBER($E17))</formula>
    </cfRule>
    <cfRule type="expression" dxfId="2666" priority="168">
      <formula>AND($E17 &lt; 0, ISNUMBER($E17))</formula>
    </cfRule>
  </conditionalFormatting>
  <conditionalFormatting sqref="A17:C36 G17:I36">
    <cfRule type="expression" dxfId="2665" priority="163">
      <formula>AND($H17 &gt; 0, ISNUMBER($H17))</formula>
    </cfRule>
    <cfRule type="expression" dxfId="2664" priority="164">
      <formula>AND($H17 = 0 * ISNUMBER($H17))</formula>
    </cfRule>
    <cfRule type="expression" dxfId="2663" priority="165">
      <formula>AND($H17 &lt; 0, ISNUMBER($H17))</formula>
    </cfRule>
  </conditionalFormatting>
  <conditionalFormatting sqref="A17:C36 J17:L36">
    <cfRule type="expression" dxfId="2662" priority="160">
      <formula>AND($K17 &gt; 0, ISNUMBER($K17))</formula>
    </cfRule>
    <cfRule type="expression" dxfId="2661" priority="161">
      <formula>AND($K17 = 0 * ISNUMBER($K17))</formula>
    </cfRule>
    <cfRule type="expression" dxfId="2660" priority="162">
      <formula>AND($K17 &lt; 0, ISNUMBER($K17))</formula>
    </cfRule>
  </conditionalFormatting>
  <conditionalFormatting sqref="D15:F16 E37:F37">
    <cfRule type="expression" dxfId="2659" priority="154">
      <formula>$E$37 &gt; 0</formula>
    </cfRule>
    <cfRule type="expression" dxfId="2658" priority="155">
      <formula>$E$37 = 0</formula>
    </cfRule>
    <cfRule type="expression" dxfId="2657" priority="156">
      <formula>$E$37 &lt; 0</formula>
    </cfRule>
  </conditionalFormatting>
  <conditionalFormatting sqref="G15:I16 H37:I37">
    <cfRule type="expression" dxfId="2656" priority="151">
      <formula>$H$37 &gt; 0</formula>
    </cfRule>
    <cfRule type="expression" dxfId="2655" priority="152">
      <formula>$H$37 = 0</formula>
    </cfRule>
    <cfRule type="expression" dxfId="2654" priority="153">
      <formula>$H$37 &lt; 0</formula>
    </cfRule>
  </conditionalFormatting>
  <conditionalFormatting sqref="J15:L16 K37:L37">
    <cfRule type="expression" dxfId="2653" priority="148">
      <formula>$K$37 &gt; 0</formula>
    </cfRule>
    <cfRule type="expression" dxfId="2652" priority="149">
      <formula>$K$37 = 0</formula>
    </cfRule>
    <cfRule type="expression" dxfId="2651" priority="150">
      <formula>$K$37 &lt; 0</formula>
    </cfRule>
  </conditionalFormatting>
  <conditionalFormatting sqref="M15:O16 N37:O37">
    <cfRule type="expression" dxfId="2650" priority="145">
      <formula>$N$37 &gt; 0</formula>
    </cfRule>
    <cfRule type="expression" dxfId="2649" priority="146">
      <formula>$N$37 = 0</formula>
    </cfRule>
    <cfRule type="expression" dxfId="2648" priority="147">
      <formula>$N$37 &lt; 0</formula>
    </cfRule>
  </conditionalFormatting>
  <conditionalFormatting sqref="A44:C63 M44:O63">
    <cfRule type="expression" dxfId="2647" priority="133">
      <formula>AND($N44 &gt; 0, ISNUMBER($N44))</formula>
    </cfRule>
    <cfRule type="expression" dxfId="2646" priority="134">
      <formula>AND($N44 = 0 * ISNUMBER($N44))</formula>
    </cfRule>
    <cfRule type="expression" dxfId="2645" priority="135">
      <formula>AND($N44 &lt; 0, ISNUMBER($N44))</formula>
    </cfRule>
  </conditionalFormatting>
  <conditionalFormatting sqref="A44:F63">
    <cfRule type="expression" dxfId="2644" priority="142">
      <formula>AND($E44 &gt; 0, ISNUMBER($E44))</formula>
    </cfRule>
    <cfRule type="expression" dxfId="2643" priority="143">
      <formula>AND($E44 = 0 * ISNUMBER($E44))</formula>
    </cfRule>
    <cfRule type="expression" dxfId="2642" priority="144">
      <formula>AND($E44 &lt; 0, ISNUMBER($E44))</formula>
    </cfRule>
  </conditionalFormatting>
  <conditionalFormatting sqref="A44:C63 G44:I63">
    <cfRule type="expression" dxfId="2641" priority="139">
      <formula>AND($H44 &gt; 0, ISNUMBER($H44))</formula>
    </cfRule>
    <cfRule type="expression" dxfId="2640" priority="140">
      <formula>AND($H44 = 0 * ISNUMBER($H44))</formula>
    </cfRule>
    <cfRule type="expression" dxfId="2639" priority="141">
      <formula>AND($H44 &lt; 0, ISNUMBER($H44))</formula>
    </cfRule>
  </conditionalFormatting>
  <conditionalFormatting sqref="A44:C63 J44:L63">
    <cfRule type="expression" dxfId="2638" priority="136">
      <formula>AND($K44 &gt; 0, ISNUMBER($K44))</formula>
    </cfRule>
    <cfRule type="expression" dxfId="2637" priority="137">
      <formula>AND($K44 = 0 * ISNUMBER($K44))</formula>
    </cfRule>
    <cfRule type="expression" dxfId="2636" priority="138">
      <formula>AND($K44 &lt; 0, ISNUMBER($K44))</formula>
    </cfRule>
  </conditionalFormatting>
  <conditionalFormatting sqref="D42:F43 E64:F64">
    <cfRule type="expression" dxfId="2635" priority="130">
      <formula>$E$64 &gt; 0</formula>
    </cfRule>
    <cfRule type="expression" dxfId="2634" priority="131">
      <formula>$E$64 = 0</formula>
    </cfRule>
    <cfRule type="expression" dxfId="2633" priority="132">
      <formula>$E$64 &lt; 0</formula>
    </cfRule>
  </conditionalFormatting>
  <conditionalFormatting sqref="G42:I43 H64:I64">
    <cfRule type="expression" dxfId="2632" priority="127">
      <formula>$H$64 &gt; 0</formula>
    </cfRule>
    <cfRule type="expression" dxfId="2631" priority="128">
      <formula>$H$64 = 0</formula>
    </cfRule>
    <cfRule type="expression" dxfId="2630" priority="129">
      <formula>$H$64 &lt; 0</formula>
    </cfRule>
  </conditionalFormatting>
  <conditionalFormatting sqref="J42:L43 K64:L64">
    <cfRule type="expression" dxfId="2629" priority="124">
      <formula>$K$64 &gt; 0</formula>
    </cfRule>
    <cfRule type="expression" dxfId="2628" priority="125">
      <formula>$K$64 = 0</formula>
    </cfRule>
    <cfRule type="expression" dxfId="2627" priority="126">
      <formula>$K$64 &lt; 0</formula>
    </cfRule>
  </conditionalFormatting>
  <conditionalFormatting sqref="M42:O43 N64:O64">
    <cfRule type="expression" dxfId="2626" priority="121">
      <formula>$N$64 &gt; 0</formula>
    </cfRule>
    <cfRule type="expression" dxfId="2625" priority="122">
      <formula>$N$64 = 0</formula>
    </cfRule>
    <cfRule type="expression" dxfId="2624" priority="123">
      <formula>$N$64 &lt; 0</formula>
    </cfRule>
  </conditionalFormatting>
  <conditionalFormatting sqref="A71:C90 M71:O90">
    <cfRule type="expression" dxfId="2623" priority="109">
      <formula>AND($N71 &gt; 0, ISNUMBER($N71))</formula>
    </cfRule>
    <cfRule type="expression" dxfId="2622" priority="110">
      <formula>AND($N71 = 0 * ISNUMBER($N71))</formula>
    </cfRule>
    <cfRule type="expression" dxfId="2621" priority="111">
      <formula>AND($N71 &lt; 0, ISNUMBER($N71))</formula>
    </cfRule>
  </conditionalFormatting>
  <conditionalFormatting sqref="A71:F90">
    <cfRule type="expression" dxfId="2620" priority="118">
      <formula>AND($E71 &gt; 0, ISNUMBER($E71))</formula>
    </cfRule>
    <cfRule type="expression" dxfId="2619" priority="119">
      <formula>AND($E71 = 0 * ISNUMBER($E71))</formula>
    </cfRule>
    <cfRule type="expression" dxfId="2618" priority="120">
      <formula>AND($E71 &lt; 0, ISNUMBER($E71))</formula>
    </cfRule>
  </conditionalFormatting>
  <conditionalFormatting sqref="A71:C90 G71:I90">
    <cfRule type="expression" dxfId="2617" priority="115">
      <formula>AND($H71 &gt; 0, ISNUMBER($H71))</formula>
    </cfRule>
    <cfRule type="expression" dxfId="2616" priority="116">
      <formula>AND($H71 = 0 * ISNUMBER($H71))</formula>
    </cfRule>
    <cfRule type="expression" dxfId="2615" priority="117">
      <formula>AND($H71 &lt; 0, ISNUMBER($H71))</formula>
    </cfRule>
  </conditionalFormatting>
  <conditionalFormatting sqref="A71:C90 J71:L90">
    <cfRule type="expression" dxfId="2614" priority="112">
      <formula>AND($K71 &gt; 0, ISNUMBER($K71))</formula>
    </cfRule>
    <cfRule type="expression" dxfId="2613" priority="113">
      <formula>AND($K71 = 0 * ISNUMBER($K71))</formula>
    </cfRule>
    <cfRule type="expression" dxfId="2612" priority="114">
      <formula>AND($K71 &lt; 0, ISNUMBER($K71))</formula>
    </cfRule>
  </conditionalFormatting>
  <conditionalFormatting sqref="D69:F70 E91:F91">
    <cfRule type="expression" dxfId="2611" priority="106">
      <formula>$E$91 &gt; 0</formula>
    </cfRule>
    <cfRule type="expression" dxfId="2610" priority="107">
      <formula>$E$91 = 0</formula>
    </cfRule>
    <cfRule type="expression" dxfId="2609" priority="108">
      <formula>$E$91 &lt; 0</formula>
    </cfRule>
  </conditionalFormatting>
  <conditionalFormatting sqref="G69:I70 H91:I91">
    <cfRule type="expression" dxfId="2608" priority="103">
      <formula>$H$91 &gt; 0</formula>
    </cfRule>
    <cfRule type="expression" dxfId="2607" priority="104">
      <formula>$H$91 = 0</formula>
    </cfRule>
    <cfRule type="expression" dxfId="2606" priority="105">
      <formula>$H$91 &lt; 0</formula>
    </cfRule>
  </conditionalFormatting>
  <conditionalFormatting sqref="J69:L70 K91:L91">
    <cfRule type="expression" dxfId="2605" priority="100">
      <formula>$K$91 &gt; 0</formula>
    </cfRule>
    <cfRule type="expression" dxfId="2604" priority="101">
      <formula>$K$91 = 0</formula>
    </cfRule>
    <cfRule type="expression" dxfId="2603" priority="102">
      <formula>$K$91 &lt; 0</formula>
    </cfRule>
  </conditionalFormatting>
  <conditionalFormatting sqref="M69:O70 N91:O91">
    <cfRule type="expression" dxfId="2602" priority="97">
      <formula>$N$91 &gt; 0</formula>
    </cfRule>
    <cfRule type="expression" dxfId="2601" priority="98">
      <formula>$N$91 = 0</formula>
    </cfRule>
    <cfRule type="expression" dxfId="2600" priority="99">
      <formula>$N$91 &lt; 0</formula>
    </cfRule>
  </conditionalFormatting>
  <conditionalFormatting sqref="A98:C117 M98:O117">
    <cfRule type="expression" dxfId="2599" priority="85">
      <formula>AND($N98 &gt; 0, ISNUMBER($N98))</formula>
    </cfRule>
    <cfRule type="expression" dxfId="2598" priority="86">
      <formula>AND($N98 = 0 * ISNUMBER($N98))</formula>
    </cfRule>
    <cfRule type="expression" dxfId="2597" priority="87">
      <formula>AND($N98 &lt; 0, ISNUMBER($N98))</formula>
    </cfRule>
  </conditionalFormatting>
  <conditionalFormatting sqref="A98:F117">
    <cfRule type="expression" dxfId="2596" priority="94">
      <formula>AND($E98 &gt; 0, ISNUMBER($E98))</formula>
    </cfRule>
    <cfRule type="expression" dxfId="2595" priority="95">
      <formula>AND($E98 = 0 * ISNUMBER($E98))</formula>
    </cfRule>
    <cfRule type="expression" dxfId="2594" priority="96">
      <formula>AND($E98 &lt; 0, ISNUMBER($E98))</formula>
    </cfRule>
  </conditionalFormatting>
  <conditionalFormatting sqref="A98:C117 G98:I117">
    <cfRule type="expression" dxfId="2593" priority="91">
      <formula>AND($H98 &gt; 0, ISNUMBER($H98))</formula>
    </cfRule>
    <cfRule type="expression" dxfId="2592" priority="92">
      <formula>AND($H98 = 0 * ISNUMBER($H98))</formula>
    </cfRule>
    <cfRule type="expression" dxfId="2591" priority="93">
      <formula>AND($H98 &lt; 0, ISNUMBER($H98))</formula>
    </cfRule>
  </conditionalFormatting>
  <conditionalFormatting sqref="A98:C117 J98:L117">
    <cfRule type="expression" dxfId="2590" priority="88">
      <formula>AND($K98 &gt; 0, ISNUMBER($K98))</formula>
    </cfRule>
    <cfRule type="expression" dxfId="2589" priority="89">
      <formula>AND($K98 = 0 * ISNUMBER($K98))</formula>
    </cfRule>
    <cfRule type="expression" dxfId="2588" priority="90">
      <formula>AND($K98 &lt; 0, ISNUMBER($K98))</formula>
    </cfRule>
  </conditionalFormatting>
  <conditionalFormatting sqref="D96:F97 E118:F118">
    <cfRule type="expression" dxfId="2587" priority="82">
      <formula>$E$118 &gt; 0</formula>
    </cfRule>
    <cfRule type="expression" dxfId="2586" priority="83">
      <formula>$E$118 = 0</formula>
    </cfRule>
    <cfRule type="expression" dxfId="2585" priority="84">
      <formula>$E$118 &lt; 0</formula>
    </cfRule>
  </conditionalFormatting>
  <conditionalFormatting sqref="G96:I97 H118:I118">
    <cfRule type="expression" dxfId="2584" priority="79">
      <formula>$H$118 &gt; 0</formula>
    </cfRule>
    <cfRule type="expression" dxfId="2583" priority="80">
      <formula>$H$118 = 0</formula>
    </cfRule>
    <cfRule type="expression" dxfId="2582" priority="81">
      <formula>$H$118 &lt; 0</formula>
    </cfRule>
  </conditionalFormatting>
  <conditionalFormatting sqref="J96:L97 K118:L118">
    <cfRule type="expression" dxfId="2581" priority="76">
      <formula>$K$118 &gt; 0</formula>
    </cfRule>
    <cfRule type="expression" dxfId="2580" priority="77">
      <formula>$K$118 = 0</formula>
    </cfRule>
    <cfRule type="expression" dxfId="2579" priority="78">
      <formula>$K$118 &lt; 0</formula>
    </cfRule>
  </conditionalFormatting>
  <conditionalFormatting sqref="M96:O97 N118:O118">
    <cfRule type="expression" dxfId="2578" priority="73">
      <formula>$N$118 &gt; 0</formula>
    </cfRule>
    <cfRule type="expression" dxfId="2577" priority="74">
      <formula>$N$118 = 0</formula>
    </cfRule>
    <cfRule type="expression" dxfId="2576" priority="75">
      <formula>$N$118 &lt; 0</formula>
    </cfRule>
  </conditionalFormatting>
  <conditionalFormatting sqref="A125:C144 M125:O144">
    <cfRule type="expression" dxfId="2575" priority="61">
      <formula>AND($N125 &gt; 0, ISNUMBER($N125))</formula>
    </cfRule>
    <cfRule type="expression" dxfId="2574" priority="62">
      <formula>AND($N125 = 0 * ISNUMBER($N125))</formula>
    </cfRule>
    <cfRule type="expression" dxfId="2573" priority="63">
      <formula>AND($N125 &lt; 0, ISNUMBER($N125))</formula>
    </cfRule>
  </conditionalFormatting>
  <conditionalFormatting sqref="A125:F144">
    <cfRule type="expression" dxfId="2572" priority="70">
      <formula>AND($E125 &gt; 0, ISNUMBER($E125))</formula>
    </cfRule>
    <cfRule type="expression" dxfId="2571" priority="71">
      <formula>AND($E125 = 0 * ISNUMBER($E125))</formula>
    </cfRule>
    <cfRule type="expression" dxfId="2570" priority="72">
      <formula>AND($E125 &lt; 0, ISNUMBER($E125))</formula>
    </cfRule>
  </conditionalFormatting>
  <conditionalFormatting sqref="A125:C144 G125:I144">
    <cfRule type="expression" dxfId="2569" priority="67">
      <formula>AND($H125 &gt; 0, ISNUMBER($H125))</formula>
    </cfRule>
    <cfRule type="expression" dxfId="2568" priority="68">
      <formula>AND($H125 = 0 * ISNUMBER($H125))</formula>
    </cfRule>
    <cfRule type="expression" dxfId="2567" priority="69">
      <formula>AND($H125 &lt; 0, ISNUMBER($H125))</formula>
    </cfRule>
  </conditionalFormatting>
  <conditionalFormatting sqref="A125:C144 J125:L144">
    <cfRule type="expression" dxfId="2566" priority="64">
      <formula>AND($K125 &gt; 0, ISNUMBER($K125))</formula>
    </cfRule>
    <cfRule type="expression" dxfId="2565" priority="65">
      <formula>AND($K125 = 0 * ISNUMBER($K125))</formula>
    </cfRule>
    <cfRule type="expression" dxfId="2564" priority="66">
      <formula>AND($K125 &lt; 0, ISNUMBER($K125))</formula>
    </cfRule>
  </conditionalFormatting>
  <conditionalFormatting sqref="D123:F124 E145:F145">
    <cfRule type="expression" dxfId="2563" priority="58">
      <formula>$E$145 &gt; 0</formula>
    </cfRule>
    <cfRule type="expression" dxfId="2562" priority="59">
      <formula>$E$145 = 0</formula>
    </cfRule>
    <cfRule type="expression" dxfId="2561" priority="60">
      <formula>$E$145 &lt; 0</formula>
    </cfRule>
  </conditionalFormatting>
  <conditionalFormatting sqref="G123:I124 H145:I145">
    <cfRule type="expression" dxfId="2560" priority="55">
      <formula>$H$145 &gt; 0</formula>
    </cfRule>
    <cfRule type="expression" dxfId="2559" priority="56">
      <formula>$H$145 = 0</formula>
    </cfRule>
    <cfRule type="expression" dxfId="2558" priority="57">
      <formula>$H$145 &lt; 0</formula>
    </cfRule>
  </conditionalFormatting>
  <conditionalFormatting sqref="J123:L124 K145:L145">
    <cfRule type="expression" dxfId="2557" priority="52">
      <formula>$K$145 &gt; 0</formula>
    </cfRule>
    <cfRule type="expression" dxfId="2556" priority="53">
      <formula>$K$145 = 0</formula>
    </cfRule>
    <cfRule type="expression" dxfId="2555" priority="54">
      <formula>$K$145 &lt; 0</formula>
    </cfRule>
  </conditionalFormatting>
  <conditionalFormatting sqref="M123:O124 N145:O145">
    <cfRule type="expression" dxfId="2554" priority="49">
      <formula>$N$145 &gt; 0</formula>
    </cfRule>
    <cfRule type="expression" dxfId="2553" priority="50">
      <formula>$N$145 = 0</formula>
    </cfRule>
    <cfRule type="expression" dxfId="2552" priority="51">
      <formula>$N$145 &lt; 0</formula>
    </cfRule>
  </conditionalFormatting>
  <conditionalFormatting sqref="A152:C171 M152:O171">
    <cfRule type="expression" dxfId="2551" priority="37">
      <formula>AND($N152 &gt; 0, ISNUMBER($N152))</formula>
    </cfRule>
    <cfRule type="expression" dxfId="2550" priority="38">
      <formula>AND($N152 = 0 * ISNUMBER($N152))</formula>
    </cfRule>
    <cfRule type="expression" dxfId="2549" priority="39">
      <formula>AND($N152 &lt; 0, ISNUMBER($N152))</formula>
    </cfRule>
  </conditionalFormatting>
  <conditionalFormatting sqref="A152:F171">
    <cfRule type="expression" dxfId="2548" priority="46">
      <formula>AND($E152 &gt; 0, ISNUMBER($E152))</formula>
    </cfRule>
    <cfRule type="expression" dxfId="2547" priority="47">
      <formula>AND($E152 = 0 * ISNUMBER($E152))</formula>
    </cfRule>
    <cfRule type="expression" dxfId="2546" priority="48">
      <formula>AND($E152 &lt; 0, ISNUMBER($E152))</formula>
    </cfRule>
  </conditionalFormatting>
  <conditionalFormatting sqref="A152:C171 G152:I171">
    <cfRule type="expression" dxfId="2545" priority="43">
      <formula>AND($H152 &gt; 0, ISNUMBER($H152))</formula>
    </cfRule>
    <cfRule type="expression" dxfId="2544" priority="44">
      <formula>AND($H152 = 0 * ISNUMBER($H152))</formula>
    </cfRule>
    <cfRule type="expression" dxfId="2543" priority="45">
      <formula>AND($H152 &lt; 0, ISNUMBER($H152))</formula>
    </cfRule>
  </conditionalFormatting>
  <conditionalFormatting sqref="A152:C171 J152:L171">
    <cfRule type="expression" dxfId="2542" priority="40">
      <formula>AND($K152 &gt; 0, ISNUMBER($K152))</formula>
    </cfRule>
    <cfRule type="expression" dxfId="2541" priority="41">
      <formula>AND($K152 = 0 * ISNUMBER($K152))</formula>
    </cfRule>
    <cfRule type="expression" dxfId="2540" priority="42">
      <formula>AND($K152 &lt; 0, ISNUMBER($K152))</formula>
    </cfRule>
  </conditionalFormatting>
  <conditionalFormatting sqref="D150:F151 E172:F172">
    <cfRule type="expression" dxfId="2539" priority="34">
      <formula>$E$172 &gt; 0</formula>
    </cfRule>
    <cfRule type="expression" dxfId="2538" priority="35">
      <formula>$E$172 = 0</formula>
    </cfRule>
    <cfRule type="expression" dxfId="2537" priority="36">
      <formula>$E$172 &lt; 0</formula>
    </cfRule>
  </conditionalFormatting>
  <conditionalFormatting sqref="G150:I151 H172:I172">
    <cfRule type="expression" dxfId="2536" priority="31">
      <formula>$H$172 &gt; 0</formula>
    </cfRule>
    <cfRule type="expression" dxfId="2535" priority="32">
      <formula>$H$172 = 0</formula>
    </cfRule>
    <cfRule type="expression" dxfId="2534" priority="33">
      <formula>$H$172 &lt; 0</formula>
    </cfRule>
  </conditionalFormatting>
  <conditionalFormatting sqref="J150:L151 K172:L172">
    <cfRule type="expression" dxfId="2533" priority="28">
      <formula>$K$172 &gt; 0</formula>
    </cfRule>
    <cfRule type="expression" dxfId="2532" priority="29">
      <formula>$K$172 = 0</formula>
    </cfRule>
    <cfRule type="expression" dxfId="2531" priority="30">
      <formula>$K$172 &lt; 0</formula>
    </cfRule>
  </conditionalFormatting>
  <conditionalFormatting sqref="M150:O151 N172:O172">
    <cfRule type="expression" dxfId="2530" priority="25">
      <formula>$N$172 &gt; 0</formula>
    </cfRule>
    <cfRule type="expression" dxfId="2529" priority="26">
      <formula>$N$172 = 0</formula>
    </cfRule>
    <cfRule type="expression" dxfId="2528" priority="27">
      <formula>$N$172 &lt; 0</formula>
    </cfRule>
  </conditionalFormatting>
  <conditionalFormatting sqref="A179:C198 M179:O198">
    <cfRule type="expression" dxfId="2527" priority="13">
      <formula>AND($N179 &gt; 0, ISNUMBER($N179))</formula>
    </cfRule>
    <cfRule type="expression" dxfId="2526" priority="14">
      <formula>AND($N179 = 0 * ISNUMBER($N179))</formula>
    </cfRule>
    <cfRule type="expression" dxfId="2525" priority="15">
      <formula>AND($N179 &lt; 0, ISNUMBER($N179))</formula>
    </cfRule>
  </conditionalFormatting>
  <conditionalFormatting sqref="A179:F198">
    <cfRule type="expression" dxfId="2524" priority="22">
      <formula>AND($E179 &gt; 0, ISNUMBER($E179))</formula>
    </cfRule>
    <cfRule type="expression" dxfId="2523" priority="23">
      <formula>AND($E179 = 0 * ISNUMBER($E179))</formula>
    </cfRule>
    <cfRule type="expression" dxfId="2522" priority="24">
      <formula>AND($E179 &lt; 0, ISNUMBER($E179))</formula>
    </cfRule>
  </conditionalFormatting>
  <conditionalFormatting sqref="A179:C198 G179:I198">
    <cfRule type="expression" dxfId="2521" priority="19">
      <formula>AND($H179 &gt; 0, ISNUMBER($H179))</formula>
    </cfRule>
    <cfRule type="expression" dxfId="2520" priority="20">
      <formula>AND($H179 = 0 * ISNUMBER($H179))</formula>
    </cfRule>
    <cfRule type="expression" dxfId="2519" priority="21">
      <formula>AND($H179 &lt; 0, ISNUMBER($H179))</formula>
    </cfRule>
  </conditionalFormatting>
  <conditionalFormatting sqref="A179:C198 J179:L198">
    <cfRule type="expression" dxfId="2518" priority="16">
      <formula>AND($K179 &gt; 0, ISNUMBER($K179))</formula>
    </cfRule>
    <cfRule type="expression" dxfId="2517" priority="17">
      <formula>AND($K179 = 0 * ISNUMBER($K179))</formula>
    </cfRule>
    <cfRule type="expression" dxfId="2516" priority="18">
      <formula>AND($K179 &lt; 0, ISNUMBER($K179))</formula>
    </cfRule>
  </conditionalFormatting>
  <conditionalFormatting sqref="D177:F178 E199:F199">
    <cfRule type="expression" dxfId="2515" priority="10">
      <formula>$E$199 &gt; 0</formula>
    </cfRule>
    <cfRule type="expression" dxfId="2514" priority="11">
      <formula>$E$199 = 0</formula>
    </cfRule>
    <cfRule type="expression" dxfId="2513" priority="12">
      <formula>$E$199 &lt; 0</formula>
    </cfRule>
  </conditionalFormatting>
  <conditionalFormatting sqref="G177:I178 H199:I199">
    <cfRule type="expression" dxfId="2512" priority="7">
      <formula>$H$199 &gt; 0</formula>
    </cfRule>
    <cfRule type="expression" dxfId="2511" priority="8">
      <formula>$H$199 = 0</formula>
    </cfRule>
    <cfRule type="expression" dxfId="2510" priority="9">
      <formula>$H$199 &lt; 0</formula>
    </cfRule>
  </conditionalFormatting>
  <conditionalFormatting sqref="J177:L178 K199:L199">
    <cfRule type="expression" dxfId="2509" priority="4">
      <formula>$K$199 &gt; 0</formula>
    </cfRule>
    <cfRule type="expression" dxfId="2508" priority="5">
      <formula>$K$199 = 0</formula>
    </cfRule>
    <cfRule type="expression" dxfId="2507" priority="6">
      <formula>$K$199 &lt; 0</formula>
    </cfRule>
  </conditionalFormatting>
  <conditionalFormatting sqref="M177:O178 N199:O199">
    <cfRule type="expression" dxfId="2506" priority="1">
      <formula>$N$199 &gt; 0</formula>
    </cfRule>
    <cfRule type="expression" dxfId="2505" priority="2">
      <formula>$N$199 = 0</formula>
    </cfRule>
    <cfRule type="expression" dxfId="25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44318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" t="s">
        <v>3</v>
      </c>
      <c r="B2" s="247" t="s">
        <v>4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5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4" t="s">
        <v>7</v>
      </c>
      <c r="B3" s="253" t="s">
        <v>8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257"/>
      <c r="I3" s="258"/>
      <c r="J3" s="4" t="s">
        <v>7</v>
      </c>
      <c r="K3" s="253" t="s">
        <v>9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53" t="s">
        <v>12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13</v>
      </c>
      <c r="L4" s="254"/>
      <c r="M4" s="254"/>
      <c r="N4" s="254"/>
      <c r="O4" s="255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53" t="s">
        <v>16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257"/>
      <c r="I5" s="258"/>
      <c r="J5" s="4" t="s">
        <v>15</v>
      </c>
      <c r="K5" s="253" t="s">
        <v>17</v>
      </c>
      <c r="L5" s="254"/>
      <c r="M5" s="254"/>
      <c r="N5" s="254"/>
      <c r="O5" s="255"/>
    </row>
    <row r="6" spans="1:19">
      <c r="A6" s="4" t="s">
        <v>18</v>
      </c>
      <c r="B6" s="253" t="s">
        <v>19</v>
      </c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20</v>
      </c>
      <c r="L6" s="254"/>
      <c r="M6" s="254"/>
      <c r="N6" s="254"/>
      <c r="O6" s="255"/>
    </row>
    <row r="7" spans="1:19" ht="17.25" thickBot="1">
      <c r="A7" s="4" t="s">
        <v>21</v>
      </c>
      <c r="B7" s="253" t="s">
        <v>22</v>
      </c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257"/>
      <c r="I7" s="258"/>
      <c r="J7" s="4" t="s">
        <v>21</v>
      </c>
      <c r="K7" s="253" t="s">
        <v>23</v>
      </c>
      <c r="L7" s="254"/>
      <c r="M7" s="254"/>
      <c r="N7" s="254"/>
      <c r="O7" s="255"/>
    </row>
    <row r="8" spans="1:19" ht="17.25" thickBot="1">
      <c r="A8" s="4" t="s">
        <v>24</v>
      </c>
      <c r="B8" s="253" t="s">
        <v>25</v>
      </c>
      <c r="C8" s="254"/>
      <c r="D8" s="254"/>
      <c r="E8" s="254"/>
      <c r="F8" s="255"/>
      <c r="G8" s="250" t="s">
        <v>285</v>
      </c>
      <c r="H8" s="251"/>
      <c r="I8" s="252"/>
      <c r="J8" s="4" t="s">
        <v>24</v>
      </c>
      <c r="K8" s="253" t="s">
        <v>26</v>
      </c>
      <c r="L8" s="254"/>
      <c r="M8" s="254"/>
      <c r="N8" s="254"/>
      <c r="O8" s="255"/>
      <c r="Q8" s="241" t="s">
        <v>27</v>
      </c>
      <c r="R8" s="243"/>
    </row>
    <row r="9" spans="1:19" ht="17.25" thickBot="1">
      <c r="A9" s="4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257"/>
      <c r="I9" s="258"/>
      <c r="J9" s="4" t="s">
        <v>28</v>
      </c>
      <c r="K9" s="253" t="s">
        <v>293</v>
      </c>
      <c r="L9" s="254"/>
      <c r="M9" s="254"/>
      <c r="N9" s="254"/>
      <c r="O9" s="255"/>
      <c r="Q9" s="2" t="s">
        <v>29</v>
      </c>
      <c r="R9" s="6">
        <v>10</v>
      </c>
    </row>
    <row r="10" spans="1:19">
      <c r="A10" s="4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/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7" t="s">
        <v>32</v>
      </c>
      <c r="B11" s="259"/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257"/>
      <c r="I11" s="258"/>
      <c r="J11" s="7" t="s">
        <v>32</v>
      </c>
      <c r="K11" s="259"/>
      <c r="L11" s="260"/>
      <c r="M11" s="260"/>
      <c r="N11" s="260"/>
      <c r="O11" s="261"/>
      <c r="Q11" s="61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07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62017000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-1.6680144000000001E-2</v>
      </c>
      <c r="N14" s="272"/>
      <c r="O14" s="273"/>
      <c r="Q14" s="262"/>
      <c r="R14" s="262"/>
      <c r="S14" s="262"/>
    </row>
    <row r="15" spans="1:19" ht="17.25" customHeight="1" thickBot="1">
      <c r="A15" s="263" t="s">
        <v>39</v>
      </c>
      <c r="B15" s="274" t="str">
        <f>TEXT($G$1, "[$-ko-KR]yyyy-mm-dd(ddd) ") &amp; "오전 00:00"</f>
        <v>2021-05-02(일) 오전 00:00</v>
      </c>
      <c r="C15" s="275"/>
      <c r="D15" s="264" t="str">
        <f>TEXT($G$1, "[$-ko-KR]yyyy-mm-dd(ddd) ") &amp; "오후 14:00"</f>
        <v>2021-05-02(일) 오후 14:00</v>
      </c>
      <c r="E15" s="265"/>
      <c r="F15" s="266"/>
      <c r="G15" s="264" t="str">
        <f>TEXT($G$1, "[$-ko-KR]yyyy-mm-dd(ddd) ") &amp; "오후 19:00"</f>
        <v>2021-05-02(일) 오후 19:00</v>
      </c>
      <c r="H15" s="265"/>
      <c r="I15" s="266"/>
      <c r="J15" s="264" t="str">
        <f>TEXT($G$1, "[$-ko-KR]yyyy-mm-dd(ddd) ") &amp; "오후 21:00"</f>
        <v>2021-05-02(일) 오후 21:00</v>
      </c>
      <c r="K15" s="265"/>
      <c r="L15" s="266"/>
      <c r="M15" s="264" t="str">
        <f>TEXT($G$1+1, "[$-ko-KR]yyyy-mm-dd(ddd) ") &amp; "오전 00:00"</f>
        <v>2021-05-03(월) 오전 00:00</v>
      </c>
      <c r="N15" s="265"/>
      <c r="O15" s="266"/>
      <c r="Q15" s="262"/>
      <c r="R15" s="262"/>
      <c r="S15" s="262"/>
    </row>
    <row r="16" spans="1:19" ht="17.25" customHeight="1" thickBot="1">
      <c r="A16" s="26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7"/>
      <c r="R16" s="267"/>
      <c r="S16" s="267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262"/>
      <c r="R17" s="262"/>
      <c r="S17" s="262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262"/>
      <c r="R18" s="262"/>
      <c r="S18" s="262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267"/>
      <c r="R19" s="267"/>
      <c r="S19" s="267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267"/>
      <c r="R20" s="267"/>
      <c r="S20" s="267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267"/>
      <c r="R21" s="267"/>
      <c r="S21" s="267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67"/>
      <c r="R22" s="267"/>
      <c r="S22" s="26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76"/>
      <c r="R26" s="277"/>
      <c r="S26" s="27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67"/>
      <c r="R32" s="267"/>
      <c r="S32" s="26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92"/>
      <c r="R36" s="293"/>
      <c r="S36" s="294"/>
    </row>
    <row r="37" spans="1:19" ht="17.25" customHeight="1" thickBot="1">
      <c r="A37" s="26" t="s">
        <v>42</v>
      </c>
      <c r="B37" s="298">
        <v>300000</v>
      </c>
      <c r="C37" s="299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07" t="s">
        <v>298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62017000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-1.6680144000000001E-2</v>
      </c>
      <c r="N41" s="272"/>
      <c r="O41" s="273"/>
      <c r="Q41" s="262"/>
      <c r="R41" s="262"/>
      <c r="S41" s="262"/>
    </row>
    <row r="42" spans="1:19" ht="17.25" customHeight="1" thickBot="1">
      <c r="A42" s="285" t="s">
        <v>55</v>
      </c>
      <c r="B42" s="287" t="str">
        <f>TEXT($G$1, "[$-ko-KR]yyyy-mm-dd(ddd) ") &amp; "오전 00:00"</f>
        <v>2021-05-02(일) 오전 00:00</v>
      </c>
      <c r="C42" s="288"/>
      <c r="D42" s="264" t="str">
        <f>TEXT($G$1, "[$-ko-KR]yyyy-mm-dd(ddd) ") &amp; "오후 14:00"</f>
        <v>2021-05-02(일) 오후 14:00</v>
      </c>
      <c r="E42" s="265"/>
      <c r="F42" s="266"/>
      <c r="G42" s="264" t="str">
        <f>TEXT($G$1, "[$-ko-KR]yyyy-mm-dd(ddd) ") &amp; "오후 19:00"</f>
        <v>2021-05-02(일) 오후 19:00</v>
      </c>
      <c r="H42" s="265"/>
      <c r="I42" s="266"/>
      <c r="J42" s="264" t="str">
        <f>TEXT($G$1, "[$-ko-KR]yyyy-mm-dd(ddd) ") &amp; "오후 21:00"</f>
        <v>2021-05-02(일) 오후 21:00</v>
      </c>
      <c r="K42" s="265"/>
      <c r="L42" s="266"/>
      <c r="M42" s="264" t="str">
        <f>TEXT($G$1+1, "[$-ko-KR]yyyy-mm-dd(ddd) ") &amp; "오전 00:00"</f>
        <v>2021-05-03(월) 오전 00:00</v>
      </c>
      <c r="N42" s="265"/>
      <c r="O42" s="266"/>
      <c r="Q42" s="262"/>
      <c r="R42" s="262"/>
      <c r="S42" s="262"/>
    </row>
    <row r="43" spans="1:19" ht="17.25" customHeight="1" thickBot="1">
      <c r="A43" s="286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7"/>
      <c r="R43" s="267"/>
      <c r="S43" s="267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262"/>
      <c r="R44" s="262"/>
      <c r="S44" s="262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262"/>
      <c r="R45" s="262"/>
      <c r="S45" s="262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267"/>
      <c r="R46" s="267"/>
      <c r="S46" s="267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267"/>
      <c r="R47" s="267"/>
      <c r="S47" s="267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267"/>
      <c r="R48" s="267"/>
      <c r="S48" s="267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267"/>
      <c r="R49" s="267"/>
      <c r="S49" s="267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267"/>
      <c r="R50" s="267"/>
      <c r="S50" s="267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267"/>
      <c r="R51" s="267"/>
      <c r="S51" s="267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276"/>
      <c r="R53" s="277"/>
      <c r="S53" s="278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279"/>
      <c r="R54" s="280"/>
      <c r="S54" s="281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282"/>
      <c r="R55" s="283"/>
      <c r="S55" s="284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267"/>
      <c r="R56" s="267"/>
      <c r="S56" s="267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262"/>
      <c r="R57" s="262"/>
      <c r="S57" s="262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262"/>
      <c r="R58" s="262"/>
      <c r="S58" s="262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267"/>
      <c r="R59" s="267"/>
      <c r="S59" s="267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267"/>
      <c r="R60" s="267"/>
      <c r="S60" s="267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267"/>
      <c r="R61" s="267"/>
      <c r="S61" s="267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289"/>
      <c r="R62" s="290"/>
      <c r="S62" s="291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92"/>
      <c r="R63" s="293"/>
      <c r="S63" s="294"/>
    </row>
    <row r="64" spans="1:19" ht="17.25" customHeight="1" thickBot="1">
      <c r="A64" s="26" t="s">
        <v>301</v>
      </c>
      <c r="B64" s="298">
        <f>$B$37</f>
        <v>300000</v>
      </c>
      <c r="C64" s="299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07" t="s">
        <v>298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62017000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-1.6680144000000001E-2</v>
      </c>
      <c r="N68" s="272"/>
      <c r="O68" s="273"/>
      <c r="Q68" s="262"/>
      <c r="R68" s="262"/>
      <c r="S68" s="262"/>
    </row>
    <row r="69" spans="1:19" ht="17.25" thickBot="1">
      <c r="A69" s="285" t="s">
        <v>55</v>
      </c>
      <c r="B69" s="287" t="str">
        <f>TEXT($G$1, "[$-ko-KR]yyyy-mm-dd(ddd) ") &amp; "오전 00:00"</f>
        <v>2021-05-02(일) 오전 00:00</v>
      </c>
      <c r="C69" s="288"/>
      <c r="D69" s="264" t="str">
        <f>TEXT($G$1, "[$-ko-KR]yyyy-mm-dd(ddd) ") &amp; "오후 14:00"</f>
        <v>2021-05-02(일) 오후 14:00</v>
      </c>
      <c r="E69" s="265"/>
      <c r="F69" s="266"/>
      <c r="G69" s="264" t="str">
        <f>TEXT($G$1, "[$-ko-KR]yyyy-mm-dd(ddd) ") &amp; "오후 19:00"</f>
        <v>2021-05-02(일) 오후 19:00</v>
      </c>
      <c r="H69" s="265"/>
      <c r="I69" s="266"/>
      <c r="J69" s="264" t="str">
        <f>TEXT($G$1, "[$-ko-KR]yyyy-mm-dd(ddd) ") &amp; "오후 21:00"</f>
        <v>2021-05-02(일) 오후 21:00</v>
      </c>
      <c r="K69" s="265"/>
      <c r="L69" s="266"/>
      <c r="M69" s="264" t="str">
        <f>TEXT($G$1+1, "[$-ko-KR]yyyy-mm-dd(ddd) ") &amp; "오전 00:00"</f>
        <v>2021-05-03(월) 오전 00:00</v>
      </c>
      <c r="N69" s="265"/>
      <c r="O69" s="266"/>
      <c r="Q69" s="262"/>
      <c r="R69" s="262"/>
      <c r="S69" s="262"/>
    </row>
    <row r="70" spans="1:19" ht="17.25" thickBot="1">
      <c r="A70" s="286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7"/>
      <c r="R70" s="267"/>
      <c r="S70" s="267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262"/>
      <c r="R71" s="262"/>
      <c r="S71" s="262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262"/>
      <c r="R72" s="262"/>
      <c r="S72" s="262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267"/>
      <c r="R73" s="267"/>
      <c r="S73" s="267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267"/>
      <c r="R74" s="267"/>
      <c r="S74" s="267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267"/>
      <c r="R75" s="267"/>
      <c r="S75" s="267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267"/>
      <c r="R76" s="267"/>
      <c r="S76" s="267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267"/>
      <c r="R77" s="267"/>
      <c r="S77" s="267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267"/>
      <c r="R78" s="267"/>
      <c r="S78" s="267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276"/>
      <c r="R80" s="277"/>
      <c r="S80" s="278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279"/>
      <c r="R81" s="280"/>
      <c r="S81" s="281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282"/>
      <c r="R82" s="283"/>
      <c r="S82" s="284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267"/>
      <c r="R83" s="267"/>
      <c r="S83" s="267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262"/>
      <c r="R84" s="262"/>
      <c r="S84" s="262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262"/>
      <c r="R85" s="262"/>
      <c r="S85" s="262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267"/>
      <c r="R86" s="267"/>
      <c r="S86" s="267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267"/>
      <c r="R87" s="267"/>
      <c r="S87" s="267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267"/>
      <c r="R88" s="267"/>
      <c r="S88" s="267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289"/>
      <c r="R89" s="290"/>
      <c r="S89" s="291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292"/>
      <c r="R90" s="293"/>
      <c r="S90" s="294"/>
    </row>
    <row r="91" spans="1:19" ht="17.25" thickBot="1">
      <c r="A91" s="26" t="s">
        <v>301</v>
      </c>
      <c r="B91" s="298">
        <f>$B$37</f>
        <v>300000</v>
      </c>
      <c r="C91" s="299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07" t="s">
        <v>298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62017000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-1.6680144000000001E-2</v>
      </c>
      <c r="N95" s="272"/>
      <c r="O95" s="273"/>
      <c r="Q95" s="262"/>
      <c r="R95" s="262"/>
      <c r="S95" s="262"/>
    </row>
    <row r="96" spans="1:19" ht="17.25" thickBot="1">
      <c r="A96" s="285" t="s">
        <v>55</v>
      </c>
      <c r="B96" s="287" t="str">
        <f>TEXT($G$1, "[$-ko-KR]yyyy-mm-dd(ddd) ") &amp; "오전 00:00"</f>
        <v>2021-05-02(일) 오전 00:00</v>
      </c>
      <c r="C96" s="288"/>
      <c r="D96" s="264" t="str">
        <f>TEXT($G$1, "[$-ko-KR]yyyy-mm-dd(ddd) ") &amp; "오후 14:00"</f>
        <v>2021-05-02(일) 오후 14:00</v>
      </c>
      <c r="E96" s="265"/>
      <c r="F96" s="266"/>
      <c r="G96" s="264" t="str">
        <f>TEXT($G$1, "[$-ko-KR]yyyy-mm-dd(ddd) ") &amp; "오후 19:00"</f>
        <v>2021-05-02(일) 오후 19:00</v>
      </c>
      <c r="H96" s="265"/>
      <c r="I96" s="266"/>
      <c r="J96" s="264" t="str">
        <f>TEXT($G$1, "[$-ko-KR]yyyy-mm-dd(ddd) ") &amp; "오후 21:00"</f>
        <v>2021-05-02(일) 오후 21:00</v>
      </c>
      <c r="K96" s="265"/>
      <c r="L96" s="266"/>
      <c r="M96" s="264" t="str">
        <f>TEXT($G$1+1, "[$-ko-KR]yyyy-mm-dd(ddd) ") &amp; "오전 00:00"</f>
        <v>2021-05-03(월) 오전 00:00</v>
      </c>
      <c r="N96" s="265"/>
      <c r="O96" s="266"/>
      <c r="Q96" s="262"/>
      <c r="R96" s="262"/>
      <c r="S96" s="262"/>
    </row>
    <row r="97" spans="1:19" ht="17.25" thickBot="1">
      <c r="A97" s="286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7"/>
      <c r="R97" s="267"/>
      <c r="S97" s="267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262"/>
      <c r="R98" s="262"/>
      <c r="S98" s="262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262"/>
      <c r="R99" s="262"/>
      <c r="S99" s="262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267"/>
      <c r="R100" s="267"/>
      <c r="S100" s="267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267"/>
      <c r="R101" s="267"/>
      <c r="S101" s="267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267"/>
      <c r="R102" s="267"/>
      <c r="S102" s="267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267"/>
      <c r="R103" s="267"/>
      <c r="S103" s="267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267"/>
      <c r="R104" s="267"/>
      <c r="S104" s="267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267"/>
      <c r="R105" s="267"/>
      <c r="S105" s="267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276"/>
      <c r="R107" s="277"/>
      <c r="S107" s="278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279"/>
      <c r="R108" s="280"/>
      <c r="S108" s="281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282"/>
      <c r="R109" s="283"/>
      <c r="S109" s="284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267"/>
      <c r="R110" s="267"/>
      <c r="S110" s="267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262"/>
      <c r="R111" s="262"/>
      <c r="S111" s="262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262"/>
      <c r="R112" s="262"/>
      <c r="S112" s="262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267"/>
      <c r="R113" s="267"/>
      <c r="S113" s="267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267"/>
      <c r="R114" s="267"/>
      <c r="S114" s="267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267"/>
      <c r="R115" s="267"/>
      <c r="S115" s="267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289"/>
      <c r="R116" s="290"/>
      <c r="S116" s="291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292"/>
      <c r="R117" s="293"/>
      <c r="S117" s="294"/>
    </row>
    <row r="118" spans="1:19" ht="17.25" thickBot="1">
      <c r="A118" s="26" t="s">
        <v>301</v>
      </c>
      <c r="B118" s="298">
        <f>$B$37</f>
        <v>300000</v>
      </c>
      <c r="C118" s="299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295"/>
      <c r="R118" s="296"/>
      <c r="S118" s="297"/>
    </row>
    <row r="120" spans="1:19" ht="17.25" thickBot="1"/>
    <row r="121" spans="1:19" ht="17.25" thickBot="1">
      <c r="A121" s="241" t="s">
        <v>288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07" t="s">
        <v>298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62017000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-1.6680144000000001E-2</v>
      </c>
      <c r="N122" s="272"/>
      <c r="O122" s="273"/>
      <c r="Q122" s="262"/>
      <c r="R122" s="262"/>
      <c r="S122" s="262"/>
    </row>
    <row r="123" spans="1:19" ht="17.25" thickBot="1">
      <c r="A123" s="285" t="s">
        <v>55</v>
      </c>
      <c r="B123" s="287" t="str">
        <f>TEXT($G$1, "[$-ko-KR]yyyy-mm-dd(ddd) ") &amp; "오전 00:00"</f>
        <v>2021-05-02(일) 오전 00:00</v>
      </c>
      <c r="C123" s="288"/>
      <c r="D123" s="264" t="str">
        <f>TEXT($G$1, "[$-ko-KR]yyyy-mm-dd(ddd) ") &amp; "오후 14:00"</f>
        <v>2021-05-02(일) 오후 14:00</v>
      </c>
      <c r="E123" s="265"/>
      <c r="F123" s="266"/>
      <c r="G123" s="264" t="str">
        <f>TEXT($G$1, "[$-ko-KR]yyyy-mm-dd(ddd) ") &amp; "오후 19:00"</f>
        <v>2021-05-02(일) 오후 19:00</v>
      </c>
      <c r="H123" s="265"/>
      <c r="I123" s="266"/>
      <c r="J123" s="264" t="str">
        <f>TEXT($G$1, "[$-ko-KR]yyyy-mm-dd(ddd) ") &amp; "오후 21:00"</f>
        <v>2021-05-02(일) 오후 21:00</v>
      </c>
      <c r="K123" s="265"/>
      <c r="L123" s="266"/>
      <c r="M123" s="264" t="str">
        <f>TEXT($G$1+1, "[$-ko-KR]yyyy-mm-dd(ddd) ") &amp; "오전 00:00"</f>
        <v>2021-05-03(월) 오전 00:00</v>
      </c>
      <c r="N123" s="265"/>
      <c r="O123" s="266"/>
      <c r="Q123" s="262"/>
      <c r="R123" s="262"/>
      <c r="S123" s="262"/>
    </row>
    <row r="124" spans="1:19" ht="17.25" thickBot="1">
      <c r="A124" s="286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7"/>
      <c r="R124" s="267"/>
      <c r="S124" s="267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262"/>
      <c r="R125" s="262"/>
      <c r="S125" s="262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262"/>
      <c r="R126" s="262"/>
      <c r="S126" s="262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267"/>
      <c r="R127" s="267"/>
      <c r="S127" s="267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267"/>
      <c r="R128" s="267"/>
      <c r="S128" s="267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267"/>
      <c r="R129" s="267"/>
      <c r="S129" s="267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267"/>
      <c r="R130" s="267"/>
      <c r="S130" s="267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267"/>
      <c r="R131" s="267"/>
      <c r="S131" s="267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267"/>
      <c r="R132" s="267"/>
      <c r="S132" s="267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276"/>
      <c r="R134" s="277"/>
      <c r="S134" s="278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279"/>
      <c r="R135" s="280"/>
      <c r="S135" s="281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282"/>
      <c r="R136" s="283"/>
      <c r="S136" s="284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267"/>
      <c r="R137" s="267"/>
      <c r="S137" s="267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262"/>
      <c r="R138" s="262"/>
      <c r="S138" s="262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262"/>
      <c r="R139" s="262"/>
      <c r="S139" s="262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267"/>
      <c r="R140" s="267"/>
      <c r="S140" s="267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267"/>
      <c r="R141" s="267"/>
      <c r="S141" s="267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267"/>
      <c r="R142" s="267"/>
      <c r="S142" s="267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289"/>
      <c r="R143" s="290"/>
      <c r="S143" s="291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92"/>
      <c r="R144" s="293"/>
      <c r="S144" s="294"/>
    </row>
    <row r="145" spans="1:19" ht="17.25" thickBot="1">
      <c r="A145" s="26" t="s">
        <v>301</v>
      </c>
      <c r="B145" s="298">
        <f>$B$37</f>
        <v>300000</v>
      </c>
      <c r="C145" s="299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295"/>
      <c r="R145" s="296"/>
      <c r="S145" s="297"/>
    </row>
    <row r="147" spans="1:19" ht="17.25" thickBot="1"/>
    <row r="148" spans="1:19" ht="17.25" thickBot="1">
      <c r="A148" s="241" t="s">
        <v>289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07" t="s">
        <v>298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62017000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-1.6680144000000001E-2</v>
      </c>
      <c r="N149" s="272"/>
      <c r="O149" s="273"/>
      <c r="Q149" s="262"/>
      <c r="R149" s="262"/>
      <c r="S149" s="262"/>
    </row>
    <row r="150" spans="1:19" ht="17.25" thickBot="1">
      <c r="A150" s="285" t="s">
        <v>55</v>
      </c>
      <c r="B150" s="287" t="str">
        <f>TEXT($G$1, "[$-ko-KR]yyyy-mm-dd(ddd) ") &amp; "오전 00:00"</f>
        <v>2021-05-02(일) 오전 00:00</v>
      </c>
      <c r="C150" s="288"/>
      <c r="D150" s="264" t="str">
        <f>TEXT($G$1, "[$-ko-KR]yyyy-mm-dd(ddd) ") &amp; "오후 14:00"</f>
        <v>2021-05-02(일) 오후 14:00</v>
      </c>
      <c r="E150" s="265"/>
      <c r="F150" s="266"/>
      <c r="G150" s="264" t="str">
        <f>TEXT($G$1, "[$-ko-KR]yyyy-mm-dd(ddd) ") &amp; "오후 19:00"</f>
        <v>2021-05-02(일) 오후 19:00</v>
      </c>
      <c r="H150" s="265"/>
      <c r="I150" s="266"/>
      <c r="J150" s="264" t="str">
        <f>TEXT($G$1, "[$-ko-KR]yyyy-mm-dd(ddd) ") &amp; "오후 21:00"</f>
        <v>2021-05-02(일) 오후 21:00</v>
      </c>
      <c r="K150" s="265"/>
      <c r="L150" s="266"/>
      <c r="M150" s="264" t="str">
        <f>TEXT($G$1+1, "[$-ko-KR]yyyy-mm-dd(ddd) ") &amp; "오전 00:00"</f>
        <v>2021-05-03(월) 오전 00:00</v>
      </c>
      <c r="N150" s="265"/>
      <c r="O150" s="266"/>
      <c r="Q150" s="262"/>
      <c r="R150" s="262"/>
      <c r="S150" s="262"/>
    </row>
    <row r="151" spans="1:19" ht="17.25" thickBot="1">
      <c r="A151" s="286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7"/>
      <c r="R151" s="267"/>
      <c r="S151" s="267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262"/>
      <c r="R152" s="262"/>
      <c r="S152" s="262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262"/>
      <c r="R153" s="262"/>
      <c r="S153" s="262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267"/>
      <c r="R154" s="267"/>
      <c r="S154" s="267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267"/>
      <c r="R155" s="267"/>
      <c r="S155" s="267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267"/>
      <c r="R156" s="267"/>
      <c r="S156" s="267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267"/>
      <c r="R157" s="267"/>
      <c r="S157" s="267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267"/>
      <c r="R158" s="267"/>
      <c r="S158" s="267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267"/>
      <c r="R159" s="267"/>
      <c r="S159" s="267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276"/>
      <c r="R161" s="277"/>
      <c r="S161" s="278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279"/>
      <c r="R162" s="280"/>
      <c r="S162" s="281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282"/>
      <c r="R163" s="283"/>
      <c r="S163" s="284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267"/>
      <c r="R164" s="267"/>
      <c r="S164" s="267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262"/>
      <c r="R165" s="262"/>
      <c r="S165" s="262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262"/>
      <c r="R166" s="262"/>
      <c r="S166" s="262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267"/>
      <c r="R167" s="267"/>
      <c r="S167" s="267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267"/>
      <c r="R168" s="267"/>
      <c r="S168" s="267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267"/>
      <c r="R169" s="267"/>
      <c r="S169" s="267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289"/>
      <c r="R170" s="290"/>
      <c r="S170" s="291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292"/>
      <c r="R171" s="293"/>
      <c r="S171" s="294"/>
    </row>
    <row r="172" spans="1:19" ht="17.25" thickBot="1">
      <c r="A172" s="26" t="s">
        <v>301</v>
      </c>
      <c r="B172" s="298">
        <f>$B$37</f>
        <v>300000</v>
      </c>
      <c r="C172" s="299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295"/>
      <c r="R172" s="296"/>
      <c r="S172" s="297"/>
    </row>
    <row r="174" spans="1:19" ht="17.25" thickBot="1"/>
    <row r="175" spans="1:19" ht="17.25" thickBot="1">
      <c r="A175" s="241" t="s">
        <v>285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07" t="s">
        <v>298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62017000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-1.6680144000000001E-2</v>
      </c>
      <c r="N176" s="272"/>
      <c r="O176" s="273"/>
      <c r="Q176" s="262"/>
      <c r="R176" s="262"/>
      <c r="S176" s="262"/>
    </row>
    <row r="177" spans="1:19" ht="17.25" thickBot="1">
      <c r="A177" s="285" t="s">
        <v>55</v>
      </c>
      <c r="B177" s="287" t="str">
        <f>TEXT($G$1, "[$-ko-KR]yyyy-mm-dd(ddd) ") &amp; "오전 00:00"</f>
        <v>2021-05-02(일) 오전 00:00</v>
      </c>
      <c r="C177" s="288"/>
      <c r="D177" s="264" t="str">
        <f>TEXT($G$1, "[$-ko-KR]yyyy-mm-dd(ddd) ") &amp; "오후 14:00"</f>
        <v>2021-05-02(일) 오후 14:00</v>
      </c>
      <c r="E177" s="265"/>
      <c r="F177" s="266"/>
      <c r="G177" s="264" t="str">
        <f>TEXT($G$1, "[$-ko-KR]yyyy-mm-dd(ddd) ") &amp; "오후 19:00"</f>
        <v>2021-05-02(일) 오후 19:00</v>
      </c>
      <c r="H177" s="265"/>
      <c r="I177" s="266"/>
      <c r="J177" s="264" t="str">
        <f>TEXT($G$1, "[$-ko-KR]yyyy-mm-dd(ddd) ") &amp; "오후 21:00"</f>
        <v>2021-05-02(일) 오후 21:00</v>
      </c>
      <c r="K177" s="265"/>
      <c r="L177" s="266"/>
      <c r="M177" s="264" t="str">
        <f>TEXT($G$1+1, "[$-ko-KR]yyyy-mm-dd(ddd) ") &amp; "오전 00:00"</f>
        <v>2021-05-03(월) 오전 00:00</v>
      </c>
      <c r="N177" s="265"/>
      <c r="O177" s="266"/>
      <c r="Q177" s="262"/>
      <c r="R177" s="262"/>
      <c r="S177" s="262"/>
    </row>
    <row r="178" spans="1:19" ht="17.25" thickBot="1">
      <c r="A178" s="286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7"/>
      <c r="R178" s="267"/>
      <c r="S178" s="267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262"/>
      <c r="R179" s="262"/>
      <c r="S179" s="262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262"/>
      <c r="R180" s="262"/>
      <c r="S180" s="262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267"/>
      <c r="R181" s="267"/>
      <c r="S181" s="267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267"/>
      <c r="R182" s="267"/>
      <c r="S182" s="267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267"/>
      <c r="R183" s="267"/>
      <c r="S183" s="267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267"/>
      <c r="R184" s="267"/>
      <c r="S184" s="267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267"/>
      <c r="R185" s="267"/>
      <c r="S185" s="267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267"/>
      <c r="R186" s="267"/>
      <c r="S186" s="267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276"/>
      <c r="R188" s="277"/>
      <c r="S188" s="278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279"/>
      <c r="R189" s="280"/>
      <c r="S189" s="281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282"/>
      <c r="R190" s="283"/>
      <c r="S190" s="284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267"/>
      <c r="R191" s="267"/>
      <c r="S191" s="267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262"/>
      <c r="R192" s="262"/>
      <c r="S192" s="262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262"/>
      <c r="R193" s="262"/>
      <c r="S193" s="262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267"/>
      <c r="R194" s="267"/>
      <c r="S194" s="267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267"/>
      <c r="R195" s="267"/>
      <c r="S195" s="267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267"/>
      <c r="R196" s="267"/>
      <c r="S196" s="267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289"/>
      <c r="R197" s="290"/>
      <c r="S197" s="291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292"/>
      <c r="R198" s="293"/>
      <c r="S198" s="294"/>
    </row>
    <row r="199" spans="1:19" ht="17.25" thickBot="1">
      <c r="A199" s="26" t="s">
        <v>301</v>
      </c>
      <c r="B199" s="298">
        <f>$B$37</f>
        <v>300000</v>
      </c>
      <c r="C199" s="299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93" priority="157">
      <formula>AND($N17 &gt; 0, ISNUMBER($N17))</formula>
    </cfRule>
    <cfRule type="expression" dxfId="2492" priority="158">
      <formula>AND($N17 = 0 * ISNUMBER($N17))</formula>
    </cfRule>
    <cfRule type="expression" dxfId="2491" priority="159">
      <formula>AND($N17 &lt; 0, ISNUMBER($N17))</formula>
    </cfRule>
  </conditionalFormatting>
  <conditionalFormatting sqref="A17:F36">
    <cfRule type="expression" dxfId="2490" priority="166">
      <formula>AND($E17 &gt; 0, ISNUMBER($E17))</formula>
    </cfRule>
    <cfRule type="expression" dxfId="2489" priority="167">
      <formula>AND($E17 = 0 * ISNUMBER($E17))</formula>
    </cfRule>
    <cfRule type="expression" dxfId="2488" priority="168">
      <formula>AND($E17 &lt; 0, ISNUMBER($E17))</formula>
    </cfRule>
  </conditionalFormatting>
  <conditionalFormatting sqref="A17:C36 G17:I36">
    <cfRule type="expression" dxfId="2487" priority="163">
      <formula>AND($H17 &gt; 0, ISNUMBER($H17))</formula>
    </cfRule>
    <cfRule type="expression" dxfId="2486" priority="164">
      <formula>AND($H17 = 0 * ISNUMBER($H17))</formula>
    </cfRule>
    <cfRule type="expression" dxfId="2485" priority="165">
      <formula>AND($H17 &lt; 0, ISNUMBER($H17))</formula>
    </cfRule>
  </conditionalFormatting>
  <conditionalFormatting sqref="A17:C36 J17:L36">
    <cfRule type="expression" dxfId="2484" priority="160">
      <formula>AND($K17 &gt; 0, ISNUMBER($K17))</formula>
    </cfRule>
    <cfRule type="expression" dxfId="2483" priority="161">
      <formula>AND($K17 = 0 * ISNUMBER($K17))</formula>
    </cfRule>
    <cfRule type="expression" dxfId="2482" priority="162">
      <formula>AND($K17 &lt; 0, ISNUMBER($K17))</formula>
    </cfRule>
  </conditionalFormatting>
  <conditionalFormatting sqref="D15:F16 E37:F37">
    <cfRule type="expression" dxfId="2481" priority="154">
      <formula>$E$37 &gt; 0</formula>
    </cfRule>
    <cfRule type="expression" dxfId="2480" priority="155">
      <formula>$E$37 = 0</formula>
    </cfRule>
    <cfRule type="expression" dxfId="2479" priority="156">
      <formula>$E$37 &lt; 0</formula>
    </cfRule>
  </conditionalFormatting>
  <conditionalFormatting sqref="G15:I16 H37:I37">
    <cfRule type="expression" dxfId="2478" priority="151">
      <formula>$H$37 &gt; 0</formula>
    </cfRule>
    <cfRule type="expression" dxfId="2477" priority="152">
      <formula>$H$37 = 0</formula>
    </cfRule>
    <cfRule type="expression" dxfId="2476" priority="153">
      <formula>$H$37 &lt; 0</formula>
    </cfRule>
  </conditionalFormatting>
  <conditionalFormatting sqref="J15:L16 K37:L37">
    <cfRule type="expression" dxfId="2475" priority="148">
      <formula>$K$37 &gt; 0</formula>
    </cfRule>
    <cfRule type="expression" dxfId="2474" priority="149">
      <formula>$K$37 = 0</formula>
    </cfRule>
    <cfRule type="expression" dxfId="2473" priority="150">
      <formula>$K$37 &lt; 0</formula>
    </cfRule>
  </conditionalFormatting>
  <conditionalFormatting sqref="M15:O16 N37:O37">
    <cfRule type="expression" dxfId="2472" priority="145">
      <formula>$N$37 &gt; 0</formula>
    </cfRule>
    <cfRule type="expression" dxfId="2471" priority="146">
      <formula>$N$37 = 0</formula>
    </cfRule>
    <cfRule type="expression" dxfId="2470" priority="147">
      <formula>$N$37 &lt; 0</formula>
    </cfRule>
  </conditionalFormatting>
  <conditionalFormatting sqref="A44:C63 M44:O63">
    <cfRule type="expression" dxfId="2469" priority="133">
      <formula>AND($N44 &gt; 0, ISNUMBER($N44))</formula>
    </cfRule>
    <cfRule type="expression" dxfId="2468" priority="134">
      <formula>AND($N44 = 0 * ISNUMBER($N44))</formula>
    </cfRule>
    <cfRule type="expression" dxfId="2467" priority="135">
      <formula>AND($N44 &lt; 0, ISNUMBER($N44))</formula>
    </cfRule>
  </conditionalFormatting>
  <conditionalFormatting sqref="A44:F63">
    <cfRule type="expression" dxfId="2466" priority="142">
      <formula>AND($E44 &gt; 0, ISNUMBER($E44))</formula>
    </cfRule>
    <cfRule type="expression" dxfId="2465" priority="143">
      <formula>AND($E44 = 0 * ISNUMBER($E44))</formula>
    </cfRule>
    <cfRule type="expression" dxfId="2464" priority="144">
      <formula>AND($E44 &lt; 0, ISNUMBER($E44))</formula>
    </cfRule>
  </conditionalFormatting>
  <conditionalFormatting sqref="A44:C63 G44:I63">
    <cfRule type="expression" dxfId="2463" priority="139">
      <formula>AND($H44 &gt; 0, ISNUMBER($H44))</formula>
    </cfRule>
    <cfRule type="expression" dxfId="2462" priority="140">
      <formula>AND($H44 = 0 * ISNUMBER($H44))</formula>
    </cfRule>
    <cfRule type="expression" dxfId="2461" priority="141">
      <formula>AND($H44 &lt; 0, ISNUMBER($H44))</formula>
    </cfRule>
  </conditionalFormatting>
  <conditionalFormatting sqref="A44:C63 J44:L63">
    <cfRule type="expression" dxfId="2460" priority="136">
      <formula>AND($K44 &gt; 0, ISNUMBER($K44))</formula>
    </cfRule>
    <cfRule type="expression" dxfId="2459" priority="137">
      <formula>AND($K44 = 0 * ISNUMBER($K44))</formula>
    </cfRule>
    <cfRule type="expression" dxfId="2458" priority="138">
      <formula>AND($K44 &lt; 0, ISNUMBER($K44))</formula>
    </cfRule>
  </conditionalFormatting>
  <conditionalFormatting sqref="D42:F43 E64:F64">
    <cfRule type="expression" dxfId="2457" priority="130">
      <formula>$E$64 &gt; 0</formula>
    </cfRule>
    <cfRule type="expression" dxfId="2456" priority="131">
      <formula>$E$64 = 0</formula>
    </cfRule>
    <cfRule type="expression" dxfId="2455" priority="132">
      <formula>$E$64 &lt; 0</formula>
    </cfRule>
  </conditionalFormatting>
  <conditionalFormatting sqref="G42:I43 H64:I64">
    <cfRule type="expression" dxfId="2454" priority="127">
      <formula>$H$64 &gt; 0</formula>
    </cfRule>
    <cfRule type="expression" dxfId="2453" priority="128">
      <formula>$H$64 = 0</formula>
    </cfRule>
    <cfRule type="expression" dxfId="2452" priority="129">
      <formula>$H$64 &lt; 0</formula>
    </cfRule>
  </conditionalFormatting>
  <conditionalFormatting sqref="J42:L43 K64:L64">
    <cfRule type="expression" dxfId="2451" priority="124">
      <formula>$K$64 &gt; 0</formula>
    </cfRule>
    <cfRule type="expression" dxfId="2450" priority="125">
      <formula>$K$64 = 0</formula>
    </cfRule>
    <cfRule type="expression" dxfId="2449" priority="126">
      <formula>$K$64 &lt; 0</formula>
    </cfRule>
  </conditionalFormatting>
  <conditionalFormatting sqref="M42:O43 N64:O64">
    <cfRule type="expression" dxfId="2448" priority="121">
      <formula>$N$64 &gt; 0</formula>
    </cfRule>
    <cfRule type="expression" dxfId="2447" priority="122">
      <formula>$N$64 = 0</formula>
    </cfRule>
    <cfRule type="expression" dxfId="2446" priority="123">
      <formula>$N$64 &lt; 0</formula>
    </cfRule>
  </conditionalFormatting>
  <conditionalFormatting sqref="A71:C90 M71:O90">
    <cfRule type="expression" dxfId="2445" priority="109">
      <formula>AND($N71 &gt; 0, ISNUMBER($N71))</formula>
    </cfRule>
    <cfRule type="expression" dxfId="2444" priority="110">
      <formula>AND($N71 = 0 * ISNUMBER($N71))</formula>
    </cfRule>
    <cfRule type="expression" dxfId="2443" priority="111">
      <formula>AND($N71 &lt; 0, ISNUMBER($N71))</formula>
    </cfRule>
  </conditionalFormatting>
  <conditionalFormatting sqref="A71:F90">
    <cfRule type="expression" dxfId="2442" priority="118">
      <formula>AND($E71 &gt; 0, ISNUMBER($E71))</formula>
    </cfRule>
    <cfRule type="expression" dxfId="2441" priority="119">
      <formula>AND($E71 = 0 * ISNUMBER($E71))</formula>
    </cfRule>
    <cfRule type="expression" dxfId="2440" priority="120">
      <formula>AND($E71 &lt; 0, ISNUMBER($E71))</formula>
    </cfRule>
  </conditionalFormatting>
  <conditionalFormatting sqref="A71:C90 G71:I90">
    <cfRule type="expression" dxfId="2439" priority="115">
      <formula>AND($H71 &gt; 0, ISNUMBER($H71))</formula>
    </cfRule>
    <cfRule type="expression" dxfId="2438" priority="116">
      <formula>AND($H71 = 0 * ISNUMBER($H71))</formula>
    </cfRule>
    <cfRule type="expression" dxfId="2437" priority="117">
      <formula>AND($H71 &lt; 0, ISNUMBER($H71))</formula>
    </cfRule>
  </conditionalFormatting>
  <conditionalFormatting sqref="A71:C90 J71:L90">
    <cfRule type="expression" dxfId="2436" priority="112">
      <formula>AND($K71 &gt; 0, ISNUMBER($K71))</formula>
    </cfRule>
    <cfRule type="expression" dxfId="2435" priority="113">
      <formula>AND($K71 = 0 * ISNUMBER($K71))</formula>
    </cfRule>
    <cfRule type="expression" dxfId="2434" priority="114">
      <formula>AND($K71 &lt; 0, ISNUMBER($K71))</formula>
    </cfRule>
  </conditionalFormatting>
  <conditionalFormatting sqref="D69:F70 E91:F91">
    <cfRule type="expression" dxfId="2433" priority="106">
      <formula>$E$91 &gt; 0</formula>
    </cfRule>
    <cfRule type="expression" dxfId="2432" priority="107">
      <formula>$E$91 = 0</formula>
    </cfRule>
    <cfRule type="expression" dxfId="2431" priority="108">
      <formula>$E$91 &lt; 0</formula>
    </cfRule>
  </conditionalFormatting>
  <conditionalFormatting sqref="G69:I70 H91:I91">
    <cfRule type="expression" dxfId="2430" priority="103">
      <formula>$H$91 &gt; 0</formula>
    </cfRule>
    <cfRule type="expression" dxfId="2429" priority="104">
      <formula>$H$91 = 0</formula>
    </cfRule>
    <cfRule type="expression" dxfId="2428" priority="105">
      <formula>$H$91 &lt; 0</formula>
    </cfRule>
  </conditionalFormatting>
  <conditionalFormatting sqref="J69:L70 K91:L91">
    <cfRule type="expression" dxfId="2427" priority="100">
      <formula>$K$91 &gt; 0</formula>
    </cfRule>
    <cfRule type="expression" dxfId="2426" priority="101">
      <formula>$K$91 = 0</formula>
    </cfRule>
    <cfRule type="expression" dxfId="2425" priority="102">
      <formula>$K$91 &lt; 0</formula>
    </cfRule>
  </conditionalFormatting>
  <conditionalFormatting sqref="M69:O70 N91:O91">
    <cfRule type="expression" dxfId="2424" priority="97">
      <formula>$N$91 &gt; 0</formula>
    </cfRule>
    <cfRule type="expression" dxfId="2423" priority="98">
      <formula>$N$91 = 0</formula>
    </cfRule>
    <cfRule type="expression" dxfId="2422" priority="99">
      <formula>$N$91 &lt; 0</formula>
    </cfRule>
  </conditionalFormatting>
  <conditionalFormatting sqref="A98:C117 M98:O117">
    <cfRule type="expression" dxfId="2421" priority="85">
      <formula>AND($N98 &gt; 0, ISNUMBER($N98))</formula>
    </cfRule>
    <cfRule type="expression" dxfId="2420" priority="86">
      <formula>AND($N98 = 0 * ISNUMBER($N98))</formula>
    </cfRule>
    <cfRule type="expression" dxfId="2419" priority="87">
      <formula>AND($N98 &lt; 0, ISNUMBER($N98))</formula>
    </cfRule>
  </conditionalFormatting>
  <conditionalFormatting sqref="A98:F117">
    <cfRule type="expression" dxfId="2418" priority="94">
      <formula>AND($E98 &gt; 0, ISNUMBER($E98))</formula>
    </cfRule>
    <cfRule type="expression" dxfId="2417" priority="95">
      <formula>AND($E98 = 0 * ISNUMBER($E98))</formula>
    </cfRule>
    <cfRule type="expression" dxfId="2416" priority="96">
      <formula>AND($E98 &lt; 0, ISNUMBER($E98))</formula>
    </cfRule>
  </conditionalFormatting>
  <conditionalFormatting sqref="A98:C117 G98:I117">
    <cfRule type="expression" dxfId="2415" priority="91">
      <formula>AND($H98 &gt; 0, ISNUMBER($H98))</formula>
    </cfRule>
    <cfRule type="expression" dxfId="2414" priority="92">
      <formula>AND($H98 = 0 * ISNUMBER($H98))</formula>
    </cfRule>
    <cfRule type="expression" dxfId="2413" priority="93">
      <formula>AND($H98 &lt; 0, ISNUMBER($H98))</formula>
    </cfRule>
  </conditionalFormatting>
  <conditionalFormatting sqref="A98:C117 J98:L117">
    <cfRule type="expression" dxfId="2412" priority="88">
      <formula>AND($K98 &gt; 0, ISNUMBER($K98))</formula>
    </cfRule>
    <cfRule type="expression" dxfId="2411" priority="89">
      <formula>AND($K98 = 0 * ISNUMBER($K98))</formula>
    </cfRule>
    <cfRule type="expression" dxfId="2410" priority="90">
      <formula>AND($K98 &lt; 0, ISNUMBER($K98))</formula>
    </cfRule>
  </conditionalFormatting>
  <conditionalFormatting sqref="D96:F97 E118:F118">
    <cfRule type="expression" dxfId="2409" priority="82">
      <formula>$E$118 &gt; 0</formula>
    </cfRule>
    <cfRule type="expression" dxfId="2408" priority="83">
      <formula>$E$118 = 0</formula>
    </cfRule>
    <cfRule type="expression" dxfId="2407" priority="84">
      <formula>$E$118 &lt; 0</formula>
    </cfRule>
  </conditionalFormatting>
  <conditionalFormatting sqref="G96:I97 H118:I118">
    <cfRule type="expression" dxfId="2406" priority="79">
      <formula>$H$118 &gt; 0</formula>
    </cfRule>
    <cfRule type="expression" dxfId="2405" priority="80">
      <formula>$H$118 = 0</formula>
    </cfRule>
    <cfRule type="expression" dxfId="2404" priority="81">
      <formula>$H$118 &lt; 0</formula>
    </cfRule>
  </conditionalFormatting>
  <conditionalFormatting sqref="J96:L97 K118:L118">
    <cfRule type="expression" dxfId="2403" priority="76">
      <formula>$K$118 &gt; 0</formula>
    </cfRule>
    <cfRule type="expression" dxfId="2402" priority="77">
      <formula>$K$118 = 0</formula>
    </cfRule>
    <cfRule type="expression" dxfId="2401" priority="78">
      <formula>$K$118 &lt; 0</formula>
    </cfRule>
  </conditionalFormatting>
  <conditionalFormatting sqref="M96:O97 N118:O118">
    <cfRule type="expression" dxfId="2400" priority="73">
      <formula>$N$118 &gt; 0</formula>
    </cfRule>
    <cfRule type="expression" dxfId="2399" priority="74">
      <formula>$N$118 = 0</formula>
    </cfRule>
    <cfRule type="expression" dxfId="2398" priority="75">
      <formula>$N$118 &lt; 0</formula>
    </cfRule>
  </conditionalFormatting>
  <conditionalFormatting sqref="A125:C144 M125:O144">
    <cfRule type="expression" dxfId="2397" priority="61">
      <formula>AND($N125 &gt; 0, ISNUMBER($N125))</formula>
    </cfRule>
    <cfRule type="expression" dxfId="2396" priority="62">
      <formula>AND($N125 = 0 * ISNUMBER($N125))</formula>
    </cfRule>
    <cfRule type="expression" dxfId="2395" priority="63">
      <formula>AND($N125 &lt; 0, ISNUMBER($N125))</formula>
    </cfRule>
  </conditionalFormatting>
  <conditionalFormatting sqref="A125:F144">
    <cfRule type="expression" dxfId="2394" priority="70">
      <formula>AND($E125 &gt; 0, ISNUMBER($E125))</formula>
    </cfRule>
    <cfRule type="expression" dxfId="2393" priority="71">
      <formula>AND($E125 = 0 * ISNUMBER($E125))</formula>
    </cfRule>
    <cfRule type="expression" dxfId="2392" priority="72">
      <formula>AND($E125 &lt; 0, ISNUMBER($E125))</formula>
    </cfRule>
  </conditionalFormatting>
  <conditionalFormatting sqref="A125:C144 G125:I144">
    <cfRule type="expression" dxfId="2391" priority="67">
      <formula>AND($H125 &gt; 0, ISNUMBER($H125))</formula>
    </cfRule>
    <cfRule type="expression" dxfId="2390" priority="68">
      <formula>AND($H125 = 0 * ISNUMBER($H125))</formula>
    </cfRule>
    <cfRule type="expression" dxfId="2389" priority="69">
      <formula>AND($H125 &lt; 0, ISNUMBER($H125))</formula>
    </cfRule>
  </conditionalFormatting>
  <conditionalFormatting sqref="A125:C144 J125:L144">
    <cfRule type="expression" dxfId="2388" priority="64">
      <formula>AND($K125 &gt; 0, ISNUMBER($K125))</formula>
    </cfRule>
    <cfRule type="expression" dxfId="2387" priority="65">
      <formula>AND($K125 = 0 * ISNUMBER($K125))</formula>
    </cfRule>
    <cfRule type="expression" dxfId="2386" priority="66">
      <formula>AND($K125 &lt; 0, ISNUMBER($K125))</formula>
    </cfRule>
  </conditionalFormatting>
  <conditionalFormatting sqref="D123:F124 E145:F145">
    <cfRule type="expression" dxfId="2385" priority="58">
      <formula>$E$145 &gt; 0</formula>
    </cfRule>
    <cfRule type="expression" dxfId="2384" priority="59">
      <formula>$E$145 = 0</formula>
    </cfRule>
    <cfRule type="expression" dxfId="2383" priority="60">
      <formula>$E$145 &lt; 0</formula>
    </cfRule>
  </conditionalFormatting>
  <conditionalFormatting sqref="G123:I124 H145:I145">
    <cfRule type="expression" dxfId="2382" priority="55">
      <formula>$H$145 &gt; 0</formula>
    </cfRule>
    <cfRule type="expression" dxfId="2381" priority="56">
      <formula>$H$145 = 0</formula>
    </cfRule>
    <cfRule type="expression" dxfId="2380" priority="57">
      <formula>$H$145 &lt; 0</formula>
    </cfRule>
  </conditionalFormatting>
  <conditionalFormatting sqref="J123:L124 K145:L145">
    <cfRule type="expression" dxfId="2379" priority="52">
      <formula>$K$145 &gt; 0</formula>
    </cfRule>
    <cfRule type="expression" dxfId="2378" priority="53">
      <formula>$K$145 = 0</formula>
    </cfRule>
    <cfRule type="expression" dxfId="2377" priority="54">
      <formula>$K$145 &lt; 0</formula>
    </cfRule>
  </conditionalFormatting>
  <conditionalFormatting sqref="M123:O124 N145:O145">
    <cfRule type="expression" dxfId="2376" priority="49">
      <formula>$N$145 &gt; 0</formula>
    </cfRule>
    <cfRule type="expression" dxfId="2375" priority="50">
      <formula>$N$145 = 0</formula>
    </cfRule>
    <cfRule type="expression" dxfId="2374" priority="51">
      <formula>$N$145 &lt; 0</formula>
    </cfRule>
  </conditionalFormatting>
  <conditionalFormatting sqref="A152:C171 M152:O171">
    <cfRule type="expression" dxfId="2373" priority="37">
      <formula>AND($N152 &gt; 0, ISNUMBER($N152))</formula>
    </cfRule>
    <cfRule type="expression" dxfId="2372" priority="38">
      <formula>AND($N152 = 0 * ISNUMBER($N152))</formula>
    </cfRule>
    <cfRule type="expression" dxfId="2371" priority="39">
      <formula>AND($N152 &lt; 0, ISNUMBER($N152))</formula>
    </cfRule>
  </conditionalFormatting>
  <conditionalFormatting sqref="A152:F171">
    <cfRule type="expression" dxfId="2370" priority="46">
      <formula>AND($E152 &gt; 0, ISNUMBER($E152))</formula>
    </cfRule>
    <cfRule type="expression" dxfId="2369" priority="47">
      <formula>AND($E152 = 0 * ISNUMBER($E152))</formula>
    </cfRule>
    <cfRule type="expression" dxfId="2368" priority="48">
      <formula>AND($E152 &lt; 0, ISNUMBER($E152))</formula>
    </cfRule>
  </conditionalFormatting>
  <conditionalFormatting sqref="A152:C171 G152:I171">
    <cfRule type="expression" dxfId="2367" priority="43">
      <formula>AND($H152 &gt; 0, ISNUMBER($H152))</formula>
    </cfRule>
    <cfRule type="expression" dxfId="2366" priority="44">
      <formula>AND($H152 = 0 * ISNUMBER($H152))</formula>
    </cfRule>
    <cfRule type="expression" dxfId="2365" priority="45">
      <formula>AND($H152 &lt; 0, ISNUMBER($H152))</formula>
    </cfRule>
  </conditionalFormatting>
  <conditionalFormatting sqref="A152:C171 J152:L171">
    <cfRule type="expression" dxfId="2364" priority="40">
      <formula>AND($K152 &gt; 0, ISNUMBER($K152))</formula>
    </cfRule>
    <cfRule type="expression" dxfId="2363" priority="41">
      <formula>AND($K152 = 0 * ISNUMBER($K152))</formula>
    </cfRule>
    <cfRule type="expression" dxfId="2362" priority="42">
      <formula>AND($K152 &lt; 0, ISNUMBER($K152))</formula>
    </cfRule>
  </conditionalFormatting>
  <conditionalFormatting sqref="D150:F151 E172:F172">
    <cfRule type="expression" dxfId="2361" priority="34">
      <formula>$E$172 &gt; 0</formula>
    </cfRule>
    <cfRule type="expression" dxfId="2360" priority="35">
      <formula>$E$172 = 0</formula>
    </cfRule>
    <cfRule type="expression" dxfId="2359" priority="36">
      <formula>$E$172 &lt; 0</formula>
    </cfRule>
  </conditionalFormatting>
  <conditionalFormatting sqref="G150:I151 H172:I172">
    <cfRule type="expression" dxfId="2358" priority="31">
      <formula>$H$172 &gt; 0</formula>
    </cfRule>
    <cfRule type="expression" dxfId="2357" priority="32">
      <formula>$H$172 = 0</formula>
    </cfRule>
    <cfRule type="expression" dxfId="2356" priority="33">
      <formula>$H$172 &lt; 0</formula>
    </cfRule>
  </conditionalFormatting>
  <conditionalFormatting sqref="J150:L151 K172:L172">
    <cfRule type="expression" dxfId="2355" priority="28">
      <formula>$K$172 &gt; 0</formula>
    </cfRule>
    <cfRule type="expression" dxfId="2354" priority="29">
      <formula>$K$172 = 0</formula>
    </cfRule>
    <cfRule type="expression" dxfId="2353" priority="30">
      <formula>$K$172 &lt; 0</formula>
    </cfRule>
  </conditionalFormatting>
  <conditionalFormatting sqref="M150:O151 N172:O172">
    <cfRule type="expression" dxfId="2352" priority="25">
      <formula>$N$172 &gt; 0</formula>
    </cfRule>
    <cfRule type="expression" dxfId="2351" priority="26">
      <formula>$N$172 = 0</formula>
    </cfRule>
    <cfRule type="expression" dxfId="2350" priority="27">
      <formula>$N$172 &lt; 0</formula>
    </cfRule>
  </conditionalFormatting>
  <conditionalFormatting sqref="A179:C198 M179:O198">
    <cfRule type="expression" dxfId="2349" priority="13">
      <formula>AND($N179 &gt; 0, ISNUMBER($N179))</formula>
    </cfRule>
    <cfRule type="expression" dxfId="2348" priority="14">
      <formula>AND($N179 = 0 * ISNUMBER($N179))</formula>
    </cfRule>
    <cfRule type="expression" dxfId="2347" priority="15">
      <formula>AND($N179 &lt; 0, ISNUMBER($N179))</formula>
    </cfRule>
  </conditionalFormatting>
  <conditionalFormatting sqref="A179:F198">
    <cfRule type="expression" dxfId="2346" priority="22">
      <formula>AND($E179 &gt; 0, ISNUMBER($E179))</formula>
    </cfRule>
    <cfRule type="expression" dxfId="2345" priority="23">
      <formula>AND($E179 = 0 * ISNUMBER($E179))</formula>
    </cfRule>
    <cfRule type="expression" dxfId="2344" priority="24">
      <formula>AND($E179 &lt; 0, ISNUMBER($E179))</formula>
    </cfRule>
  </conditionalFormatting>
  <conditionalFormatting sqref="A179:C198 G179:I198">
    <cfRule type="expression" dxfId="2343" priority="19">
      <formula>AND($H179 &gt; 0, ISNUMBER($H179))</formula>
    </cfRule>
    <cfRule type="expression" dxfId="2342" priority="20">
      <formula>AND($H179 = 0 * ISNUMBER($H179))</formula>
    </cfRule>
    <cfRule type="expression" dxfId="2341" priority="21">
      <formula>AND($H179 &lt; 0, ISNUMBER($H179))</formula>
    </cfRule>
  </conditionalFormatting>
  <conditionalFormatting sqref="A179:C198 J179:L198">
    <cfRule type="expression" dxfId="2340" priority="16">
      <formula>AND($K179 &gt; 0, ISNUMBER($K179))</formula>
    </cfRule>
    <cfRule type="expression" dxfId="2339" priority="17">
      <formula>AND($K179 = 0 * ISNUMBER($K179))</formula>
    </cfRule>
    <cfRule type="expression" dxfId="2338" priority="18">
      <formula>AND($K179 &lt; 0, ISNUMBER($K179))</formula>
    </cfRule>
  </conditionalFormatting>
  <conditionalFormatting sqref="D177:F178 E199:F199">
    <cfRule type="expression" dxfId="2337" priority="10">
      <formula>$E$199 &gt; 0</formula>
    </cfRule>
    <cfRule type="expression" dxfId="2336" priority="11">
      <formula>$E$199 = 0</formula>
    </cfRule>
    <cfRule type="expression" dxfId="2335" priority="12">
      <formula>$E$199 &lt; 0</formula>
    </cfRule>
  </conditionalFormatting>
  <conditionalFormatting sqref="G177:I178 H199:I199">
    <cfRule type="expression" dxfId="2334" priority="7">
      <formula>$H$199 &gt; 0</formula>
    </cfRule>
    <cfRule type="expression" dxfId="2333" priority="8">
      <formula>$H$199 = 0</formula>
    </cfRule>
    <cfRule type="expression" dxfId="2332" priority="9">
      <formula>$H$199 &lt; 0</formula>
    </cfRule>
  </conditionalFormatting>
  <conditionalFormatting sqref="J177:L178 K199:L199">
    <cfRule type="expression" dxfId="2331" priority="4">
      <formula>$K$199 &gt; 0</formula>
    </cfRule>
    <cfRule type="expression" dxfId="2330" priority="5">
      <formula>$K$199 = 0</formula>
    </cfRule>
    <cfRule type="expression" dxfId="2329" priority="6">
      <formula>$K$199 &lt; 0</formula>
    </cfRule>
  </conditionalFormatting>
  <conditionalFormatting sqref="M177:O178 N199:O199">
    <cfRule type="expression" dxfId="2328" priority="1">
      <formula>$N$199 &gt; 0</formula>
    </cfRule>
    <cfRule type="expression" dxfId="2327" priority="2">
      <formula>$N$199 = 0</formula>
    </cfRule>
    <cfRule type="expression" dxfId="23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44319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" t="s">
        <v>3</v>
      </c>
      <c r="B2" s="247" t="s">
        <v>4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5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4" t="s">
        <v>7</v>
      </c>
      <c r="B3" s="253" t="s">
        <v>8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257"/>
      <c r="I3" s="258"/>
      <c r="J3" s="4" t="s">
        <v>7</v>
      </c>
      <c r="K3" s="253" t="s">
        <v>9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53" t="s">
        <v>12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13</v>
      </c>
      <c r="L4" s="254"/>
      <c r="M4" s="254"/>
      <c r="N4" s="254"/>
      <c r="O4" s="255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53" t="s">
        <v>16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257"/>
      <c r="I5" s="258"/>
      <c r="J5" s="4" t="s">
        <v>15</v>
      </c>
      <c r="K5" s="253" t="s">
        <v>17</v>
      </c>
      <c r="L5" s="254"/>
      <c r="M5" s="254"/>
      <c r="N5" s="254"/>
      <c r="O5" s="255"/>
    </row>
    <row r="6" spans="1:19">
      <c r="A6" s="4" t="s">
        <v>18</v>
      </c>
      <c r="B6" s="253" t="s">
        <v>19</v>
      </c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20</v>
      </c>
      <c r="L6" s="254"/>
      <c r="M6" s="254"/>
      <c r="N6" s="254"/>
      <c r="O6" s="255"/>
    </row>
    <row r="7" spans="1:19" ht="17.25" thickBot="1">
      <c r="A7" s="4" t="s">
        <v>21</v>
      </c>
      <c r="B7" s="253" t="s">
        <v>22</v>
      </c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257"/>
      <c r="I7" s="258"/>
      <c r="J7" s="4" t="s">
        <v>21</v>
      </c>
      <c r="K7" s="253" t="s">
        <v>23</v>
      </c>
      <c r="L7" s="254"/>
      <c r="M7" s="254"/>
      <c r="N7" s="254"/>
      <c r="O7" s="255"/>
    </row>
    <row r="8" spans="1:19" ht="17.25" thickBot="1">
      <c r="A8" s="4" t="s">
        <v>24</v>
      </c>
      <c r="B8" s="253" t="s">
        <v>25</v>
      </c>
      <c r="C8" s="254"/>
      <c r="D8" s="254"/>
      <c r="E8" s="254"/>
      <c r="F8" s="255"/>
      <c r="G8" s="250" t="s">
        <v>285</v>
      </c>
      <c r="H8" s="251"/>
      <c r="I8" s="252"/>
      <c r="J8" s="4" t="s">
        <v>24</v>
      </c>
      <c r="K8" s="253" t="s">
        <v>26</v>
      </c>
      <c r="L8" s="254"/>
      <c r="M8" s="254"/>
      <c r="N8" s="254"/>
      <c r="O8" s="255"/>
      <c r="Q8" s="241" t="s">
        <v>27</v>
      </c>
      <c r="R8" s="243"/>
    </row>
    <row r="9" spans="1:19" ht="17.25" thickBot="1">
      <c r="A9" s="4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257"/>
      <c r="I9" s="258"/>
      <c r="J9" s="4" t="s">
        <v>28</v>
      </c>
      <c r="K9" s="253" t="s">
        <v>293</v>
      </c>
      <c r="L9" s="254"/>
      <c r="M9" s="254"/>
      <c r="N9" s="254"/>
      <c r="O9" s="255"/>
      <c r="Q9" s="2" t="s">
        <v>29</v>
      </c>
      <c r="R9" s="6">
        <v>10</v>
      </c>
    </row>
    <row r="10" spans="1:19">
      <c r="A10" s="4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/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7" t="s">
        <v>32</v>
      </c>
      <c r="B11" s="259"/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257"/>
      <c r="I11" s="258"/>
      <c r="J11" s="7" t="s">
        <v>32</v>
      </c>
      <c r="K11" s="259"/>
      <c r="L11" s="260"/>
      <c r="M11" s="260"/>
      <c r="N11" s="260"/>
      <c r="O11" s="261"/>
      <c r="Q11" s="61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07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62017000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-1.6680144000000001E-2</v>
      </c>
      <c r="N14" s="272"/>
      <c r="O14" s="273"/>
      <c r="Q14" s="262"/>
      <c r="R14" s="262"/>
      <c r="S14" s="262"/>
    </row>
    <row r="15" spans="1:19" ht="17.25" customHeight="1" thickBot="1">
      <c r="A15" s="263" t="s">
        <v>39</v>
      </c>
      <c r="B15" s="274" t="str">
        <f>TEXT($G$1, "[$-ko-KR]yyyy-mm-dd(ddd) ") &amp; "오전 00:00"</f>
        <v>2021-05-03(월) 오전 00:00</v>
      </c>
      <c r="C15" s="275"/>
      <c r="D15" s="264" t="str">
        <f>TEXT($G$1, "[$-ko-KR]yyyy-mm-dd(ddd) ") &amp; "오후 14:00"</f>
        <v>2021-05-03(월) 오후 14:00</v>
      </c>
      <c r="E15" s="265"/>
      <c r="F15" s="266"/>
      <c r="G15" s="264" t="str">
        <f>TEXT($G$1, "[$-ko-KR]yyyy-mm-dd(ddd) ") &amp; "오후 19:00"</f>
        <v>2021-05-03(월) 오후 19:00</v>
      </c>
      <c r="H15" s="265"/>
      <c r="I15" s="266"/>
      <c r="J15" s="264" t="str">
        <f>TEXT($G$1, "[$-ko-KR]yyyy-mm-dd(ddd) ") &amp; "오후 21:00"</f>
        <v>2021-05-03(월) 오후 21:00</v>
      </c>
      <c r="K15" s="265"/>
      <c r="L15" s="266"/>
      <c r="M15" s="264" t="str">
        <f>TEXT($G$1+1, "[$-ko-KR]yyyy-mm-dd(ddd) ") &amp; "오전 00:00"</f>
        <v>2021-05-04(화) 오전 00:00</v>
      </c>
      <c r="N15" s="265"/>
      <c r="O15" s="266"/>
      <c r="Q15" s="262"/>
      <c r="R15" s="262"/>
      <c r="S15" s="262"/>
    </row>
    <row r="16" spans="1:19" ht="17.25" customHeight="1" thickBot="1">
      <c r="A16" s="26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7"/>
      <c r="R16" s="267"/>
      <c r="S16" s="267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262"/>
      <c r="R17" s="262"/>
      <c r="S17" s="262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262"/>
      <c r="R18" s="262"/>
      <c r="S18" s="262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267"/>
      <c r="R19" s="267"/>
      <c r="S19" s="267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267"/>
      <c r="R20" s="267"/>
      <c r="S20" s="267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267"/>
      <c r="R21" s="267"/>
      <c r="S21" s="267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67"/>
      <c r="R22" s="267"/>
      <c r="S22" s="26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76"/>
      <c r="R26" s="277"/>
      <c r="S26" s="27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67"/>
      <c r="R32" s="267"/>
      <c r="S32" s="26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92"/>
      <c r="R36" s="293"/>
      <c r="S36" s="294"/>
    </row>
    <row r="37" spans="1:19" ht="17.25" customHeight="1" thickBot="1">
      <c r="A37" s="26" t="s">
        <v>42</v>
      </c>
      <c r="B37" s="298">
        <v>300000</v>
      </c>
      <c r="C37" s="299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07" t="s">
        <v>298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62017000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-1.6680144000000001E-2</v>
      </c>
      <c r="N41" s="272"/>
      <c r="O41" s="273"/>
      <c r="Q41" s="262"/>
      <c r="R41" s="262"/>
      <c r="S41" s="262"/>
    </row>
    <row r="42" spans="1:19" ht="17.25" customHeight="1" thickBot="1">
      <c r="A42" s="285" t="s">
        <v>55</v>
      </c>
      <c r="B42" s="287" t="str">
        <f>TEXT($G$1, "[$-ko-KR]yyyy-mm-dd(ddd) ") &amp; "오전 00:00"</f>
        <v>2021-05-03(월) 오전 00:00</v>
      </c>
      <c r="C42" s="288"/>
      <c r="D42" s="264" t="str">
        <f>TEXT($G$1, "[$-ko-KR]yyyy-mm-dd(ddd) ") &amp; "오후 14:00"</f>
        <v>2021-05-03(월) 오후 14:00</v>
      </c>
      <c r="E42" s="265"/>
      <c r="F42" s="266"/>
      <c r="G42" s="264" t="str">
        <f>TEXT($G$1, "[$-ko-KR]yyyy-mm-dd(ddd) ") &amp; "오후 19:00"</f>
        <v>2021-05-03(월) 오후 19:00</v>
      </c>
      <c r="H42" s="265"/>
      <c r="I42" s="266"/>
      <c r="J42" s="264" t="str">
        <f>TEXT($G$1, "[$-ko-KR]yyyy-mm-dd(ddd) ") &amp; "오후 21:00"</f>
        <v>2021-05-03(월) 오후 21:00</v>
      </c>
      <c r="K42" s="265"/>
      <c r="L42" s="266"/>
      <c r="M42" s="264" t="str">
        <f>TEXT($G$1+1, "[$-ko-KR]yyyy-mm-dd(ddd) ") &amp; "오전 00:00"</f>
        <v>2021-05-04(화) 오전 00:00</v>
      </c>
      <c r="N42" s="265"/>
      <c r="O42" s="266"/>
      <c r="Q42" s="262"/>
      <c r="R42" s="262"/>
      <c r="S42" s="262"/>
    </row>
    <row r="43" spans="1:19" ht="17.25" customHeight="1" thickBot="1">
      <c r="A43" s="286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7"/>
      <c r="R43" s="267"/>
      <c r="S43" s="267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262"/>
      <c r="R44" s="262"/>
      <c r="S44" s="262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262"/>
      <c r="R45" s="262"/>
      <c r="S45" s="262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267"/>
      <c r="R46" s="267"/>
      <c r="S46" s="267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267"/>
      <c r="R47" s="267"/>
      <c r="S47" s="267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267"/>
      <c r="R48" s="267"/>
      <c r="S48" s="267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267"/>
      <c r="R49" s="267"/>
      <c r="S49" s="267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267"/>
      <c r="R50" s="267"/>
      <c r="S50" s="267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267"/>
      <c r="R51" s="267"/>
      <c r="S51" s="267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276"/>
      <c r="R53" s="277"/>
      <c r="S53" s="278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279"/>
      <c r="R54" s="280"/>
      <c r="S54" s="281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282"/>
      <c r="R55" s="283"/>
      <c r="S55" s="284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267"/>
      <c r="R56" s="267"/>
      <c r="S56" s="267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262"/>
      <c r="R57" s="262"/>
      <c r="S57" s="262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262"/>
      <c r="R58" s="262"/>
      <c r="S58" s="262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267"/>
      <c r="R59" s="267"/>
      <c r="S59" s="267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267"/>
      <c r="R60" s="267"/>
      <c r="S60" s="267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267"/>
      <c r="R61" s="267"/>
      <c r="S61" s="267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89"/>
      <c r="R62" s="290"/>
      <c r="S62" s="291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92"/>
      <c r="R63" s="293"/>
      <c r="S63" s="294"/>
    </row>
    <row r="64" spans="1:19" ht="17.25" customHeight="1" thickBot="1">
      <c r="A64" s="26" t="s">
        <v>301</v>
      </c>
      <c r="B64" s="298">
        <f>$B$37</f>
        <v>300000</v>
      </c>
      <c r="C64" s="299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07" t="s">
        <v>298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62017000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-1.6680144000000001E-2</v>
      </c>
      <c r="N68" s="272"/>
      <c r="O68" s="273"/>
      <c r="Q68" s="262"/>
      <c r="R68" s="262"/>
      <c r="S68" s="262"/>
    </row>
    <row r="69" spans="1:19" ht="17.25" thickBot="1">
      <c r="A69" s="285" t="s">
        <v>55</v>
      </c>
      <c r="B69" s="287" t="str">
        <f>TEXT($G$1, "[$-ko-KR]yyyy-mm-dd(ddd) ") &amp; "오전 00:00"</f>
        <v>2021-05-03(월) 오전 00:00</v>
      </c>
      <c r="C69" s="288"/>
      <c r="D69" s="264" t="str">
        <f>TEXT($G$1, "[$-ko-KR]yyyy-mm-dd(ddd) ") &amp; "오후 14:00"</f>
        <v>2021-05-03(월) 오후 14:00</v>
      </c>
      <c r="E69" s="265"/>
      <c r="F69" s="266"/>
      <c r="G69" s="264" t="str">
        <f>TEXT($G$1, "[$-ko-KR]yyyy-mm-dd(ddd) ") &amp; "오후 19:00"</f>
        <v>2021-05-03(월) 오후 19:00</v>
      </c>
      <c r="H69" s="265"/>
      <c r="I69" s="266"/>
      <c r="J69" s="264" t="str">
        <f>TEXT($G$1, "[$-ko-KR]yyyy-mm-dd(ddd) ") &amp; "오후 21:00"</f>
        <v>2021-05-03(월) 오후 21:00</v>
      </c>
      <c r="K69" s="265"/>
      <c r="L69" s="266"/>
      <c r="M69" s="264" t="str">
        <f>TEXT($G$1+1, "[$-ko-KR]yyyy-mm-dd(ddd) ") &amp; "오전 00:00"</f>
        <v>2021-05-04(화) 오전 00:00</v>
      </c>
      <c r="N69" s="265"/>
      <c r="O69" s="266"/>
      <c r="Q69" s="262"/>
      <c r="R69" s="262"/>
      <c r="S69" s="262"/>
    </row>
    <row r="70" spans="1:19" ht="17.25" thickBot="1">
      <c r="A70" s="286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7"/>
      <c r="R70" s="267"/>
      <c r="S70" s="267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262"/>
      <c r="R71" s="262"/>
      <c r="S71" s="262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262"/>
      <c r="R72" s="262"/>
      <c r="S72" s="262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267"/>
      <c r="R73" s="267"/>
      <c r="S73" s="267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267"/>
      <c r="R74" s="267"/>
      <c r="S74" s="267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267"/>
      <c r="R75" s="267"/>
      <c r="S75" s="267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267"/>
      <c r="R76" s="267"/>
      <c r="S76" s="267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267"/>
      <c r="R77" s="267"/>
      <c r="S77" s="267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267"/>
      <c r="R78" s="267"/>
      <c r="S78" s="267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276"/>
      <c r="R80" s="277"/>
      <c r="S80" s="278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279"/>
      <c r="R81" s="280"/>
      <c r="S81" s="281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282"/>
      <c r="R82" s="283"/>
      <c r="S82" s="284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267"/>
      <c r="R83" s="267"/>
      <c r="S83" s="267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262"/>
      <c r="R84" s="262"/>
      <c r="S84" s="262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262"/>
      <c r="R85" s="262"/>
      <c r="S85" s="262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267"/>
      <c r="R86" s="267"/>
      <c r="S86" s="267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267"/>
      <c r="R87" s="267"/>
      <c r="S87" s="267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267"/>
      <c r="R88" s="267"/>
      <c r="S88" s="267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289"/>
      <c r="R89" s="290"/>
      <c r="S89" s="291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292"/>
      <c r="R90" s="293"/>
      <c r="S90" s="294"/>
    </row>
    <row r="91" spans="1:19" ht="17.25" thickBot="1">
      <c r="A91" s="26" t="s">
        <v>301</v>
      </c>
      <c r="B91" s="298">
        <f>$B$37</f>
        <v>300000</v>
      </c>
      <c r="C91" s="299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07" t="s">
        <v>298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62017000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-1.6680144000000001E-2</v>
      </c>
      <c r="N95" s="272"/>
      <c r="O95" s="273"/>
      <c r="Q95" s="262"/>
      <c r="R95" s="262"/>
      <c r="S95" s="262"/>
    </row>
    <row r="96" spans="1:19" ht="17.25" thickBot="1">
      <c r="A96" s="285" t="s">
        <v>55</v>
      </c>
      <c r="B96" s="287" t="str">
        <f>TEXT($G$1, "[$-ko-KR]yyyy-mm-dd(ddd) ") &amp; "오전 00:00"</f>
        <v>2021-05-03(월) 오전 00:00</v>
      </c>
      <c r="C96" s="288"/>
      <c r="D96" s="264" t="str">
        <f>TEXT($G$1, "[$-ko-KR]yyyy-mm-dd(ddd) ") &amp; "오후 14:00"</f>
        <v>2021-05-03(월) 오후 14:00</v>
      </c>
      <c r="E96" s="265"/>
      <c r="F96" s="266"/>
      <c r="G96" s="264" t="str">
        <f>TEXT($G$1, "[$-ko-KR]yyyy-mm-dd(ddd) ") &amp; "오후 19:00"</f>
        <v>2021-05-03(월) 오후 19:00</v>
      </c>
      <c r="H96" s="265"/>
      <c r="I96" s="266"/>
      <c r="J96" s="264" t="str">
        <f>TEXT($G$1, "[$-ko-KR]yyyy-mm-dd(ddd) ") &amp; "오후 21:00"</f>
        <v>2021-05-03(월) 오후 21:00</v>
      </c>
      <c r="K96" s="265"/>
      <c r="L96" s="266"/>
      <c r="M96" s="264" t="str">
        <f>TEXT($G$1+1, "[$-ko-KR]yyyy-mm-dd(ddd) ") &amp; "오전 00:00"</f>
        <v>2021-05-04(화) 오전 00:00</v>
      </c>
      <c r="N96" s="265"/>
      <c r="O96" s="266"/>
      <c r="Q96" s="262"/>
      <c r="R96" s="262"/>
      <c r="S96" s="262"/>
    </row>
    <row r="97" spans="1:19" ht="17.25" thickBot="1">
      <c r="A97" s="286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7"/>
      <c r="R97" s="267"/>
      <c r="S97" s="267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262"/>
      <c r="R98" s="262"/>
      <c r="S98" s="262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262"/>
      <c r="R99" s="262"/>
      <c r="S99" s="262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267"/>
      <c r="R100" s="267"/>
      <c r="S100" s="267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267"/>
      <c r="R101" s="267"/>
      <c r="S101" s="267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267"/>
      <c r="R102" s="267"/>
      <c r="S102" s="267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267"/>
      <c r="R103" s="267"/>
      <c r="S103" s="267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267"/>
      <c r="R104" s="267"/>
      <c r="S104" s="267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267"/>
      <c r="R105" s="267"/>
      <c r="S105" s="267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276"/>
      <c r="R107" s="277"/>
      <c r="S107" s="278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279"/>
      <c r="R108" s="280"/>
      <c r="S108" s="281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282"/>
      <c r="R109" s="283"/>
      <c r="S109" s="284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267"/>
      <c r="R110" s="267"/>
      <c r="S110" s="267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262"/>
      <c r="R111" s="262"/>
      <c r="S111" s="262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262"/>
      <c r="R112" s="262"/>
      <c r="S112" s="262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267"/>
      <c r="R113" s="267"/>
      <c r="S113" s="267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267"/>
      <c r="R114" s="267"/>
      <c r="S114" s="267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267"/>
      <c r="R115" s="267"/>
      <c r="S115" s="267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289"/>
      <c r="R116" s="290"/>
      <c r="S116" s="291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292"/>
      <c r="R117" s="293"/>
      <c r="S117" s="294"/>
    </row>
    <row r="118" spans="1:19" ht="17.25" thickBot="1">
      <c r="A118" s="26" t="s">
        <v>301</v>
      </c>
      <c r="B118" s="298">
        <f>$B$37</f>
        <v>300000</v>
      </c>
      <c r="C118" s="299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295"/>
      <c r="R118" s="296"/>
      <c r="S118" s="297"/>
    </row>
    <row r="120" spans="1:19" ht="17.25" thickBot="1"/>
    <row r="121" spans="1:19" ht="17.25" thickBot="1">
      <c r="A121" s="241" t="s">
        <v>288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07" t="s">
        <v>298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62017000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-1.6680144000000001E-2</v>
      </c>
      <c r="N122" s="272"/>
      <c r="O122" s="273"/>
      <c r="Q122" s="262"/>
      <c r="R122" s="262"/>
      <c r="S122" s="262"/>
    </row>
    <row r="123" spans="1:19" ht="17.25" thickBot="1">
      <c r="A123" s="285" t="s">
        <v>55</v>
      </c>
      <c r="B123" s="287" t="str">
        <f>TEXT($G$1, "[$-ko-KR]yyyy-mm-dd(ddd) ") &amp; "오전 00:00"</f>
        <v>2021-05-03(월) 오전 00:00</v>
      </c>
      <c r="C123" s="288"/>
      <c r="D123" s="264" t="str">
        <f>TEXT($G$1, "[$-ko-KR]yyyy-mm-dd(ddd) ") &amp; "오후 14:00"</f>
        <v>2021-05-03(월) 오후 14:00</v>
      </c>
      <c r="E123" s="265"/>
      <c r="F123" s="266"/>
      <c r="G123" s="264" t="str">
        <f>TEXT($G$1, "[$-ko-KR]yyyy-mm-dd(ddd) ") &amp; "오후 19:00"</f>
        <v>2021-05-03(월) 오후 19:00</v>
      </c>
      <c r="H123" s="265"/>
      <c r="I123" s="266"/>
      <c r="J123" s="264" t="str">
        <f>TEXT($G$1, "[$-ko-KR]yyyy-mm-dd(ddd) ") &amp; "오후 21:00"</f>
        <v>2021-05-03(월) 오후 21:00</v>
      </c>
      <c r="K123" s="265"/>
      <c r="L123" s="266"/>
      <c r="M123" s="264" t="str">
        <f>TEXT($G$1+1, "[$-ko-KR]yyyy-mm-dd(ddd) ") &amp; "오전 00:00"</f>
        <v>2021-05-04(화) 오전 00:00</v>
      </c>
      <c r="N123" s="265"/>
      <c r="O123" s="266"/>
      <c r="Q123" s="262"/>
      <c r="R123" s="262"/>
      <c r="S123" s="262"/>
    </row>
    <row r="124" spans="1:19" ht="17.25" thickBot="1">
      <c r="A124" s="286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7"/>
      <c r="R124" s="267"/>
      <c r="S124" s="267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262"/>
      <c r="R125" s="262"/>
      <c r="S125" s="262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262"/>
      <c r="R126" s="262"/>
      <c r="S126" s="262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267"/>
      <c r="R127" s="267"/>
      <c r="S127" s="267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267"/>
      <c r="R128" s="267"/>
      <c r="S128" s="267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267"/>
      <c r="R129" s="267"/>
      <c r="S129" s="267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267"/>
      <c r="R130" s="267"/>
      <c r="S130" s="267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267"/>
      <c r="R131" s="267"/>
      <c r="S131" s="267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267"/>
      <c r="R132" s="267"/>
      <c r="S132" s="267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276"/>
      <c r="R134" s="277"/>
      <c r="S134" s="278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279"/>
      <c r="R135" s="280"/>
      <c r="S135" s="281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282"/>
      <c r="R136" s="283"/>
      <c r="S136" s="284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267"/>
      <c r="R137" s="267"/>
      <c r="S137" s="267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262"/>
      <c r="R138" s="262"/>
      <c r="S138" s="262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262"/>
      <c r="R139" s="262"/>
      <c r="S139" s="262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267"/>
      <c r="R140" s="267"/>
      <c r="S140" s="267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267"/>
      <c r="R141" s="267"/>
      <c r="S141" s="267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267"/>
      <c r="R142" s="267"/>
      <c r="S142" s="267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89"/>
      <c r="R143" s="290"/>
      <c r="S143" s="291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92"/>
      <c r="R144" s="293"/>
      <c r="S144" s="294"/>
    </row>
    <row r="145" spans="1:19" ht="17.25" thickBot="1">
      <c r="A145" s="26" t="s">
        <v>301</v>
      </c>
      <c r="B145" s="298">
        <f>$B$37</f>
        <v>300000</v>
      </c>
      <c r="C145" s="299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295"/>
      <c r="R145" s="296"/>
      <c r="S145" s="297"/>
    </row>
    <row r="147" spans="1:19" ht="17.25" thickBot="1"/>
    <row r="148" spans="1:19" ht="17.25" thickBot="1">
      <c r="A148" s="241" t="s">
        <v>289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07" t="s">
        <v>298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62017000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-1.6680144000000001E-2</v>
      </c>
      <c r="N149" s="272"/>
      <c r="O149" s="273"/>
      <c r="Q149" s="262"/>
      <c r="R149" s="262"/>
      <c r="S149" s="262"/>
    </row>
    <row r="150" spans="1:19" ht="17.25" thickBot="1">
      <c r="A150" s="285" t="s">
        <v>55</v>
      </c>
      <c r="B150" s="287" t="str">
        <f>TEXT($G$1, "[$-ko-KR]yyyy-mm-dd(ddd) ") &amp; "오전 00:00"</f>
        <v>2021-05-03(월) 오전 00:00</v>
      </c>
      <c r="C150" s="288"/>
      <c r="D150" s="264" t="str">
        <f>TEXT($G$1, "[$-ko-KR]yyyy-mm-dd(ddd) ") &amp; "오후 14:00"</f>
        <v>2021-05-03(월) 오후 14:00</v>
      </c>
      <c r="E150" s="265"/>
      <c r="F150" s="266"/>
      <c r="G150" s="264" t="str">
        <f>TEXT($G$1, "[$-ko-KR]yyyy-mm-dd(ddd) ") &amp; "오후 19:00"</f>
        <v>2021-05-03(월) 오후 19:00</v>
      </c>
      <c r="H150" s="265"/>
      <c r="I150" s="266"/>
      <c r="J150" s="264" t="str">
        <f>TEXT($G$1, "[$-ko-KR]yyyy-mm-dd(ddd) ") &amp; "오후 21:00"</f>
        <v>2021-05-03(월) 오후 21:00</v>
      </c>
      <c r="K150" s="265"/>
      <c r="L150" s="266"/>
      <c r="M150" s="264" t="str">
        <f>TEXT($G$1+1, "[$-ko-KR]yyyy-mm-dd(ddd) ") &amp; "오전 00:00"</f>
        <v>2021-05-04(화) 오전 00:00</v>
      </c>
      <c r="N150" s="265"/>
      <c r="O150" s="266"/>
      <c r="Q150" s="262"/>
      <c r="R150" s="262"/>
      <c r="S150" s="262"/>
    </row>
    <row r="151" spans="1:19" ht="17.25" thickBot="1">
      <c r="A151" s="286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7"/>
      <c r="R151" s="267"/>
      <c r="S151" s="267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262"/>
      <c r="R152" s="262"/>
      <c r="S152" s="262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262"/>
      <c r="R153" s="262"/>
      <c r="S153" s="262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267"/>
      <c r="R154" s="267"/>
      <c r="S154" s="267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267"/>
      <c r="R155" s="267"/>
      <c r="S155" s="267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267"/>
      <c r="R156" s="267"/>
      <c r="S156" s="267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267"/>
      <c r="R157" s="267"/>
      <c r="S157" s="267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267"/>
      <c r="R158" s="267"/>
      <c r="S158" s="267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267"/>
      <c r="R159" s="267"/>
      <c r="S159" s="267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276"/>
      <c r="R161" s="277"/>
      <c r="S161" s="278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279"/>
      <c r="R162" s="280"/>
      <c r="S162" s="281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282"/>
      <c r="R163" s="283"/>
      <c r="S163" s="284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267"/>
      <c r="R164" s="267"/>
      <c r="S164" s="267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262"/>
      <c r="R165" s="262"/>
      <c r="S165" s="262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262"/>
      <c r="R166" s="262"/>
      <c r="S166" s="262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267"/>
      <c r="R167" s="267"/>
      <c r="S167" s="267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267"/>
      <c r="R168" s="267"/>
      <c r="S168" s="267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267"/>
      <c r="R169" s="267"/>
      <c r="S169" s="267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289"/>
      <c r="R170" s="290"/>
      <c r="S170" s="291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292"/>
      <c r="R171" s="293"/>
      <c r="S171" s="294"/>
    </row>
    <row r="172" spans="1:19" ht="17.25" thickBot="1">
      <c r="A172" s="26" t="s">
        <v>301</v>
      </c>
      <c r="B172" s="298">
        <f>$B$37</f>
        <v>300000</v>
      </c>
      <c r="C172" s="299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295"/>
      <c r="R172" s="296"/>
      <c r="S172" s="297"/>
    </row>
    <row r="174" spans="1:19" ht="17.25" thickBot="1"/>
    <row r="175" spans="1:19" ht="17.25" thickBot="1">
      <c r="A175" s="241" t="s">
        <v>285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07" t="s">
        <v>298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62017000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-1.6680144000000001E-2</v>
      </c>
      <c r="N176" s="272"/>
      <c r="O176" s="273"/>
      <c r="Q176" s="262"/>
      <c r="R176" s="262"/>
      <c r="S176" s="262"/>
    </row>
    <row r="177" spans="1:19" ht="17.25" thickBot="1">
      <c r="A177" s="285" t="s">
        <v>55</v>
      </c>
      <c r="B177" s="287" t="str">
        <f>TEXT($G$1, "[$-ko-KR]yyyy-mm-dd(ddd) ") &amp; "오전 00:00"</f>
        <v>2021-05-03(월) 오전 00:00</v>
      </c>
      <c r="C177" s="288"/>
      <c r="D177" s="264" t="str">
        <f>TEXT($G$1, "[$-ko-KR]yyyy-mm-dd(ddd) ") &amp; "오후 14:00"</f>
        <v>2021-05-03(월) 오후 14:00</v>
      </c>
      <c r="E177" s="265"/>
      <c r="F177" s="266"/>
      <c r="G177" s="264" t="str">
        <f>TEXT($G$1, "[$-ko-KR]yyyy-mm-dd(ddd) ") &amp; "오후 19:00"</f>
        <v>2021-05-03(월) 오후 19:00</v>
      </c>
      <c r="H177" s="265"/>
      <c r="I177" s="266"/>
      <c r="J177" s="264" t="str">
        <f>TEXT($G$1, "[$-ko-KR]yyyy-mm-dd(ddd) ") &amp; "오후 21:00"</f>
        <v>2021-05-03(월) 오후 21:00</v>
      </c>
      <c r="K177" s="265"/>
      <c r="L177" s="266"/>
      <c r="M177" s="264" t="str">
        <f>TEXT($G$1+1, "[$-ko-KR]yyyy-mm-dd(ddd) ") &amp; "오전 00:00"</f>
        <v>2021-05-04(화) 오전 00:00</v>
      </c>
      <c r="N177" s="265"/>
      <c r="O177" s="266"/>
      <c r="Q177" s="262"/>
      <c r="R177" s="262"/>
      <c r="S177" s="262"/>
    </row>
    <row r="178" spans="1:19" ht="17.25" thickBot="1">
      <c r="A178" s="286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7"/>
      <c r="R178" s="267"/>
      <c r="S178" s="267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262"/>
      <c r="R179" s="262"/>
      <c r="S179" s="262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262"/>
      <c r="R180" s="262"/>
      <c r="S180" s="262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267"/>
      <c r="R181" s="267"/>
      <c r="S181" s="267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267"/>
      <c r="R182" s="267"/>
      <c r="S182" s="267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267"/>
      <c r="R183" s="267"/>
      <c r="S183" s="267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267"/>
      <c r="R184" s="267"/>
      <c r="S184" s="267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267"/>
      <c r="R185" s="267"/>
      <c r="S185" s="267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267"/>
      <c r="R186" s="267"/>
      <c r="S186" s="267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276"/>
      <c r="R188" s="277"/>
      <c r="S188" s="278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279"/>
      <c r="R189" s="280"/>
      <c r="S189" s="281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282"/>
      <c r="R190" s="283"/>
      <c r="S190" s="284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267"/>
      <c r="R191" s="267"/>
      <c r="S191" s="267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262"/>
      <c r="R192" s="262"/>
      <c r="S192" s="262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262"/>
      <c r="R193" s="262"/>
      <c r="S193" s="262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267"/>
      <c r="R194" s="267"/>
      <c r="S194" s="267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267"/>
      <c r="R195" s="267"/>
      <c r="S195" s="267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267"/>
      <c r="R196" s="267"/>
      <c r="S196" s="267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289"/>
      <c r="R197" s="290"/>
      <c r="S197" s="291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292"/>
      <c r="R198" s="293"/>
      <c r="S198" s="294"/>
    </row>
    <row r="199" spans="1:19" ht="17.25" thickBot="1">
      <c r="A199" s="26" t="s">
        <v>301</v>
      </c>
      <c r="B199" s="298">
        <f>$B$37</f>
        <v>300000</v>
      </c>
      <c r="C199" s="299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15" priority="157">
      <formula>AND($N17 &gt; 0, ISNUMBER($N17))</formula>
    </cfRule>
    <cfRule type="expression" dxfId="2314" priority="158">
      <formula>AND($N17 = 0 * ISNUMBER($N17))</formula>
    </cfRule>
    <cfRule type="expression" dxfId="2313" priority="159">
      <formula>AND($N17 &lt; 0, ISNUMBER($N17))</formula>
    </cfRule>
  </conditionalFormatting>
  <conditionalFormatting sqref="A17:F36">
    <cfRule type="expression" dxfId="2312" priority="166">
      <formula>AND($E17 &gt; 0, ISNUMBER($E17))</formula>
    </cfRule>
    <cfRule type="expression" dxfId="2311" priority="167">
      <formula>AND($E17 = 0 * ISNUMBER($E17))</formula>
    </cfRule>
    <cfRule type="expression" dxfId="2310" priority="168">
      <formula>AND($E17 &lt; 0, ISNUMBER($E17))</formula>
    </cfRule>
  </conditionalFormatting>
  <conditionalFormatting sqref="A17:C36 G17:I36">
    <cfRule type="expression" dxfId="2309" priority="163">
      <formula>AND($H17 &gt; 0, ISNUMBER($H17))</formula>
    </cfRule>
    <cfRule type="expression" dxfId="2308" priority="164">
      <formula>AND($H17 = 0 * ISNUMBER($H17))</formula>
    </cfRule>
    <cfRule type="expression" dxfId="2307" priority="165">
      <formula>AND($H17 &lt; 0, ISNUMBER($H17))</formula>
    </cfRule>
  </conditionalFormatting>
  <conditionalFormatting sqref="A17:C36 J17:L36">
    <cfRule type="expression" dxfId="2306" priority="160">
      <formula>AND($K17 &gt; 0, ISNUMBER($K17))</formula>
    </cfRule>
    <cfRule type="expression" dxfId="2305" priority="161">
      <formula>AND($K17 = 0 * ISNUMBER($K17))</formula>
    </cfRule>
    <cfRule type="expression" dxfId="2304" priority="162">
      <formula>AND($K17 &lt; 0, ISNUMBER($K17))</formula>
    </cfRule>
  </conditionalFormatting>
  <conditionalFormatting sqref="D15:F16 E37:F37">
    <cfRule type="expression" dxfId="2303" priority="154">
      <formula>$E$37 &gt; 0</formula>
    </cfRule>
    <cfRule type="expression" dxfId="2302" priority="155">
      <formula>$E$37 = 0</formula>
    </cfRule>
    <cfRule type="expression" dxfId="2301" priority="156">
      <formula>$E$37 &lt; 0</formula>
    </cfRule>
  </conditionalFormatting>
  <conditionalFormatting sqref="G15:I16 H37:I37">
    <cfRule type="expression" dxfId="2300" priority="151">
      <formula>$H$37 &gt; 0</formula>
    </cfRule>
    <cfRule type="expression" dxfId="2299" priority="152">
      <formula>$H$37 = 0</formula>
    </cfRule>
    <cfRule type="expression" dxfId="2298" priority="153">
      <formula>$H$37 &lt; 0</formula>
    </cfRule>
  </conditionalFormatting>
  <conditionalFormatting sqref="J15:L16 K37:L37">
    <cfRule type="expression" dxfId="2297" priority="148">
      <formula>$K$37 &gt; 0</formula>
    </cfRule>
    <cfRule type="expression" dxfId="2296" priority="149">
      <formula>$K$37 = 0</formula>
    </cfRule>
    <cfRule type="expression" dxfId="2295" priority="150">
      <formula>$K$37 &lt; 0</formula>
    </cfRule>
  </conditionalFormatting>
  <conditionalFormatting sqref="M15:O16 N37:O37">
    <cfRule type="expression" dxfId="2294" priority="145">
      <formula>$N$37 &gt; 0</formula>
    </cfRule>
    <cfRule type="expression" dxfId="2293" priority="146">
      <formula>$N$37 = 0</formula>
    </cfRule>
    <cfRule type="expression" dxfId="2292" priority="147">
      <formula>$N$37 &lt; 0</formula>
    </cfRule>
  </conditionalFormatting>
  <conditionalFormatting sqref="A44:C63 M44:O63">
    <cfRule type="expression" dxfId="2291" priority="133">
      <formula>AND($N44 &gt; 0, ISNUMBER($N44))</formula>
    </cfRule>
    <cfRule type="expression" dxfId="2290" priority="134">
      <formula>AND($N44 = 0 * ISNUMBER($N44))</formula>
    </cfRule>
    <cfRule type="expression" dxfId="2289" priority="135">
      <formula>AND($N44 &lt; 0, ISNUMBER($N44))</formula>
    </cfRule>
  </conditionalFormatting>
  <conditionalFormatting sqref="A44:F63">
    <cfRule type="expression" dxfId="2288" priority="142">
      <formula>AND($E44 &gt; 0, ISNUMBER($E44))</formula>
    </cfRule>
    <cfRule type="expression" dxfId="2287" priority="143">
      <formula>AND($E44 = 0 * ISNUMBER($E44))</formula>
    </cfRule>
    <cfRule type="expression" dxfId="2286" priority="144">
      <formula>AND($E44 &lt; 0, ISNUMBER($E44))</formula>
    </cfRule>
  </conditionalFormatting>
  <conditionalFormatting sqref="A44:C63 G44:I63">
    <cfRule type="expression" dxfId="2285" priority="139">
      <formula>AND($H44 &gt; 0, ISNUMBER($H44))</formula>
    </cfRule>
    <cfRule type="expression" dxfId="2284" priority="140">
      <formula>AND($H44 = 0 * ISNUMBER($H44))</formula>
    </cfRule>
    <cfRule type="expression" dxfId="2283" priority="141">
      <formula>AND($H44 &lt; 0, ISNUMBER($H44))</formula>
    </cfRule>
  </conditionalFormatting>
  <conditionalFormatting sqref="A44:C63 J44:L63">
    <cfRule type="expression" dxfId="2282" priority="136">
      <formula>AND($K44 &gt; 0, ISNUMBER($K44))</formula>
    </cfRule>
    <cfRule type="expression" dxfId="2281" priority="137">
      <formula>AND($K44 = 0 * ISNUMBER($K44))</formula>
    </cfRule>
    <cfRule type="expression" dxfId="2280" priority="138">
      <formula>AND($K44 &lt; 0, ISNUMBER($K44))</formula>
    </cfRule>
  </conditionalFormatting>
  <conditionalFormatting sqref="D42:F43 E64:F64">
    <cfRule type="expression" dxfId="2279" priority="130">
      <formula>$E$64 &gt; 0</formula>
    </cfRule>
    <cfRule type="expression" dxfId="2278" priority="131">
      <formula>$E$64 = 0</formula>
    </cfRule>
    <cfRule type="expression" dxfId="2277" priority="132">
      <formula>$E$64 &lt; 0</formula>
    </cfRule>
  </conditionalFormatting>
  <conditionalFormatting sqref="G42:I43 H64:I64">
    <cfRule type="expression" dxfId="2276" priority="127">
      <formula>$H$64 &gt; 0</formula>
    </cfRule>
    <cfRule type="expression" dxfId="2275" priority="128">
      <formula>$H$64 = 0</formula>
    </cfRule>
    <cfRule type="expression" dxfId="2274" priority="129">
      <formula>$H$64 &lt; 0</formula>
    </cfRule>
  </conditionalFormatting>
  <conditionalFormatting sqref="J42:L43 K64:L64">
    <cfRule type="expression" dxfId="2273" priority="124">
      <formula>$K$64 &gt; 0</formula>
    </cfRule>
    <cfRule type="expression" dxfId="2272" priority="125">
      <formula>$K$64 = 0</formula>
    </cfRule>
    <cfRule type="expression" dxfId="2271" priority="126">
      <formula>$K$64 &lt; 0</formula>
    </cfRule>
  </conditionalFormatting>
  <conditionalFormatting sqref="M42:O43 N64:O64">
    <cfRule type="expression" dxfId="2270" priority="121">
      <formula>$N$64 &gt; 0</formula>
    </cfRule>
    <cfRule type="expression" dxfId="2269" priority="122">
      <formula>$N$64 = 0</formula>
    </cfRule>
    <cfRule type="expression" dxfId="2268" priority="123">
      <formula>$N$64 &lt; 0</formula>
    </cfRule>
  </conditionalFormatting>
  <conditionalFormatting sqref="A71:C90 M71:O90">
    <cfRule type="expression" dxfId="2267" priority="109">
      <formula>AND($N71 &gt; 0, ISNUMBER($N71))</formula>
    </cfRule>
    <cfRule type="expression" dxfId="2266" priority="110">
      <formula>AND($N71 = 0 * ISNUMBER($N71))</formula>
    </cfRule>
    <cfRule type="expression" dxfId="2265" priority="111">
      <formula>AND($N71 &lt; 0, ISNUMBER($N71))</formula>
    </cfRule>
  </conditionalFormatting>
  <conditionalFormatting sqref="A71:F90">
    <cfRule type="expression" dxfId="2264" priority="118">
      <formula>AND($E71 &gt; 0, ISNUMBER($E71))</formula>
    </cfRule>
    <cfRule type="expression" dxfId="2263" priority="119">
      <formula>AND($E71 = 0 * ISNUMBER($E71))</formula>
    </cfRule>
    <cfRule type="expression" dxfId="2262" priority="120">
      <formula>AND($E71 &lt; 0, ISNUMBER($E71))</formula>
    </cfRule>
  </conditionalFormatting>
  <conditionalFormatting sqref="A71:C90 G71:I90">
    <cfRule type="expression" dxfId="2261" priority="115">
      <formula>AND($H71 &gt; 0, ISNUMBER($H71))</formula>
    </cfRule>
    <cfRule type="expression" dxfId="2260" priority="116">
      <formula>AND($H71 = 0 * ISNUMBER($H71))</formula>
    </cfRule>
    <cfRule type="expression" dxfId="2259" priority="117">
      <formula>AND($H71 &lt; 0, ISNUMBER($H71))</formula>
    </cfRule>
  </conditionalFormatting>
  <conditionalFormatting sqref="A71:C90 J71:L90">
    <cfRule type="expression" dxfId="2258" priority="112">
      <formula>AND($K71 &gt; 0, ISNUMBER($K71))</formula>
    </cfRule>
    <cfRule type="expression" dxfId="2257" priority="113">
      <formula>AND($K71 = 0 * ISNUMBER($K71))</formula>
    </cfRule>
    <cfRule type="expression" dxfId="2256" priority="114">
      <formula>AND($K71 &lt; 0, ISNUMBER($K71))</formula>
    </cfRule>
  </conditionalFormatting>
  <conditionalFormatting sqref="D69:F70 E91:F91">
    <cfRule type="expression" dxfId="2255" priority="106">
      <formula>$E$91 &gt; 0</formula>
    </cfRule>
    <cfRule type="expression" dxfId="2254" priority="107">
      <formula>$E$91 = 0</formula>
    </cfRule>
    <cfRule type="expression" dxfId="2253" priority="108">
      <formula>$E$91 &lt; 0</formula>
    </cfRule>
  </conditionalFormatting>
  <conditionalFormatting sqref="G69:I70 H91:I91">
    <cfRule type="expression" dxfId="2252" priority="103">
      <formula>$H$91 &gt; 0</formula>
    </cfRule>
    <cfRule type="expression" dxfId="2251" priority="104">
      <formula>$H$91 = 0</formula>
    </cfRule>
    <cfRule type="expression" dxfId="2250" priority="105">
      <formula>$H$91 &lt; 0</formula>
    </cfRule>
  </conditionalFormatting>
  <conditionalFormatting sqref="J69:L70 K91:L91">
    <cfRule type="expression" dxfId="2249" priority="100">
      <formula>$K$91 &gt; 0</formula>
    </cfRule>
    <cfRule type="expression" dxfId="2248" priority="101">
      <formula>$K$91 = 0</formula>
    </cfRule>
    <cfRule type="expression" dxfId="2247" priority="102">
      <formula>$K$91 &lt; 0</formula>
    </cfRule>
  </conditionalFormatting>
  <conditionalFormatting sqref="M69:O70 N91:O91">
    <cfRule type="expression" dxfId="2246" priority="97">
      <formula>$N$91 &gt; 0</formula>
    </cfRule>
    <cfRule type="expression" dxfId="2245" priority="98">
      <formula>$N$91 = 0</formula>
    </cfRule>
    <cfRule type="expression" dxfId="2244" priority="99">
      <formula>$N$91 &lt; 0</formula>
    </cfRule>
  </conditionalFormatting>
  <conditionalFormatting sqref="A98:C117 M98:O117">
    <cfRule type="expression" dxfId="2243" priority="85">
      <formula>AND($N98 &gt; 0, ISNUMBER($N98))</formula>
    </cfRule>
    <cfRule type="expression" dxfId="2242" priority="86">
      <formula>AND($N98 = 0 * ISNUMBER($N98))</formula>
    </cfRule>
    <cfRule type="expression" dxfId="2241" priority="87">
      <formula>AND($N98 &lt; 0, ISNUMBER($N98))</formula>
    </cfRule>
  </conditionalFormatting>
  <conditionalFormatting sqref="A98:F117">
    <cfRule type="expression" dxfId="2240" priority="94">
      <formula>AND($E98 &gt; 0, ISNUMBER($E98))</formula>
    </cfRule>
    <cfRule type="expression" dxfId="2239" priority="95">
      <formula>AND($E98 = 0 * ISNUMBER($E98))</formula>
    </cfRule>
    <cfRule type="expression" dxfId="2238" priority="96">
      <formula>AND($E98 &lt; 0, ISNUMBER($E98))</formula>
    </cfRule>
  </conditionalFormatting>
  <conditionalFormatting sqref="A98:C117 G98:I117">
    <cfRule type="expression" dxfId="2237" priority="91">
      <formula>AND($H98 &gt; 0, ISNUMBER($H98))</formula>
    </cfRule>
    <cfRule type="expression" dxfId="2236" priority="92">
      <formula>AND($H98 = 0 * ISNUMBER($H98))</formula>
    </cfRule>
    <cfRule type="expression" dxfId="2235" priority="93">
      <formula>AND($H98 &lt; 0, ISNUMBER($H98))</formula>
    </cfRule>
  </conditionalFormatting>
  <conditionalFormatting sqref="A98:C117 J98:L117">
    <cfRule type="expression" dxfId="2234" priority="88">
      <formula>AND($K98 &gt; 0, ISNUMBER($K98))</formula>
    </cfRule>
    <cfRule type="expression" dxfId="2233" priority="89">
      <formula>AND($K98 = 0 * ISNUMBER($K98))</formula>
    </cfRule>
    <cfRule type="expression" dxfId="2232" priority="90">
      <formula>AND($K98 &lt; 0, ISNUMBER($K98))</formula>
    </cfRule>
  </conditionalFormatting>
  <conditionalFormatting sqref="D96:F97 E118:F118">
    <cfRule type="expression" dxfId="2231" priority="82">
      <formula>$E$118 &gt; 0</formula>
    </cfRule>
    <cfRule type="expression" dxfId="2230" priority="83">
      <formula>$E$118 = 0</formula>
    </cfRule>
    <cfRule type="expression" dxfId="2229" priority="84">
      <formula>$E$118 &lt; 0</formula>
    </cfRule>
  </conditionalFormatting>
  <conditionalFormatting sqref="G96:I97 H118:I118">
    <cfRule type="expression" dxfId="2228" priority="79">
      <formula>$H$118 &gt; 0</formula>
    </cfRule>
    <cfRule type="expression" dxfId="2227" priority="80">
      <formula>$H$118 = 0</formula>
    </cfRule>
    <cfRule type="expression" dxfId="2226" priority="81">
      <formula>$H$118 &lt; 0</formula>
    </cfRule>
  </conditionalFormatting>
  <conditionalFormatting sqref="J96:L97 K118:L118">
    <cfRule type="expression" dxfId="2225" priority="76">
      <formula>$K$118 &gt; 0</formula>
    </cfRule>
    <cfRule type="expression" dxfId="2224" priority="77">
      <formula>$K$118 = 0</formula>
    </cfRule>
    <cfRule type="expression" dxfId="2223" priority="78">
      <formula>$K$118 &lt; 0</formula>
    </cfRule>
  </conditionalFormatting>
  <conditionalFormatting sqref="M96:O97 N118:O118">
    <cfRule type="expression" dxfId="2222" priority="73">
      <formula>$N$118 &gt; 0</formula>
    </cfRule>
    <cfRule type="expression" dxfId="2221" priority="74">
      <formula>$N$118 = 0</formula>
    </cfRule>
    <cfRule type="expression" dxfId="2220" priority="75">
      <formula>$N$118 &lt; 0</formula>
    </cfRule>
  </conditionalFormatting>
  <conditionalFormatting sqref="A125:C144 M125:O144">
    <cfRule type="expression" dxfId="2219" priority="61">
      <formula>AND($N125 &gt; 0, ISNUMBER($N125))</formula>
    </cfRule>
    <cfRule type="expression" dxfId="2218" priority="62">
      <formula>AND($N125 = 0 * ISNUMBER($N125))</formula>
    </cfRule>
    <cfRule type="expression" dxfId="2217" priority="63">
      <formula>AND($N125 &lt; 0, ISNUMBER($N125))</formula>
    </cfRule>
  </conditionalFormatting>
  <conditionalFormatting sqref="A125:F144">
    <cfRule type="expression" dxfId="2216" priority="70">
      <formula>AND($E125 &gt; 0, ISNUMBER($E125))</formula>
    </cfRule>
    <cfRule type="expression" dxfId="2215" priority="71">
      <formula>AND($E125 = 0 * ISNUMBER($E125))</formula>
    </cfRule>
    <cfRule type="expression" dxfId="2214" priority="72">
      <formula>AND($E125 &lt; 0, ISNUMBER($E125))</formula>
    </cfRule>
  </conditionalFormatting>
  <conditionalFormatting sqref="A125:C144 G125:I144">
    <cfRule type="expression" dxfId="2213" priority="67">
      <formula>AND($H125 &gt; 0, ISNUMBER($H125))</formula>
    </cfRule>
    <cfRule type="expression" dxfId="2212" priority="68">
      <formula>AND($H125 = 0 * ISNUMBER($H125))</formula>
    </cfRule>
    <cfRule type="expression" dxfId="2211" priority="69">
      <formula>AND($H125 &lt; 0, ISNUMBER($H125))</formula>
    </cfRule>
  </conditionalFormatting>
  <conditionalFormatting sqref="A125:C144 J125:L144">
    <cfRule type="expression" dxfId="2210" priority="64">
      <formula>AND($K125 &gt; 0, ISNUMBER($K125))</formula>
    </cfRule>
    <cfRule type="expression" dxfId="2209" priority="65">
      <formula>AND($K125 = 0 * ISNUMBER($K125))</formula>
    </cfRule>
    <cfRule type="expression" dxfId="2208" priority="66">
      <formula>AND($K125 &lt; 0, ISNUMBER($K125))</formula>
    </cfRule>
  </conditionalFormatting>
  <conditionalFormatting sqref="D123:F124 E145:F145">
    <cfRule type="expression" dxfId="2207" priority="58">
      <formula>$E$145 &gt; 0</formula>
    </cfRule>
    <cfRule type="expression" dxfId="2206" priority="59">
      <formula>$E$145 = 0</formula>
    </cfRule>
    <cfRule type="expression" dxfId="2205" priority="60">
      <formula>$E$145 &lt; 0</formula>
    </cfRule>
  </conditionalFormatting>
  <conditionalFormatting sqref="G123:I124 H145:I145">
    <cfRule type="expression" dxfId="2204" priority="55">
      <formula>$H$145 &gt; 0</formula>
    </cfRule>
    <cfRule type="expression" dxfId="2203" priority="56">
      <formula>$H$145 = 0</formula>
    </cfRule>
    <cfRule type="expression" dxfId="2202" priority="57">
      <formula>$H$145 &lt; 0</formula>
    </cfRule>
  </conditionalFormatting>
  <conditionalFormatting sqref="J123:L124 K145:L145">
    <cfRule type="expression" dxfId="2201" priority="52">
      <formula>$K$145 &gt; 0</formula>
    </cfRule>
    <cfRule type="expression" dxfId="2200" priority="53">
      <formula>$K$145 = 0</formula>
    </cfRule>
    <cfRule type="expression" dxfId="2199" priority="54">
      <formula>$K$145 &lt; 0</formula>
    </cfRule>
  </conditionalFormatting>
  <conditionalFormatting sqref="M123:O124 N145:O145">
    <cfRule type="expression" dxfId="2198" priority="49">
      <formula>$N$145 &gt; 0</formula>
    </cfRule>
    <cfRule type="expression" dxfId="2197" priority="50">
      <formula>$N$145 = 0</formula>
    </cfRule>
    <cfRule type="expression" dxfId="2196" priority="51">
      <formula>$N$145 &lt; 0</formula>
    </cfRule>
  </conditionalFormatting>
  <conditionalFormatting sqref="A152:C171 M152:O171">
    <cfRule type="expression" dxfId="2195" priority="37">
      <formula>AND($N152 &gt; 0, ISNUMBER($N152))</formula>
    </cfRule>
    <cfRule type="expression" dxfId="2194" priority="38">
      <formula>AND($N152 = 0 * ISNUMBER($N152))</formula>
    </cfRule>
    <cfRule type="expression" dxfId="2193" priority="39">
      <formula>AND($N152 &lt; 0, ISNUMBER($N152))</formula>
    </cfRule>
  </conditionalFormatting>
  <conditionalFormatting sqref="A152:F171">
    <cfRule type="expression" dxfId="2192" priority="46">
      <formula>AND($E152 &gt; 0, ISNUMBER($E152))</formula>
    </cfRule>
    <cfRule type="expression" dxfId="2191" priority="47">
      <formula>AND($E152 = 0 * ISNUMBER($E152))</formula>
    </cfRule>
    <cfRule type="expression" dxfId="2190" priority="48">
      <formula>AND($E152 &lt; 0, ISNUMBER($E152))</formula>
    </cfRule>
  </conditionalFormatting>
  <conditionalFormatting sqref="A152:C171 G152:I171">
    <cfRule type="expression" dxfId="2189" priority="43">
      <formula>AND($H152 &gt; 0, ISNUMBER($H152))</formula>
    </cfRule>
    <cfRule type="expression" dxfId="2188" priority="44">
      <formula>AND($H152 = 0 * ISNUMBER($H152))</formula>
    </cfRule>
    <cfRule type="expression" dxfId="2187" priority="45">
      <formula>AND($H152 &lt; 0, ISNUMBER($H152))</formula>
    </cfRule>
  </conditionalFormatting>
  <conditionalFormatting sqref="A152:C171 J152:L171">
    <cfRule type="expression" dxfId="2186" priority="40">
      <formula>AND($K152 &gt; 0, ISNUMBER($K152))</formula>
    </cfRule>
    <cfRule type="expression" dxfId="2185" priority="41">
      <formula>AND($K152 = 0 * ISNUMBER($K152))</formula>
    </cfRule>
    <cfRule type="expression" dxfId="2184" priority="42">
      <formula>AND($K152 &lt; 0, ISNUMBER($K152))</formula>
    </cfRule>
  </conditionalFormatting>
  <conditionalFormatting sqref="D150:F151 E172:F172">
    <cfRule type="expression" dxfId="2183" priority="34">
      <formula>$E$172 &gt; 0</formula>
    </cfRule>
    <cfRule type="expression" dxfId="2182" priority="35">
      <formula>$E$172 = 0</formula>
    </cfRule>
    <cfRule type="expression" dxfId="2181" priority="36">
      <formula>$E$172 &lt; 0</formula>
    </cfRule>
  </conditionalFormatting>
  <conditionalFormatting sqref="G150:I151 H172:I172">
    <cfRule type="expression" dxfId="2180" priority="31">
      <formula>$H$172 &gt; 0</formula>
    </cfRule>
    <cfRule type="expression" dxfId="2179" priority="32">
      <formula>$H$172 = 0</formula>
    </cfRule>
    <cfRule type="expression" dxfId="2178" priority="33">
      <formula>$H$172 &lt; 0</formula>
    </cfRule>
  </conditionalFormatting>
  <conditionalFormatting sqref="J150:L151 K172:L172">
    <cfRule type="expression" dxfId="2177" priority="28">
      <formula>$K$172 &gt; 0</formula>
    </cfRule>
    <cfRule type="expression" dxfId="2176" priority="29">
      <formula>$K$172 = 0</formula>
    </cfRule>
    <cfRule type="expression" dxfId="2175" priority="30">
      <formula>$K$172 &lt; 0</formula>
    </cfRule>
  </conditionalFormatting>
  <conditionalFormatting sqref="M150:O151 N172:O172">
    <cfRule type="expression" dxfId="2174" priority="25">
      <formula>$N$172 &gt; 0</formula>
    </cfRule>
    <cfRule type="expression" dxfId="2173" priority="26">
      <formula>$N$172 = 0</formula>
    </cfRule>
    <cfRule type="expression" dxfId="2172" priority="27">
      <formula>$N$172 &lt; 0</formula>
    </cfRule>
  </conditionalFormatting>
  <conditionalFormatting sqref="A179:C198 M179:O198">
    <cfRule type="expression" dxfId="2171" priority="13">
      <formula>AND($N179 &gt; 0, ISNUMBER($N179))</formula>
    </cfRule>
    <cfRule type="expression" dxfId="2170" priority="14">
      <formula>AND($N179 = 0 * ISNUMBER($N179))</formula>
    </cfRule>
    <cfRule type="expression" dxfId="2169" priority="15">
      <formula>AND($N179 &lt; 0, ISNUMBER($N179))</formula>
    </cfRule>
  </conditionalFormatting>
  <conditionalFormatting sqref="A179:F198">
    <cfRule type="expression" dxfId="2168" priority="22">
      <formula>AND($E179 &gt; 0, ISNUMBER($E179))</formula>
    </cfRule>
    <cfRule type="expression" dxfId="2167" priority="23">
      <formula>AND($E179 = 0 * ISNUMBER($E179))</formula>
    </cfRule>
    <cfRule type="expression" dxfId="2166" priority="24">
      <formula>AND($E179 &lt; 0, ISNUMBER($E179))</formula>
    </cfRule>
  </conditionalFormatting>
  <conditionalFormatting sqref="A179:C198 G179:I198">
    <cfRule type="expression" dxfId="2165" priority="19">
      <formula>AND($H179 &gt; 0, ISNUMBER($H179))</formula>
    </cfRule>
    <cfRule type="expression" dxfId="2164" priority="20">
      <formula>AND($H179 = 0 * ISNUMBER($H179))</formula>
    </cfRule>
    <cfRule type="expression" dxfId="2163" priority="21">
      <formula>AND($H179 &lt; 0, ISNUMBER($H179))</formula>
    </cfRule>
  </conditionalFormatting>
  <conditionalFormatting sqref="A179:C198 J179:L198">
    <cfRule type="expression" dxfId="2162" priority="16">
      <formula>AND($K179 &gt; 0, ISNUMBER($K179))</formula>
    </cfRule>
    <cfRule type="expression" dxfId="2161" priority="17">
      <formula>AND($K179 = 0 * ISNUMBER($K179))</formula>
    </cfRule>
    <cfRule type="expression" dxfId="2160" priority="18">
      <formula>AND($K179 &lt; 0, ISNUMBER($K179))</formula>
    </cfRule>
  </conditionalFormatting>
  <conditionalFormatting sqref="D177:F178 E199:F199">
    <cfRule type="expression" dxfId="2159" priority="10">
      <formula>$E$199 &gt; 0</formula>
    </cfRule>
    <cfRule type="expression" dxfId="2158" priority="11">
      <formula>$E$199 = 0</formula>
    </cfRule>
    <cfRule type="expression" dxfId="2157" priority="12">
      <formula>$E$199 &lt; 0</formula>
    </cfRule>
  </conditionalFormatting>
  <conditionalFormatting sqref="G177:I178 H199:I199">
    <cfRule type="expression" dxfId="2156" priority="7">
      <formula>$H$199 &gt; 0</formula>
    </cfRule>
    <cfRule type="expression" dxfId="2155" priority="8">
      <formula>$H$199 = 0</formula>
    </cfRule>
    <cfRule type="expression" dxfId="2154" priority="9">
      <formula>$H$199 &lt; 0</formula>
    </cfRule>
  </conditionalFormatting>
  <conditionalFormatting sqref="J177:L178 K199:L199">
    <cfRule type="expression" dxfId="2153" priority="4">
      <formula>$K$199 &gt; 0</formula>
    </cfRule>
    <cfRule type="expression" dxfId="2152" priority="5">
      <formula>$K$199 = 0</formula>
    </cfRule>
    <cfRule type="expression" dxfId="2151" priority="6">
      <formula>$K$199 &lt; 0</formula>
    </cfRule>
  </conditionalFormatting>
  <conditionalFormatting sqref="M177:O178 N199:O199">
    <cfRule type="expression" dxfId="2150" priority="1">
      <formula>$N$199 &gt; 0</formula>
    </cfRule>
    <cfRule type="expression" dxfId="2149" priority="2">
      <formula>$N$199 = 0</formula>
    </cfRule>
    <cfRule type="expression" dxfId="21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44320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6" t="s">
        <v>3</v>
      </c>
      <c r="B2" s="247" t="s">
        <v>4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5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7" t="s">
        <v>7</v>
      </c>
      <c r="B3" s="253" t="s">
        <v>8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257"/>
      <c r="I3" s="258"/>
      <c r="J3" s="4" t="s">
        <v>7</v>
      </c>
      <c r="K3" s="253" t="s">
        <v>9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53" t="s">
        <v>12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13</v>
      </c>
      <c r="L4" s="254"/>
      <c r="M4" s="254"/>
      <c r="N4" s="254"/>
      <c r="O4" s="255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53" t="s">
        <v>16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257"/>
      <c r="I5" s="258"/>
      <c r="J5" s="4" t="s">
        <v>15</v>
      </c>
      <c r="K5" s="253" t="s">
        <v>17</v>
      </c>
      <c r="L5" s="254"/>
      <c r="M5" s="254"/>
      <c r="N5" s="254"/>
      <c r="O5" s="255"/>
    </row>
    <row r="6" spans="1:19">
      <c r="A6" s="117" t="s">
        <v>18</v>
      </c>
      <c r="B6" s="253" t="s">
        <v>19</v>
      </c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20</v>
      </c>
      <c r="L6" s="254"/>
      <c r="M6" s="254"/>
      <c r="N6" s="254"/>
      <c r="O6" s="255"/>
    </row>
    <row r="7" spans="1:19" ht="17.25" thickBot="1">
      <c r="A7" s="117" t="s">
        <v>21</v>
      </c>
      <c r="B7" s="253" t="s">
        <v>22</v>
      </c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257"/>
      <c r="I7" s="258"/>
      <c r="J7" s="4" t="s">
        <v>21</v>
      </c>
      <c r="K7" s="253" t="s">
        <v>23</v>
      </c>
      <c r="L7" s="254"/>
      <c r="M7" s="254"/>
      <c r="N7" s="254"/>
      <c r="O7" s="255"/>
    </row>
    <row r="8" spans="1:19" ht="17.25" thickBot="1">
      <c r="A8" s="117" t="s">
        <v>24</v>
      </c>
      <c r="B8" s="253" t="s">
        <v>25</v>
      </c>
      <c r="C8" s="254"/>
      <c r="D8" s="254"/>
      <c r="E8" s="254"/>
      <c r="F8" s="255"/>
      <c r="G8" s="250" t="s">
        <v>285</v>
      </c>
      <c r="H8" s="251"/>
      <c r="I8" s="252"/>
      <c r="J8" s="4" t="s">
        <v>24</v>
      </c>
      <c r="K8" s="253" t="s">
        <v>26</v>
      </c>
      <c r="L8" s="254"/>
      <c r="M8" s="254"/>
      <c r="N8" s="254"/>
      <c r="O8" s="255"/>
      <c r="Q8" s="241" t="s">
        <v>27</v>
      </c>
      <c r="R8" s="243"/>
    </row>
    <row r="9" spans="1:19" ht="17.25" thickBot="1">
      <c r="A9" s="117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257"/>
      <c r="I9" s="258"/>
      <c r="J9" s="4" t="s">
        <v>28</v>
      </c>
      <c r="K9" s="253" t="s">
        <v>293</v>
      </c>
      <c r="L9" s="254"/>
      <c r="M9" s="254"/>
      <c r="N9" s="254"/>
      <c r="O9" s="255"/>
      <c r="Q9" s="2" t="s">
        <v>29</v>
      </c>
      <c r="R9" s="6">
        <v>10</v>
      </c>
    </row>
    <row r="10" spans="1:19">
      <c r="A10" s="117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/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8" t="s">
        <v>32</v>
      </c>
      <c r="B11" s="259"/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257"/>
      <c r="I11" s="258"/>
      <c r="J11" s="7" t="s">
        <v>32</v>
      </c>
      <c r="K11" s="259"/>
      <c r="L11" s="260"/>
      <c r="M11" s="260"/>
      <c r="N11" s="260"/>
      <c r="O11" s="261"/>
      <c r="Q11" s="61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12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62017000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-1.6680144000000001E-2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2021-05-04(화) 오전 00:00</v>
      </c>
      <c r="C15" s="308"/>
      <c r="D15" s="264" t="str">
        <f>TEXT($G$1, "[$-ko-KR]yyyy-mm-dd(ddd) ") &amp; "오후 14:00"</f>
        <v>2021-05-04(화) 오후 14:00</v>
      </c>
      <c r="E15" s="265"/>
      <c r="F15" s="266"/>
      <c r="G15" s="264" t="str">
        <f>TEXT($G$1, "[$-ko-KR]yyyy-mm-dd(ddd) ") &amp; "오후 19:00"</f>
        <v>2021-05-04(화) 오후 19:00</v>
      </c>
      <c r="H15" s="265"/>
      <c r="I15" s="266"/>
      <c r="J15" s="264" t="str">
        <f>TEXT($G$1, "[$-ko-KR]yyyy-mm-dd(ddd) ") &amp; "오후 21:00"</f>
        <v>2021-05-04(화) 오후 21:00</v>
      </c>
      <c r="K15" s="265"/>
      <c r="L15" s="266"/>
      <c r="M15" s="264" t="str">
        <f>TEXT($G$1+1, "[$-ko-KR]yyyy-mm-dd(ddd) ") &amp; "오전 00:00"</f>
        <v>2021-05-05(수)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7"/>
      <c r="R16" s="267"/>
      <c r="S16" s="267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262"/>
      <c r="R17" s="262"/>
      <c r="S17" s="262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262"/>
      <c r="R18" s="262"/>
      <c r="S18" s="262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267"/>
      <c r="R19" s="267"/>
      <c r="S19" s="267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267"/>
      <c r="R20" s="267"/>
      <c r="S20" s="267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267"/>
      <c r="R21" s="267"/>
      <c r="S21" s="267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67"/>
      <c r="R22" s="267"/>
      <c r="S22" s="267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76"/>
      <c r="R26" s="277"/>
      <c r="S26" s="278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67"/>
      <c r="R32" s="267"/>
      <c r="S32" s="267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92"/>
      <c r="R36" s="293"/>
      <c r="S36" s="294"/>
    </row>
    <row r="37" spans="1:19" ht="17.25" customHeight="1" thickBot="1">
      <c r="A37" s="131" t="s">
        <v>42</v>
      </c>
      <c r="B37" s="300">
        <v>300000</v>
      </c>
      <c r="C37" s="301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12" t="s">
        <v>298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62017000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-1.6680144000000001E-2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2021-05-04(화) 오전 00:00</v>
      </c>
      <c r="C42" s="305"/>
      <c r="D42" s="264" t="str">
        <f>TEXT($G$1, "[$-ko-KR]yyyy-mm-dd(ddd) ") &amp; "오후 14:00"</f>
        <v>2021-05-04(화) 오후 14:00</v>
      </c>
      <c r="E42" s="265"/>
      <c r="F42" s="266"/>
      <c r="G42" s="264" t="str">
        <f>TEXT($G$1, "[$-ko-KR]yyyy-mm-dd(ddd) ") &amp; "오후 19:00"</f>
        <v>2021-05-04(화) 오후 19:00</v>
      </c>
      <c r="H42" s="265"/>
      <c r="I42" s="266"/>
      <c r="J42" s="264" t="str">
        <f>TEXT($G$1, "[$-ko-KR]yyyy-mm-dd(ddd) ") &amp; "오후 21:00"</f>
        <v>2021-05-04(화) 오후 21:00</v>
      </c>
      <c r="K42" s="265"/>
      <c r="L42" s="266"/>
      <c r="M42" s="264" t="str">
        <f>TEXT($G$1+1, "[$-ko-KR]yyyy-mm-dd(ddd) ") &amp; "오전 00:00"</f>
        <v>2021-05-05(수)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7"/>
      <c r="R43" s="267"/>
      <c r="S43" s="267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262"/>
      <c r="R44" s="262"/>
      <c r="S44" s="262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262"/>
      <c r="R45" s="262"/>
      <c r="S45" s="262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267"/>
      <c r="R46" s="267"/>
      <c r="S46" s="267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267"/>
      <c r="R47" s="267"/>
      <c r="S47" s="267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267"/>
      <c r="R48" s="267"/>
      <c r="S48" s="267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267"/>
      <c r="R49" s="267"/>
      <c r="S49" s="267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267"/>
      <c r="R50" s="267"/>
      <c r="S50" s="267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267"/>
      <c r="R51" s="267"/>
      <c r="S51" s="267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276"/>
      <c r="R53" s="277"/>
      <c r="S53" s="278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279"/>
      <c r="R54" s="280"/>
      <c r="S54" s="281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282"/>
      <c r="R55" s="283"/>
      <c r="S55" s="284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267"/>
      <c r="R56" s="267"/>
      <c r="S56" s="267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262"/>
      <c r="R57" s="262"/>
      <c r="S57" s="262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262"/>
      <c r="R58" s="262"/>
      <c r="S58" s="262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267"/>
      <c r="R59" s="267"/>
      <c r="S59" s="267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267"/>
      <c r="R60" s="267"/>
      <c r="S60" s="267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67"/>
      <c r="R61" s="267"/>
      <c r="S61" s="267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89"/>
      <c r="R62" s="290"/>
      <c r="S62" s="29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92"/>
      <c r="R63" s="293"/>
      <c r="S63" s="294"/>
    </row>
    <row r="64" spans="1:19" ht="17.25" customHeight="1" thickBot="1">
      <c r="A64" s="131" t="s">
        <v>301</v>
      </c>
      <c r="B64" s="300">
        <f>$B$37</f>
        <v>300000</v>
      </c>
      <c r="C64" s="301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12" t="s">
        <v>298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62017000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-1.6680144000000001E-2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2021-05-04(화) 오전 00:00</v>
      </c>
      <c r="C69" s="305"/>
      <c r="D69" s="264" t="str">
        <f>TEXT($G$1, "[$-ko-KR]yyyy-mm-dd(ddd) ") &amp; "오후 14:00"</f>
        <v>2021-05-04(화) 오후 14:00</v>
      </c>
      <c r="E69" s="265"/>
      <c r="F69" s="266"/>
      <c r="G69" s="264" t="str">
        <f>TEXT($G$1, "[$-ko-KR]yyyy-mm-dd(ddd) ") &amp; "오후 19:00"</f>
        <v>2021-05-04(화) 오후 19:00</v>
      </c>
      <c r="H69" s="265"/>
      <c r="I69" s="266"/>
      <c r="J69" s="264" t="str">
        <f>TEXT($G$1, "[$-ko-KR]yyyy-mm-dd(ddd) ") &amp; "오후 21:00"</f>
        <v>2021-05-04(화) 오후 21:00</v>
      </c>
      <c r="K69" s="265"/>
      <c r="L69" s="266"/>
      <c r="M69" s="264" t="str">
        <f>TEXT($G$1+1, "[$-ko-KR]yyyy-mm-dd(ddd) ") &amp; "오전 00:00"</f>
        <v>2021-05-05(수) 오전 00:00</v>
      </c>
      <c r="N69" s="265"/>
      <c r="O69" s="266"/>
      <c r="Q69" s="262"/>
      <c r="R69" s="262"/>
      <c r="S69" s="262"/>
    </row>
    <row r="70" spans="1:19" ht="17.25" thickBot="1">
      <c r="A70" s="30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7"/>
      <c r="R70" s="267"/>
      <c r="S70" s="267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262"/>
      <c r="R71" s="262"/>
      <c r="S71" s="262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262"/>
      <c r="R72" s="262"/>
      <c r="S72" s="262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267"/>
      <c r="R73" s="267"/>
      <c r="S73" s="267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267"/>
      <c r="R74" s="267"/>
      <c r="S74" s="267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267"/>
      <c r="R75" s="267"/>
      <c r="S75" s="267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267"/>
      <c r="R76" s="267"/>
      <c r="S76" s="267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267"/>
      <c r="R77" s="267"/>
      <c r="S77" s="267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267"/>
      <c r="R78" s="267"/>
      <c r="S78" s="267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276"/>
      <c r="R80" s="277"/>
      <c r="S80" s="278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279"/>
      <c r="R81" s="280"/>
      <c r="S81" s="281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282"/>
      <c r="R82" s="283"/>
      <c r="S82" s="284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267"/>
      <c r="R83" s="267"/>
      <c r="S83" s="267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262"/>
      <c r="R84" s="262"/>
      <c r="S84" s="262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262"/>
      <c r="R85" s="262"/>
      <c r="S85" s="262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267"/>
      <c r="R86" s="267"/>
      <c r="S86" s="267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267"/>
      <c r="R87" s="267"/>
      <c r="S87" s="267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267"/>
      <c r="R88" s="267"/>
      <c r="S88" s="267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289"/>
      <c r="R89" s="290"/>
      <c r="S89" s="291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292"/>
      <c r="R90" s="293"/>
      <c r="S90" s="294"/>
    </row>
    <row r="91" spans="1:19" ht="17.25" thickBot="1">
      <c r="A91" s="131" t="s">
        <v>301</v>
      </c>
      <c r="B91" s="300">
        <f>$B$37</f>
        <v>300000</v>
      </c>
      <c r="C91" s="301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12" t="s">
        <v>298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62017000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-1.6680144000000001E-2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2021-05-04(화) 오전 00:00</v>
      </c>
      <c r="C96" s="305"/>
      <c r="D96" s="264" t="str">
        <f>TEXT($G$1, "[$-ko-KR]yyyy-mm-dd(ddd) ") &amp; "오후 14:00"</f>
        <v>2021-05-04(화) 오후 14:00</v>
      </c>
      <c r="E96" s="265"/>
      <c r="F96" s="266"/>
      <c r="G96" s="264" t="str">
        <f>TEXT($G$1, "[$-ko-KR]yyyy-mm-dd(ddd) ") &amp; "오후 19:00"</f>
        <v>2021-05-04(화) 오후 19:00</v>
      </c>
      <c r="H96" s="265"/>
      <c r="I96" s="266"/>
      <c r="J96" s="264" t="str">
        <f>TEXT($G$1, "[$-ko-KR]yyyy-mm-dd(ddd) ") &amp; "오후 21:00"</f>
        <v>2021-05-04(화) 오후 21:00</v>
      </c>
      <c r="K96" s="265"/>
      <c r="L96" s="266"/>
      <c r="M96" s="264" t="str">
        <f>TEXT($G$1+1, "[$-ko-KR]yyyy-mm-dd(ddd) ") &amp; "오전 00:00"</f>
        <v>2021-05-05(수) 오전 00:00</v>
      </c>
      <c r="N96" s="265"/>
      <c r="O96" s="266"/>
      <c r="Q96" s="262"/>
      <c r="R96" s="262"/>
      <c r="S96" s="262"/>
    </row>
    <row r="97" spans="1:19" ht="17.25" thickBot="1">
      <c r="A97" s="30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7"/>
      <c r="R97" s="267"/>
      <c r="S97" s="267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262"/>
      <c r="R98" s="262"/>
      <c r="S98" s="262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262"/>
      <c r="R99" s="262"/>
      <c r="S99" s="262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267"/>
      <c r="R100" s="267"/>
      <c r="S100" s="267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267"/>
      <c r="R101" s="267"/>
      <c r="S101" s="267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267"/>
      <c r="R102" s="267"/>
      <c r="S102" s="267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267"/>
      <c r="R103" s="267"/>
      <c r="S103" s="267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267"/>
      <c r="R104" s="267"/>
      <c r="S104" s="267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267"/>
      <c r="R105" s="267"/>
      <c r="S105" s="267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276"/>
      <c r="R107" s="277"/>
      <c r="S107" s="278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279"/>
      <c r="R108" s="280"/>
      <c r="S108" s="281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282"/>
      <c r="R109" s="283"/>
      <c r="S109" s="284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267"/>
      <c r="R110" s="267"/>
      <c r="S110" s="267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262"/>
      <c r="R111" s="262"/>
      <c r="S111" s="262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262"/>
      <c r="R112" s="262"/>
      <c r="S112" s="262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267"/>
      <c r="R113" s="267"/>
      <c r="S113" s="267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267"/>
      <c r="R114" s="267"/>
      <c r="S114" s="267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267"/>
      <c r="R115" s="267"/>
      <c r="S115" s="267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289"/>
      <c r="R116" s="290"/>
      <c r="S116" s="291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292"/>
      <c r="R117" s="293"/>
      <c r="S117" s="294"/>
    </row>
    <row r="118" spans="1:19" ht="17.25" thickBot="1">
      <c r="A118" s="131" t="s">
        <v>301</v>
      </c>
      <c r="B118" s="300">
        <f>$B$37</f>
        <v>300000</v>
      </c>
      <c r="C118" s="301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295"/>
      <c r="R118" s="296"/>
      <c r="S118" s="297"/>
    </row>
    <row r="120" spans="1:19" ht="17.25" thickBot="1"/>
    <row r="121" spans="1:19" ht="17.25" thickBot="1">
      <c r="A121" s="241" t="s">
        <v>288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12" t="s">
        <v>298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62017000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-1.6680144000000001E-2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2021-05-04(화) 오전 00:00</v>
      </c>
      <c r="C123" s="305"/>
      <c r="D123" s="264" t="str">
        <f>TEXT($G$1, "[$-ko-KR]yyyy-mm-dd(ddd) ") &amp; "오후 14:00"</f>
        <v>2021-05-04(화) 오후 14:00</v>
      </c>
      <c r="E123" s="265"/>
      <c r="F123" s="266"/>
      <c r="G123" s="264" t="str">
        <f>TEXT($G$1, "[$-ko-KR]yyyy-mm-dd(ddd) ") &amp; "오후 19:00"</f>
        <v>2021-05-04(화) 오후 19:00</v>
      </c>
      <c r="H123" s="265"/>
      <c r="I123" s="266"/>
      <c r="J123" s="264" t="str">
        <f>TEXT($G$1, "[$-ko-KR]yyyy-mm-dd(ddd) ") &amp; "오후 21:00"</f>
        <v>2021-05-04(화) 오후 21:00</v>
      </c>
      <c r="K123" s="265"/>
      <c r="L123" s="266"/>
      <c r="M123" s="264" t="str">
        <f>TEXT($G$1+1, "[$-ko-KR]yyyy-mm-dd(ddd) ") &amp; "오전 00:00"</f>
        <v>2021-05-05(수)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7"/>
      <c r="R124" s="267"/>
      <c r="S124" s="267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262"/>
      <c r="R125" s="262"/>
      <c r="S125" s="262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262"/>
      <c r="R126" s="262"/>
      <c r="S126" s="262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267"/>
      <c r="R127" s="267"/>
      <c r="S127" s="267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267"/>
      <c r="R128" s="267"/>
      <c r="S128" s="267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267"/>
      <c r="R129" s="267"/>
      <c r="S129" s="267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267"/>
      <c r="R130" s="267"/>
      <c r="S130" s="267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267"/>
      <c r="R131" s="267"/>
      <c r="S131" s="267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267"/>
      <c r="R132" s="267"/>
      <c r="S132" s="267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276"/>
      <c r="R134" s="277"/>
      <c r="S134" s="278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279"/>
      <c r="R135" s="280"/>
      <c r="S135" s="281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282"/>
      <c r="R136" s="283"/>
      <c r="S136" s="284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267"/>
      <c r="R137" s="267"/>
      <c r="S137" s="267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262"/>
      <c r="R138" s="262"/>
      <c r="S138" s="262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262"/>
      <c r="R139" s="262"/>
      <c r="S139" s="262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267"/>
      <c r="R140" s="267"/>
      <c r="S140" s="267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267"/>
      <c r="R141" s="267"/>
      <c r="S141" s="267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67"/>
      <c r="R142" s="267"/>
      <c r="S142" s="267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89"/>
      <c r="R143" s="290"/>
      <c r="S143" s="29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92"/>
      <c r="R144" s="293"/>
      <c r="S144" s="294"/>
    </row>
    <row r="145" spans="1:19" ht="17.25" thickBot="1">
      <c r="A145" s="131" t="s">
        <v>301</v>
      </c>
      <c r="B145" s="300">
        <f>$B$37</f>
        <v>300000</v>
      </c>
      <c r="C145" s="301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295"/>
      <c r="R145" s="296"/>
      <c r="S145" s="297"/>
    </row>
    <row r="147" spans="1:19" ht="17.25" thickBot="1"/>
    <row r="148" spans="1:19" ht="17.25" thickBot="1">
      <c r="A148" s="241" t="s">
        <v>289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12" t="s">
        <v>298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62017000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-1.6680144000000001E-2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2021-05-04(화) 오전 00:00</v>
      </c>
      <c r="C150" s="305"/>
      <c r="D150" s="264" t="str">
        <f>TEXT($G$1, "[$-ko-KR]yyyy-mm-dd(ddd) ") &amp; "오후 14:00"</f>
        <v>2021-05-04(화) 오후 14:00</v>
      </c>
      <c r="E150" s="265"/>
      <c r="F150" s="266"/>
      <c r="G150" s="264" t="str">
        <f>TEXT($G$1, "[$-ko-KR]yyyy-mm-dd(ddd) ") &amp; "오후 19:00"</f>
        <v>2021-05-04(화) 오후 19:00</v>
      </c>
      <c r="H150" s="265"/>
      <c r="I150" s="266"/>
      <c r="J150" s="264" t="str">
        <f>TEXT($G$1, "[$-ko-KR]yyyy-mm-dd(ddd) ") &amp; "오후 21:00"</f>
        <v>2021-05-04(화) 오후 21:00</v>
      </c>
      <c r="K150" s="265"/>
      <c r="L150" s="266"/>
      <c r="M150" s="264" t="str">
        <f>TEXT($G$1+1, "[$-ko-KR]yyyy-mm-dd(ddd) ") &amp; "오전 00:00"</f>
        <v>2021-05-05(수)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7"/>
      <c r="R151" s="267"/>
      <c r="S151" s="267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262"/>
      <c r="R152" s="262"/>
      <c r="S152" s="262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262"/>
      <c r="R153" s="262"/>
      <c r="S153" s="262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267"/>
      <c r="R154" s="267"/>
      <c r="S154" s="267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267"/>
      <c r="R155" s="267"/>
      <c r="S155" s="267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267"/>
      <c r="R156" s="267"/>
      <c r="S156" s="267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267"/>
      <c r="R157" s="267"/>
      <c r="S157" s="267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267"/>
      <c r="R158" s="267"/>
      <c r="S158" s="267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267"/>
      <c r="R159" s="267"/>
      <c r="S159" s="267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276"/>
      <c r="R161" s="277"/>
      <c r="S161" s="278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279"/>
      <c r="R162" s="280"/>
      <c r="S162" s="281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282"/>
      <c r="R163" s="283"/>
      <c r="S163" s="284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267"/>
      <c r="R164" s="267"/>
      <c r="S164" s="267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262"/>
      <c r="R165" s="262"/>
      <c r="S165" s="262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262"/>
      <c r="R166" s="262"/>
      <c r="S166" s="262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267"/>
      <c r="R167" s="267"/>
      <c r="S167" s="267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267"/>
      <c r="R168" s="267"/>
      <c r="S168" s="267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267"/>
      <c r="R169" s="267"/>
      <c r="S169" s="267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289"/>
      <c r="R170" s="290"/>
      <c r="S170" s="291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292"/>
      <c r="R171" s="293"/>
      <c r="S171" s="294"/>
    </row>
    <row r="172" spans="1:19" ht="17.25" thickBot="1">
      <c r="A172" s="131" t="s">
        <v>301</v>
      </c>
      <c r="B172" s="300">
        <f>$B$37</f>
        <v>300000</v>
      </c>
      <c r="C172" s="301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295"/>
      <c r="R172" s="296"/>
      <c r="S172" s="297"/>
    </row>
    <row r="174" spans="1:19" ht="17.25" thickBot="1"/>
    <row r="175" spans="1:19" ht="17.25" thickBot="1">
      <c r="A175" s="241" t="s">
        <v>285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12" t="s">
        <v>298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62017000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-1.6680144000000001E-2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2021-05-04(화) 오전 00:00</v>
      </c>
      <c r="C177" s="305"/>
      <c r="D177" s="264" t="str">
        <f>TEXT($G$1, "[$-ko-KR]yyyy-mm-dd(ddd) ") &amp; "오후 14:00"</f>
        <v>2021-05-04(화) 오후 14:00</v>
      </c>
      <c r="E177" s="265"/>
      <c r="F177" s="266"/>
      <c r="G177" s="264" t="str">
        <f>TEXT($G$1, "[$-ko-KR]yyyy-mm-dd(ddd) ") &amp; "오후 19:00"</f>
        <v>2021-05-04(화) 오후 19:00</v>
      </c>
      <c r="H177" s="265"/>
      <c r="I177" s="266"/>
      <c r="J177" s="264" t="str">
        <f>TEXT($G$1, "[$-ko-KR]yyyy-mm-dd(ddd) ") &amp; "오후 21:00"</f>
        <v>2021-05-04(화) 오후 21:00</v>
      </c>
      <c r="K177" s="265"/>
      <c r="L177" s="266"/>
      <c r="M177" s="264" t="str">
        <f>TEXT($G$1+1, "[$-ko-KR]yyyy-mm-dd(ddd) ") &amp; "오전 00:00"</f>
        <v>2021-05-05(수)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7"/>
      <c r="R178" s="267"/>
      <c r="S178" s="267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262"/>
      <c r="R179" s="262"/>
      <c r="S179" s="262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262"/>
      <c r="R180" s="262"/>
      <c r="S180" s="262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267"/>
      <c r="R181" s="267"/>
      <c r="S181" s="267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267"/>
      <c r="R182" s="267"/>
      <c r="S182" s="267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267"/>
      <c r="R183" s="267"/>
      <c r="S183" s="267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267"/>
      <c r="R184" s="267"/>
      <c r="S184" s="267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267"/>
      <c r="R185" s="267"/>
      <c r="S185" s="267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267"/>
      <c r="R186" s="267"/>
      <c r="S186" s="267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276"/>
      <c r="R188" s="277"/>
      <c r="S188" s="278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279"/>
      <c r="R189" s="280"/>
      <c r="S189" s="281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282"/>
      <c r="R190" s="283"/>
      <c r="S190" s="284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267"/>
      <c r="R191" s="267"/>
      <c r="S191" s="267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262"/>
      <c r="R192" s="262"/>
      <c r="S192" s="262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262"/>
      <c r="R193" s="262"/>
      <c r="S193" s="262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267"/>
      <c r="R194" s="267"/>
      <c r="S194" s="267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267"/>
      <c r="R195" s="267"/>
      <c r="S195" s="267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267"/>
      <c r="R196" s="267"/>
      <c r="S196" s="267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289"/>
      <c r="R197" s="290"/>
      <c r="S197" s="291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292"/>
      <c r="R198" s="293"/>
      <c r="S198" s="294"/>
    </row>
    <row r="199" spans="1:19" ht="17.25" thickBot="1">
      <c r="A199" s="131" t="s">
        <v>301</v>
      </c>
      <c r="B199" s="300">
        <f>$B$37</f>
        <v>300000</v>
      </c>
      <c r="C199" s="301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37" priority="157">
      <formula>AND($N17 &gt; 0, ISNUMBER($N17))</formula>
    </cfRule>
    <cfRule type="expression" dxfId="2136" priority="158">
      <formula>AND($N17 = 0 * ISNUMBER($N17))</formula>
    </cfRule>
    <cfRule type="expression" dxfId="2135" priority="159">
      <formula>AND($N17 &lt; 0, ISNUMBER($N17))</formula>
    </cfRule>
  </conditionalFormatting>
  <conditionalFormatting sqref="A17:F36">
    <cfRule type="expression" dxfId="2134" priority="166">
      <formula>AND($E17 &gt; 0, ISNUMBER($E17))</formula>
    </cfRule>
    <cfRule type="expression" dxfId="2133" priority="167">
      <formula>AND($E17 = 0 * ISNUMBER($E17))</formula>
    </cfRule>
    <cfRule type="expression" dxfId="2132" priority="168">
      <formula>AND($E17 &lt; 0, ISNUMBER($E17))</formula>
    </cfRule>
  </conditionalFormatting>
  <conditionalFormatting sqref="A17:C36 G17:I36">
    <cfRule type="expression" dxfId="2131" priority="163">
      <formula>AND($H17 &gt; 0, ISNUMBER($H17))</formula>
    </cfRule>
    <cfRule type="expression" dxfId="2130" priority="164">
      <formula>AND($H17 = 0 * ISNUMBER($H17))</formula>
    </cfRule>
    <cfRule type="expression" dxfId="2129" priority="165">
      <formula>AND($H17 &lt; 0, ISNUMBER($H17))</formula>
    </cfRule>
  </conditionalFormatting>
  <conditionalFormatting sqref="A17:C36 J17:L36">
    <cfRule type="expression" dxfId="2128" priority="160">
      <formula>AND($K17 &gt; 0, ISNUMBER($K17))</formula>
    </cfRule>
    <cfRule type="expression" dxfId="2127" priority="161">
      <formula>AND($K17 = 0 * ISNUMBER($K17))</formula>
    </cfRule>
    <cfRule type="expression" dxfId="2126" priority="162">
      <formula>AND($K17 &lt; 0, ISNUMBER($K17))</formula>
    </cfRule>
  </conditionalFormatting>
  <conditionalFormatting sqref="D15:F16 E37:F37">
    <cfRule type="expression" dxfId="2125" priority="154">
      <formula>$E$37 &gt; 0</formula>
    </cfRule>
    <cfRule type="expression" dxfId="2124" priority="155">
      <formula>$E$37 = 0</formula>
    </cfRule>
    <cfRule type="expression" dxfId="2123" priority="156">
      <formula>$E$37 &lt; 0</formula>
    </cfRule>
  </conditionalFormatting>
  <conditionalFormatting sqref="G15:I16 H37:I37">
    <cfRule type="expression" dxfId="2122" priority="151">
      <formula>$H$37 &gt; 0</formula>
    </cfRule>
    <cfRule type="expression" dxfId="2121" priority="152">
      <formula>$H$37 = 0</formula>
    </cfRule>
    <cfRule type="expression" dxfId="2120" priority="153">
      <formula>$H$37 &lt; 0</formula>
    </cfRule>
  </conditionalFormatting>
  <conditionalFormatting sqref="J15:L16 K37:L37">
    <cfRule type="expression" dxfId="2119" priority="148">
      <formula>$K$37 &gt; 0</formula>
    </cfRule>
    <cfRule type="expression" dxfId="2118" priority="149">
      <formula>$K$37 = 0</formula>
    </cfRule>
    <cfRule type="expression" dxfId="2117" priority="150">
      <formula>$K$37 &lt; 0</formula>
    </cfRule>
  </conditionalFormatting>
  <conditionalFormatting sqref="M15:O16 N37:O37">
    <cfRule type="expression" dxfId="2116" priority="145">
      <formula>$N$37 &gt; 0</formula>
    </cfRule>
    <cfRule type="expression" dxfId="2115" priority="146">
      <formula>$N$37 = 0</formula>
    </cfRule>
    <cfRule type="expression" dxfId="2114" priority="147">
      <formula>$N$37 &lt; 0</formula>
    </cfRule>
  </conditionalFormatting>
  <conditionalFormatting sqref="A44:C63 M44:O63">
    <cfRule type="expression" dxfId="2113" priority="133">
      <formula>AND($N44 &gt; 0, ISNUMBER($N44))</formula>
    </cfRule>
    <cfRule type="expression" dxfId="2112" priority="134">
      <formula>AND($N44 = 0 * ISNUMBER($N44))</formula>
    </cfRule>
    <cfRule type="expression" dxfId="2111" priority="135">
      <formula>AND($N44 &lt; 0, ISNUMBER($N44))</formula>
    </cfRule>
  </conditionalFormatting>
  <conditionalFormatting sqref="A44:F63">
    <cfRule type="expression" dxfId="2110" priority="142">
      <formula>AND($E44 &gt; 0, ISNUMBER($E44))</formula>
    </cfRule>
    <cfRule type="expression" dxfId="2109" priority="143">
      <formula>AND($E44 = 0 * ISNUMBER($E44))</formula>
    </cfRule>
    <cfRule type="expression" dxfId="2108" priority="144">
      <formula>AND($E44 &lt; 0, ISNUMBER($E44))</formula>
    </cfRule>
  </conditionalFormatting>
  <conditionalFormatting sqref="A44:C63 G44:I63">
    <cfRule type="expression" dxfId="2107" priority="139">
      <formula>AND($H44 &gt; 0, ISNUMBER($H44))</formula>
    </cfRule>
    <cfRule type="expression" dxfId="2106" priority="140">
      <formula>AND($H44 = 0 * ISNUMBER($H44))</formula>
    </cfRule>
    <cfRule type="expression" dxfId="2105" priority="141">
      <formula>AND($H44 &lt; 0, ISNUMBER($H44))</formula>
    </cfRule>
  </conditionalFormatting>
  <conditionalFormatting sqref="A44:C63 J44:L63">
    <cfRule type="expression" dxfId="2104" priority="136">
      <formula>AND($K44 &gt; 0, ISNUMBER($K44))</formula>
    </cfRule>
    <cfRule type="expression" dxfId="2103" priority="137">
      <formula>AND($K44 = 0 * ISNUMBER($K44))</formula>
    </cfRule>
    <cfRule type="expression" dxfId="2102" priority="138">
      <formula>AND($K44 &lt; 0, ISNUMBER($K44))</formula>
    </cfRule>
  </conditionalFormatting>
  <conditionalFormatting sqref="D42:F43 E64:F64">
    <cfRule type="expression" dxfId="2101" priority="130">
      <formula>$E$64 &gt; 0</formula>
    </cfRule>
    <cfRule type="expression" dxfId="2100" priority="131">
      <formula>$E$64 = 0</formula>
    </cfRule>
    <cfRule type="expression" dxfId="2099" priority="132">
      <formula>$E$64 &lt; 0</formula>
    </cfRule>
  </conditionalFormatting>
  <conditionalFormatting sqref="G42:I43 H64:I64">
    <cfRule type="expression" dxfId="2098" priority="127">
      <formula>$H$64 &gt; 0</formula>
    </cfRule>
    <cfRule type="expression" dxfId="2097" priority="128">
      <formula>$H$64 = 0</formula>
    </cfRule>
    <cfRule type="expression" dxfId="2096" priority="129">
      <formula>$H$64 &lt; 0</formula>
    </cfRule>
  </conditionalFormatting>
  <conditionalFormatting sqref="J42:L43 K64:L64">
    <cfRule type="expression" dxfId="2095" priority="124">
      <formula>$K$64 &gt; 0</formula>
    </cfRule>
    <cfRule type="expression" dxfId="2094" priority="125">
      <formula>$K$64 = 0</formula>
    </cfRule>
    <cfRule type="expression" dxfId="2093" priority="126">
      <formula>$K$64 &lt; 0</formula>
    </cfRule>
  </conditionalFormatting>
  <conditionalFormatting sqref="M42:O43 N64:O64">
    <cfRule type="expression" dxfId="2092" priority="121">
      <formula>$N$64 &gt; 0</formula>
    </cfRule>
    <cfRule type="expression" dxfId="2091" priority="122">
      <formula>$N$64 = 0</formula>
    </cfRule>
    <cfRule type="expression" dxfId="2090" priority="123">
      <formula>$N$64 &lt; 0</formula>
    </cfRule>
  </conditionalFormatting>
  <conditionalFormatting sqref="A71:C90 M71:O90">
    <cfRule type="expression" dxfId="2089" priority="109">
      <formula>AND($N71 &gt; 0, ISNUMBER($N71))</formula>
    </cfRule>
    <cfRule type="expression" dxfId="2088" priority="110">
      <formula>AND($N71 = 0 * ISNUMBER($N71))</formula>
    </cfRule>
    <cfRule type="expression" dxfId="2087" priority="111">
      <formula>AND($N71 &lt; 0, ISNUMBER($N71))</formula>
    </cfRule>
  </conditionalFormatting>
  <conditionalFormatting sqref="A71:F90">
    <cfRule type="expression" dxfId="2086" priority="118">
      <formula>AND($E71 &gt; 0, ISNUMBER($E71))</formula>
    </cfRule>
    <cfRule type="expression" dxfId="2085" priority="119">
      <formula>AND($E71 = 0 * ISNUMBER($E71))</formula>
    </cfRule>
    <cfRule type="expression" dxfId="2084" priority="120">
      <formula>AND($E71 &lt; 0, ISNUMBER($E71))</formula>
    </cfRule>
  </conditionalFormatting>
  <conditionalFormatting sqref="A71:C90 G71:I90">
    <cfRule type="expression" dxfId="2083" priority="115">
      <formula>AND($H71 &gt; 0, ISNUMBER($H71))</formula>
    </cfRule>
    <cfRule type="expression" dxfId="2082" priority="116">
      <formula>AND($H71 = 0 * ISNUMBER($H71))</formula>
    </cfRule>
    <cfRule type="expression" dxfId="2081" priority="117">
      <formula>AND($H71 &lt; 0, ISNUMBER($H71))</formula>
    </cfRule>
  </conditionalFormatting>
  <conditionalFormatting sqref="A71:C90 J71:L90">
    <cfRule type="expression" dxfId="2080" priority="112">
      <formula>AND($K71 &gt; 0, ISNUMBER($K71))</formula>
    </cfRule>
    <cfRule type="expression" dxfId="2079" priority="113">
      <formula>AND($K71 = 0 * ISNUMBER($K71))</formula>
    </cfRule>
    <cfRule type="expression" dxfId="2078" priority="114">
      <formula>AND($K71 &lt; 0, ISNUMBER($K71))</formula>
    </cfRule>
  </conditionalFormatting>
  <conditionalFormatting sqref="D69:F70 E91:F91">
    <cfRule type="expression" dxfId="2077" priority="106">
      <formula>$E$91 &gt; 0</formula>
    </cfRule>
    <cfRule type="expression" dxfId="2076" priority="107">
      <formula>$E$91 = 0</formula>
    </cfRule>
    <cfRule type="expression" dxfId="2075" priority="108">
      <formula>$E$91 &lt; 0</formula>
    </cfRule>
  </conditionalFormatting>
  <conditionalFormatting sqref="G69:I70 H91:I91">
    <cfRule type="expression" dxfId="2074" priority="103">
      <formula>$H$91 &gt; 0</formula>
    </cfRule>
    <cfRule type="expression" dxfId="2073" priority="104">
      <formula>$H$91 = 0</formula>
    </cfRule>
    <cfRule type="expression" dxfId="2072" priority="105">
      <formula>$H$91 &lt; 0</formula>
    </cfRule>
  </conditionalFormatting>
  <conditionalFormatting sqref="J69:L70 K91:L91">
    <cfRule type="expression" dxfId="2071" priority="100">
      <formula>$K$91 &gt; 0</formula>
    </cfRule>
    <cfRule type="expression" dxfId="2070" priority="101">
      <formula>$K$91 = 0</formula>
    </cfRule>
    <cfRule type="expression" dxfId="2069" priority="102">
      <formula>$K$91 &lt; 0</formula>
    </cfRule>
  </conditionalFormatting>
  <conditionalFormatting sqref="M69:O70 N91:O91">
    <cfRule type="expression" dxfId="2068" priority="97">
      <formula>$N$91 &gt; 0</formula>
    </cfRule>
    <cfRule type="expression" dxfId="2067" priority="98">
      <formula>$N$91 = 0</formula>
    </cfRule>
    <cfRule type="expression" dxfId="2066" priority="99">
      <formula>$N$91 &lt; 0</formula>
    </cfRule>
  </conditionalFormatting>
  <conditionalFormatting sqref="A98:C117 M98:O117">
    <cfRule type="expression" dxfId="2065" priority="85">
      <formula>AND($N98 &gt; 0, ISNUMBER($N98))</formula>
    </cfRule>
    <cfRule type="expression" dxfId="2064" priority="86">
      <formula>AND($N98 = 0 * ISNUMBER($N98))</formula>
    </cfRule>
    <cfRule type="expression" dxfId="2063" priority="87">
      <formula>AND($N98 &lt; 0, ISNUMBER($N98))</formula>
    </cfRule>
  </conditionalFormatting>
  <conditionalFormatting sqref="A98:F117">
    <cfRule type="expression" dxfId="2062" priority="94">
      <formula>AND($E98 &gt; 0, ISNUMBER($E98))</formula>
    </cfRule>
    <cfRule type="expression" dxfId="2061" priority="95">
      <formula>AND($E98 = 0 * ISNUMBER($E98))</formula>
    </cfRule>
    <cfRule type="expression" dxfId="2060" priority="96">
      <formula>AND($E98 &lt; 0, ISNUMBER($E98))</formula>
    </cfRule>
  </conditionalFormatting>
  <conditionalFormatting sqref="A98:C117 G98:I117">
    <cfRule type="expression" dxfId="2059" priority="91">
      <formula>AND($H98 &gt; 0, ISNUMBER($H98))</formula>
    </cfRule>
    <cfRule type="expression" dxfId="2058" priority="92">
      <formula>AND($H98 = 0 * ISNUMBER($H98))</formula>
    </cfRule>
    <cfRule type="expression" dxfId="2057" priority="93">
      <formula>AND($H98 &lt; 0, ISNUMBER($H98))</formula>
    </cfRule>
  </conditionalFormatting>
  <conditionalFormatting sqref="A98:C117 J98:L117">
    <cfRule type="expression" dxfId="2056" priority="88">
      <formula>AND($K98 &gt; 0, ISNUMBER($K98))</formula>
    </cfRule>
    <cfRule type="expression" dxfId="2055" priority="89">
      <formula>AND($K98 = 0 * ISNUMBER($K98))</formula>
    </cfRule>
    <cfRule type="expression" dxfId="2054" priority="90">
      <formula>AND($K98 &lt; 0, ISNUMBER($K98))</formula>
    </cfRule>
  </conditionalFormatting>
  <conditionalFormatting sqref="D96:F97 E118:F118">
    <cfRule type="expression" dxfId="2053" priority="82">
      <formula>$E$118 &gt; 0</formula>
    </cfRule>
    <cfRule type="expression" dxfId="2052" priority="83">
      <formula>$E$118 = 0</formula>
    </cfRule>
    <cfRule type="expression" dxfId="2051" priority="84">
      <formula>$E$118 &lt; 0</formula>
    </cfRule>
  </conditionalFormatting>
  <conditionalFormatting sqref="G96:I97 H118:I118">
    <cfRule type="expression" dxfId="2050" priority="79">
      <formula>$H$118 &gt; 0</formula>
    </cfRule>
    <cfRule type="expression" dxfId="2049" priority="80">
      <formula>$H$118 = 0</formula>
    </cfRule>
    <cfRule type="expression" dxfId="2048" priority="81">
      <formula>$H$118 &lt; 0</formula>
    </cfRule>
  </conditionalFormatting>
  <conditionalFormatting sqref="J96:L97 K118:L118">
    <cfRule type="expression" dxfId="2047" priority="76">
      <formula>$K$118 &gt; 0</formula>
    </cfRule>
    <cfRule type="expression" dxfId="2046" priority="77">
      <formula>$K$118 = 0</formula>
    </cfRule>
    <cfRule type="expression" dxfId="2045" priority="78">
      <formula>$K$118 &lt; 0</formula>
    </cfRule>
  </conditionalFormatting>
  <conditionalFormatting sqref="M96:O97 N118:O118">
    <cfRule type="expression" dxfId="2044" priority="73">
      <formula>$N$118 &gt; 0</formula>
    </cfRule>
    <cfRule type="expression" dxfId="2043" priority="74">
      <formula>$N$118 = 0</formula>
    </cfRule>
    <cfRule type="expression" dxfId="2042" priority="75">
      <formula>$N$118 &lt; 0</formula>
    </cfRule>
  </conditionalFormatting>
  <conditionalFormatting sqref="A125:C144 M125:O144">
    <cfRule type="expression" dxfId="2041" priority="61">
      <formula>AND($N125 &gt; 0, ISNUMBER($N125))</formula>
    </cfRule>
    <cfRule type="expression" dxfId="2040" priority="62">
      <formula>AND($N125 = 0 * ISNUMBER($N125))</formula>
    </cfRule>
    <cfRule type="expression" dxfId="2039" priority="63">
      <formula>AND($N125 &lt; 0, ISNUMBER($N125))</formula>
    </cfRule>
  </conditionalFormatting>
  <conditionalFormatting sqref="A125:F144">
    <cfRule type="expression" dxfId="2038" priority="70">
      <formula>AND($E125 &gt; 0, ISNUMBER($E125))</formula>
    </cfRule>
    <cfRule type="expression" dxfId="2037" priority="71">
      <formula>AND($E125 = 0 * ISNUMBER($E125))</formula>
    </cfRule>
    <cfRule type="expression" dxfId="2036" priority="72">
      <formula>AND($E125 &lt; 0, ISNUMBER($E125))</formula>
    </cfRule>
  </conditionalFormatting>
  <conditionalFormatting sqref="A125:C144 G125:I144">
    <cfRule type="expression" dxfId="2035" priority="67">
      <formula>AND($H125 &gt; 0, ISNUMBER($H125))</formula>
    </cfRule>
    <cfRule type="expression" dxfId="2034" priority="68">
      <formula>AND($H125 = 0 * ISNUMBER($H125))</formula>
    </cfRule>
    <cfRule type="expression" dxfId="2033" priority="69">
      <formula>AND($H125 &lt; 0, ISNUMBER($H125))</formula>
    </cfRule>
  </conditionalFormatting>
  <conditionalFormatting sqref="A125:C144 J125:L144">
    <cfRule type="expression" dxfId="2032" priority="64">
      <formula>AND($K125 &gt; 0, ISNUMBER($K125))</formula>
    </cfRule>
    <cfRule type="expression" dxfId="2031" priority="65">
      <formula>AND($K125 = 0 * ISNUMBER($K125))</formula>
    </cfRule>
    <cfRule type="expression" dxfId="2030" priority="66">
      <formula>AND($K125 &lt; 0, ISNUMBER($K125))</formula>
    </cfRule>
  </conditionalFormatting>
  <conditionalFormatting sqref="D123:F124 E145:F145">
    <cfRule type="expression" dxfId="2029" priority="58">
      <formula>$E$145 &gt; 0</formula>
    </cfRule>
    <cfRule type="expression" dxfId="2028" priority="59">
      <formula>$E$145 = 0</formula>
    </cfRule>
    <cfRule type="expression" dxfId="2027" priority="60">
      <formula>$E$145 &lt; 0</formula>
    </cfRule>
  </conditionalFormatting>
  <conditionalFormatting sqref="G123:I124 H145:I145">
    <cfRule type="expression" dxfId="2026" priority="55">
      <formula>$H$145 &gt; 0</formula>
    </cfRule>
    <cfRule type="expression" dxfId="2025" priority="56">
      <formula>$H$145 = 0</formula>
    </cfRule>
    <cfRule type="expression" dxfId="2024" priority="57">
      <formula>$H$145 &lt; 0</formula>
    </cfRule>
  </conditionalFormatting>
  <conditionalFormatting sqref="J123:L124 K145:L145">
    <cfRule type="expression" dxfId="2023" priority="52">
      <formula>$K$145 &gt; 0</formula>
    </cfRule>
    <cfRule type="expression" dxfId="2022" priority="53">
      <formula>$K$145 = 0</formula>
    </cfRule>
    <cfRule type="expression" dxfId="2021" priority="54">
      <formula>$K$145 &lt; 0</formula>
    </cfRule>
  </conditionalFormatting>
  <conditionalFormatting sqref="M123:O124 N145:O145">
    <cfRule type="expression" dxfId="2020" priority="49">
      <formula>$N$145 &gt; 0</formula>
    </cfRule>
    <cfRule type="expression" dxfId="2019" priority="50">
      <formula>$N$145 = 0</formula>
    </cfRule>
    <cfRule type="expression" dxfId="2018" priority="51">
      <formula>$N$145 &lt; 0</formula>
    </cfRule>
  </conditionalFormatting>
  <conditionalFormatting sqref="A152:C171 M152:O171">
    <cfRule type="expression" dxfId="2017" priority="37">
      <formula>AND($N152 &gt; 0, ISNUMBER($N152))</formula>
    </cfRule>
    <cfRule type="expression" dxfId="2016" priority="38">
      <formula>AND($N152 = 0 * ISNUMBER($N152))</formula>
    </cfRule>
    <cfRule type="expression" dxfId="2015" priority="39">
      <formula>AND($N152 &lt; 0, ISNUMBER($N152))</formula>
    </cfRule>
  </conditionalFormatting>
  <conditionalFormatting sqref="A152:F171">
    <cfRule type="expression" dxfId="2014" priority="46">
      <formula>AND($E152 &gt; 0, ISNUMBER($E152))</formula>
    </cfRule>
    <cfRule type="expression" dxfId="2013" priority="47">
      <formula>AND($E152 = 0 * ISNUMBER($E152))</formula>
    </cfRule>
    <cfRule type="expression" dxfId="2012" priority="48">
      <formula>AND($E152 &lt; 0, ISNUMBER($E152))</formula>
    </cfRule>
  </conditionalFormatting>
  <conditionalFormatting sqref="A152:C171 G152:I171">
    <cfRule type="expression" dxfId="2011" priority="43">
      <formula>AND($H152 &gt; 0, ISNUMBER($H152))</formula>
    </cfRule>
    <cfRule type="expression" dxfId="2010" priority="44">
      <formula>AND($H152 = 0 * ISNUMBER($H152))</formula>
    </cfRule>
    <cfRule type="expression" dxfId="2009" priority="45">
      <formula>AND($H152 &lt; 0, ISNUMBER($H152))</formula>
    </cfRule>
  </conditionalFormatting>
  <conditionalFormatting sqref="A152:C171 J152:L171">
    <cfRule type="expression" dxfId="2008" priority="40">
      <formula>AND($K152 &gt; 0, ISNUMBER($K152))</formula>
    </cfRule>
    <cfRule type="expression" dxfId="2007" priority="41">
      <formula>AND($K152 = 0 * ISNUMBER($K152))</formula>
    </cfRule>
    <cfRule type="expression" dxfId="2006" priority="42">
      <formula>AND($K152 &lt; 0, ISNUMBER($K152))</formula>
    </cfRule>
  </conditionalFormatting>
  <conditionalFormatting sqref="D150:F151 E172:F172">
    <cfRule type="expression" dxfId="2005" priority="34">
      <formula>$E$172 &gt; 0</formula>
    </cfRule>
    <cfRule type="expression" dxfId="2004" priority="35">
      <formula>$E$172 = 0</formula>
    </cfRule>
    <cfRule type="expression" dxfId="2003" priority="36">
      <formula>$E$172 &lt; 0</formula>
    </cfRule>
  </conditionalFormatting>
  <conditionalFormatting sqref="G150:I151 H172:I172">
    <cfRule type="expression" dxfId="2002" priority="31">
      <formula>$H$172 &gt; 0</formula>
    </cfRule>
    <cfRule type="expression" dxfId="2001" priority="32">
      <formula>$H$172 = 0</formula>
    </cfRule>
    <cfRule type="expression" dxfId="2000" priority="33">
      <formula>$H$172 &lt; 0</formula>
    </cfRule>
  </conditionalFormatting>
  <conditionalFormatting sqref="J150:L151 K172:L172">
    <cfRule type="expression" dxfId="1999" priority="28">
      <formula>$K$172 &gt; 0</formula>
    </cfRule>
    <cfRule type="expression" dxfId="1998" priority="29">
      <formula>$K$172 = 0</formula>
    </cfRule>
    <cfRule type="expression" dxfId="1997" priority="30">
      <formula>$K$172 &lt; 0</formula>
    </cfRule>
  </conditionalFormatting>
  <conditionalFormatting sqref="M150:O151 N172:O172">
    <cfRule type="expression" dxfId="1996" priority="25">
      <formula>$N$172 &gt; 0</formula>
    </cfRule>
    <cfRule type="expression" dxfId="1995" priority="26">
      <formula>$N$172 = 0</formula>
    </cfRule>
    <cfRule type="expression" dxfId="1994" priority="27">
      <formula>$N$172 &lt; 0</formula>
    </cfRule>
  </conditionalFormatting>
  <conditionalFormatting sqref="A179:C198 M179:O198">
    <cfRule type="expression" dxfId="1993" priority="13">
      <formula>AND($N179 &gt; 0, ISNUMBER($N179))</formula>
    </cfRule>
    <cfRule type="expression" dxfId="1992" priority="14">
      <formula>AND($N179 = 0 * ISNUMBER($N179))</formula>
    </cfRule>
    <cfRule type="expression" dxfId="1991" priority="15">
      <formula>AND($N179 &lt; 0, ISNUMBER($N179))</formula>
    </cfRule>
  </conditionalFormatting>
  <conditionalFormatting sqref="A179:F198">
    <cfRule type="expression" dxfId="1990" priority="22">
      <formula>AND($E179 &gt; 0, ISNUMBER($E179))</formula>
    </cfRule>
    <cfRule type="expression" dxfId="1989" priority="23">
      <formula>AND($E179 = 0 * ISNUMBER($E179))</formula>
    </cfRule>
    <cfRule type="expression" dxfId="1988" priority="24">
      <formula>AND($E179 &lt; 0, ISNUMBER($E179))</formula>
    </cfRule>
  </conditionalFormatting>
  <conditionalFormatting sqref="A179:C198 G179:I198">
    <cfRule type="expression" dxfId="1987" priority="19">
      <formula>AND($H179 &gt; 0, ISNUMBER($H179))</formula>
    </cfRule>
    <cfRule type="expression" dxfId="1986" priority="20">
      <formula>AND($H179 = 0 * ISNUMBER($H179))</formula>
    </cfRule>
    <cfRule type="expression" dxfId="1985" priority="21">
      <formula>AND($H179 &lt; 0, ISNUMBER($H179))</formula>
    </cfRule>
  </conditionalFormatting>
  <conditionalFormatting sqref="A179:C198 J179:L198">
    <cfRule type="expression" dxfId="1984" priority="16">
      <formula>AND($K179 &gt; 0, ISNUMBER($K179))</formula>
    </cfRule>
    <cfRule type="expression" dxfId="1983" priority="17">
      <formula>AND($K179 = 0 * ISNUMBER($K179))</formula>
    </cfRule>
    <cfRule type="expression" dxfId="1982" priority="18">
      <formula>AND($K179 &lt; 0, ISNUMBER($K179))</formula>
    </cfRule>
  </conditionalFormatting>
  <conditionalFormatting sqref="D177:F178 E199:F199">
    <cfRule type="expression" dxfId="1981" priority="10">
      <formula>$E$199 &gt; 0</formula>
    </cfRule>
    <cfRule type="expression" dxfId="1980" priority="11">
      <formula>$E$199 = 0</formula>
    </cfRule>
    <cfRule type="expression" dxfId="1979" priority="12">
      <formula>$E$199 &lt; 0</formula>
    </cfRule>
  </conditionalFormatting>
  <conditionalFormatting sqref="G177:I178 H199:I199">
    <cfRule type="expression" dxfId="1978" priority="7">
      <formula>$H$199 &gt; 0</formula>
    </cfRule>
    <cfRule type="expression" dxfId="1977" priority="8">
      <formula>$H$199 = 0</formula>
    </cfRule>
    <cfRule type="expression" dxfId="1976" priority="9">
      <formula>$H$199 &lt; 0</formula>
    </cfRule>
  </conditionalFormatting>
  <conditionalFormatting sqref="J177:L178 K199:L199">
    <cfRule type="expression" dxfId="1975" priority="4">
      <formula>$K$199 &gt; 0</formula>
    </cfRule>
    <cfRule type="expression" dxfId="1974" priority="5">
      <formula>$K$199 = 0</formula>
    </cfRule>
    <cfRule type="expression" dxfId="1973" priority="6">
      <formula>$K$199 &lt; 0</formula>
    </cfRule>
  </conditionalFormatting>
  <conditionalFormatting sqref="M177:O178 N199:O199">
    <cfRule type="expression" dxfId="1972" priority="1">
      <formula>$N$199 &gt; 0</formula>
    </cfRule>
    <cfRule type="expression" dxfId="1971" priority="2">
      <formula>$N$199 = 0</formula>
    </cfRule>
    <cfRule type="expression" dxfId="19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44321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6" t="s">
        <v>3</v>
      </c>
      <c r="B2" s="247" t="s">
        <v>4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5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7" t="s">
        <v>7</v>
      </c>
      <c r="B3" s="253" t="s">
        <v>8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257"/>
      <c r="I3" s="258"/>
      <c r="J3" s="4" t="s">
        <v>7</v>
      </c>
      <c r="K3" s="253" t="s">
        <v>9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53" t="s">
        <v>12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13</v>
      </c>
      <c r="L4" s="254"/>
      <c r="M4" s="254"/>
      <c r="N4" s="254"/>
      <c r="O4" s="255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53" t="s">
        <v>16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257"/>
      <c r="I5" s="258"/>
      <c r="J5" s="4" t="s">
        <v>15</v>
      </c>
      <c r="K5" s="253" t="s">
        <v>17</v>
      </c>
      <c r="L5" s="254"/>
      <c r="M5" s="254"/>
      <c r="N5" s="254"/>
      <c r="O5" s="255"/>
    </row>
    <row r="6" spans="1:19">
      <c r="A6" s="117" t="s">
        <v>18</v>
      </c>
      <c r="B6" s="253" t="s">
        <v>19</v>
      </c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20</v>
      </c>
      <c r="L6" s="254"/>
      <c r="M6" s="254"/>
      <c r="N6" s="254"/>
      <c r="O6" s="255"/>
    </row>
    <row r="7" spans="1:19" ht="17.25" thickBot="1">
      <c r="A7" s="117" t="s">
        <v>21</v>
      </c>
      <c r="B7" s="253" t="s">
        <v>22</v>
      </c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257"/>
      <c r="I7" s="258"/>
      <c r="J7" s="4" t="s">
        <v>21</v>
      </c>
      <c r="K7" s="253" t="s">
        <v>23</v>
      </c>
      <c r="L7" s="254"/>
      <c r="M7" s="254"/>
      <c r="N7" s="254"/>
      <c r="O7" s="255"/>
    </row>
    <row r="8" spans="1:19" ht="17.25" thickBot="1">
      <c r="A8" s="117" t="s">
        <v>24</v>
      </c>
      <c r="B8" s="253" t="s">
        <v>25</v>
      </c>
      <c r="C8" s="254"/>
      <c r="D8" s="254"/>
      <c r="E8" s="254"/>
      <c r="F8" s="255"/>
      <c r="G8" s="250" t="s">
        <v>285</v>
      </c>
      <c r="H8" s="251"/>
      <c r="I8" s="252"/>
      <c r="J8" s="4" t="s">
        <v>24</v>
      </c>
      <c r="K8" s="253" t="s">
        <v>26</v>
      </c>
      <c r="L8" s="254"/>
      <c r="M8" s="254"/>
      <c r="N8" s="254"/>
      <c r="O8" s="255"/>
      <c r="Q8" s="241" t="s">
        <v>27</v>
      </c>
      <c r="R8" s="243"/>
    </row>
    <row r="9" spans="1:19" ht="17.25" thickBot="1">
      <c r="A9" s="117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257"/>
      <c r="I9" s="258"/>
      <c r="J9" s="4" t="s">
        <v>28</v>
      </c>
      <c r="K9" s="253" t="s">
        <v>293</v>
      </c>
      <c r="L9" s="254"/>
      <c r="M9" s="254"/>
      <c r="N9" s="254"/>
      <c r="O9" s="255"/>
      <c r="Q9" s="2" t="s">
        <v>29</v>
      </c>
      <c r="R9" s="6">
        <v>10</v>
      </c>
    </row>
    <row r="10" spans="1:19">
      <c r="A10" s="117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/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8" t="s">
        <v>32</v>
      </c>
      <c r="B11" s="259"/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9"/>
      <c r="L11" s="260"/>
      <c r="M11" s="260"/>
      <c r="N11" s="260"/>
      <c r="O11" s="261"/>
      <c r="Q11" s="61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49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62017000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-1.6680144000000001E-2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2021-05-05(수) 오전 00:00</v>
      </c>
      <c r="C15" s="308"/>
      <c r="D15" s="264" t="str">
        <f>TEXT($G$1, "[$-ko-KR]yyyy-mm-dd(ddd) ") &amp; "오후 14:00"</f>
        <v>2021-05-05(수) 오후 14:00</v>
      </c>
      <c r="E15" s="265"/>
      <c r="F15" s="266"/>
      <c r="G15" s="264" t="str">
        <f>TEXT($G$1, "[$-ko-KR]yyyy-mm-dd(ddd) ") &amp; "오후 19:00"</f>
        <v>2021-05-05(수) 오후 19:00</v>
      </c>
      <c r="H15" s="265"/>
      <c r="I15" s="266"/>
      <c r="J15" s="264" t="str">
        <f>TEXT($G$1, "[$-ko-KR]yyyy-mm-dd(ddd) ") &amp; "오후 21:00"</f>
        <v>2021-05-05(수) 오후 21:00</v>
      </c>
      <c r="K15" s="265"/>
      <c r="L15" s="266"/>
      <c r="M15" s="264" t="str">
        <f>TEXT($G$1+1, "[$-ko-KR]yyyy-mm-dd(ddd) ") &amp; "오전 00:00"</f>
        <v>2021-05-06(목)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7"/>
      <c r="R16" s="267"/>
      <c r="S16" s="267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7"/>
      <c r="R19" s="267"/>
      <c r="S19" s="267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7"/>
      <c r="R20" s="267"/>
      <c r="S20" s="267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7"/>
      <c r="R21" s="267"/>
      <c r="S21" s="267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67"/>
      <c r="R22" s="267"/>
      <c r="S22" s="267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7"/>
      <c r="R23" s="267"/>
      <c r="S23" s="267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7"/>
      <c r="R24" s="267"/>
      <c r="S24" s="267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76"/>
      <c r="R26" s="277"/>
      <c r="S26" s="278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7"/>
      <c r="R29" s="267"/>
      <c r="S29" s="267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67"/>
      <c r="R32" s="267"/>
      <c r="S32" s="267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7"/>
      <c r="R33" s="267"/>
      <c r="S33" s="267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7"/>
      <c r="R34" s="267"/>
      <c r="S34" s="267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9"/>
      <c r="R35" s="290"/>
      <c r="S35" s="29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92"/>
      <c r="R36" s="293"/>
      <c r="S36" s="294"/>
    </row>
    <row r="37" spans="1:19" ht="17.25" customHeight="1" thickBot="1">
      <c r="A37" s="131" t="s">
        <v>42</v>
      </c>
      <c r="B37" s="300">
        <v>150000</v>
      </c>
      <c r="C37" s="30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49" t="s">
        <v>298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62017000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-1.6680144000000001E-2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2021-05-05(수) 오전 00:00</v>
      </c>
      <c r="C42" s="305"/>
      <c r="D42" s="264" t="str">
        <f>TEXT($G$1, "[$-ko-KR]yyyy-mm-dd(ddd) ") &amp; "오후 14:00"</f>
        <v>2021-05-05(수) 오후 14:00</v>
      </c>
      <c r="E42" s="265"/>
      <c r="F42" s="266"/>
      <c r="G42" s="264" t="str">
        <f>TEXT($G$1, "[$-ko-KR]yyyy-mm-dd(ddd) ") &amp; "오후 19:00"</f>
        <v>2021-05-05(수) 오후 19:00</v>
      </c>
      <c r="H42" s="265"/>
      <c r="I42" s="266"/>
      <c r="J42" s="264" t="str">
        <f>TEXT($G$1, "[$-ko-KR]yyyy-mm-dd(ddd) ") &amp; "오후 21:00"</f>
        <v>2021-05-05(수) 오후 21:00</v>
      </c>
      <c r="K42" s="265"/>
      <c r="L42" s="266"/>
      <c r="M42" s="264" t="str">
        <f>TEXT($G$1+1, "[$-ko-KR]yyyy-mm-dd(ddd) ") &amp; "오전 00:00"</f>
        <v>2021-05-06(목)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7"/>
      <c r="R43" s="267"/>
      <c r="S43" s="267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262"/>
      <c r="R44" s="262"/>
      <c r="S44" s="262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262"/>
      <c r="R45" s="262"/>
      <c r="S45" s="262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267"/>
      <c r="R46" s="267"/>
      <c r="S46" s="267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267"/>
      <c r="R47" s="267"/>
      <c r="S47" s="267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267"/>
      <c r="R48" s="267"/>
      <c r="S48" s="267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267"/>
      <c r="R49" s="267"/>
      <c r="S49" s="267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267"/>
      <c r="R50" s="267"/>
      <c r="S50" s="267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267"/>
      <c r="R51" s="267"/>
      <c r="S51" s="267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276"/>
      <c r="R53" s="277"/>
      <c r="S53" s="278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279"/>
      <c r="R54" s="280"/>
      <c r="S54" s="281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282"/>
      <c r="R55" s="283"/>
      <c r="S55" s="284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267"/>
      <c r="R56" s="267"/>
      <c r="S56" s="267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262"/>
      <c r="R57" s="262"/>
      <c r="S57" s="262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262"/>
      <c r="R58" s="262"/>
      <c r="S58" s="262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267"/>
      <c r="R59" s="267"/>
      <c r="S59" s="267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267"/>
      <c r="R60" s="267"/>
      <c r="S60" s="267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67"/>
      <c r="R61" s="267"/>
      <c r="S61" s="267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89"/>
      <c r="R62" s="290"/>
      <c r="S62" s="29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92"/>
      <c r="R63" s="293"/>
      <c r="S63" s="294"/>
    </row>
    <row r="64" spans="1:19" ht="17.25" customHeight="1" thickBot="1">
      <c r="A64" s="131" t="s">
        <v>301</v>
      </c>
      <c r="B64" s="300">
        <f>$B$37</f>
        <v>150000</v>
      </c>
      <c r="C64" s="301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49" t="s">
        <v>298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62017000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-1.6680144000000001E-2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2021-05-05(수) 오전 00:00</v>
      </c>
      <c r="C69" s="305"/>
      <c r="D69" s="264" t="str">
        <f>TEXT($G$1, "[$-ko-KR]yyyy-mm-dd(ddd) ") &amp; "오후 14:00"</f>
        <v>2021-05-05(수) 오후 14:00</v>
      </c>
      <c r="E69" s="265"/>
      <c r="F69" s="266"/>
      <c r="G69" s="264" t="str">
        <f>TEXT($G$1, "[$-ko-KR]yyyy-mm-dd(ddd) ") &amp; "오후 19:00"</f>
        <v>2021-05-05(수) 오후 19:00</v>
      </c>
      <c r="H69" s="265"/>
      <c r="I69" s="266"/>
      <c r="J69" s="264" t="str">
        <f>TEXT($G$1, "[$-ko-KR]yyyy-mm-dd(ddd) ") &amp; "오후 21:00"</f>
        <v>2021-05-05(수) 오후 21:00</v>
      </c>
      <c r="K69" s="265"/>
      <c r="L69" s="266"/>
      <c r="M69" s="264" t="str">
        <f>TEXT($G$1+1, "[$-ko-KR]yyyy-mm-dd(ddd) ") &amp; "오전 00:00"</f>
        <v>2021-05-06(목) 오전 00:00</v>
      </c>
      <c r="N69" s="265"/>
      <c r="O69" s="266"/>
      <c r="Q69" s="262"/>
      <c r="R69" s="262"/>
      <c r="S69" s="262"/>
    </row>
    <row r="70" spans="1:19" ht="17.25" thickBot="1">
      <c r="A70" s="30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7"/>
      <c r="R70" s="267"/>
      <c r="S70" s="267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262"/>
      <c r="R71" s="262"/>
      <c r="S71" s="262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262"/>
      <c r="R72" s="262"/>
      <c r="S72" s="262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267"/>
      <c r="R73" s="267"/>
      <c r="S73" s="267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267"/>
      <c r="R74" s="267"/>
      <c r="S74" s="267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267"/>
      <c r="R75" s="267"/>
      <c r="S75" s="267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267"/>
      <c r="R76" s="267"/>
      <c r="S76" s="267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267"/>
      <c r="R77" s="267"/>
      <c r="S77" s="267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267"/>
      <c r="R78" s="267"/>
      <c r="S78" s="267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276"/>
      <c r="R80" s="277"/>
      <c r="S80" s="278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279"/>
      <c r="R81" s="280"/>
      <c r="S81" s="281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282"/>
      <c r="R82" s="283"/>
      <c r="S82" s="284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267"/>
      <c r="R83" s="267"/>
      <c r="S83" s="267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262"/>
      <c r="R84" s="262"/>
      <c r="S84" s="262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262"/>
      <c r="R85" s="262"/>
      <c r="S85" s="262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267"/>
      <c r="R86" s="267"/>
      <c r="S86" s="267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267"/>
      <c r="R87" s="267"/>
      <c r="S87" s="267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267"/>
      <c r="R88" s="267"/>
      <c r="S88" s="267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289"/>
      <c r="R89" s="290"/>
      <c r="S89" s="291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292"/>
      <c r="R90" s="293"/>
      <c r="S90" s="294"/>
    </row>
    <row r="91" spans="1:19" ht="17.25" thickBot="1">
      <c r="A91" s="131" t="s">
        <v>301</v>
      </c>
      <c r="B91" s="300">
        <f>$B$37</f>
        <v>150000</v>
      </c>
      <c r="C91" s="301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49" t="s">
        <v>298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62017000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-1.6680144000000001E-2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2021-05-05(수) 오전 00:00</v>
      </c>
      <c r="C96" s="305"/>
      <c r="D96" s="264" t="str">
        <f>TEXT($G$1, "[$-ko-KR]yyyy-mm-dd(ddd) ") &amp; "오후 14:00"</f>
        <v>2021-05-05(수) 오후 14:00</v>
      </c>
      <c r="E96" s="265"/>
      <c r="F96" s="266"/>
      <c r="G96" s="264" t="str">
        <f>TEXT($G$1, "[$-ko-KR]yyyy-mm-dd(ddd) ") &amp; "오후 19:00"</f>
        <v>2021-05-05(수) 오후 19:00</v>
      </c>
      <c r="H96" s="265"/>
      <c r="I96" s="266"/>
      <c r="J96" s="264" t="str">
        <f>TEXT($G$1, "[$-ko-KR]yyyy-mm-dd(ddd) ") &amp; "오후 21:00"</f>
        <v>2021-05-05(수) 오후 21:00</v>
      </c>
      <c r="K96" s="265"/>
      <c r="L96" s="266"/>
      <c r="M96" s="264" t="str">
        <f>TEXT($G$1+1, "[$-ko-KR]yyyy-mm-dd(ddd) ") &amp; "오전 00:00"</f>
        <v>2021-05-06(목) 오전 00:00</v>
      </c>
      <c r="N96" s="265"/>
      <c r="O96" s="266"/>
      <c r="Q96" s="262"/>
      <c r="R96" s="262"/>
      <c r="S96" s="262"/>
    </row>
    <row r="97" spans="1:19" ht="17.25" thickBot="1">
      <c r="A97" s="30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7"/>
      <c r="R97" s="267"/>
      <c r="S97" s="267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262"/>
      <c r="R98" s="262"/>
      <c r="S98" s="262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262"/>
      <c r="R99" s="262"/>
      <c r="S99" s="262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267"/>
      <c r="R100" s="267"/>
      <c r="S100" s="267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267"/>
      <c r="R101" s="267"/>
      <c r="S101" s="267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267"/>
      <c r="R102" s="267"/>
      <c r="S102" s="267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267"/>
      <c r="R103" s="267"/>
      <c r="S103" s="267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267"/>
      <c r="R104" s="267"/>
      <c r="S104" s="267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267"/>
      <c r="R105" s="267"/>
      <c r="S105" s="267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276"/>
      <c r="R107" s="277"/>
      <c r="S107" s="278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279"/>
      <c r="R108" s="280"/>
      <c r="S108" s="281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282"/>
      <c r="R109" s="283"/>
      <c r="S109" s="284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267"/>
      <c r="R110" s="267"/>
      <c r="S110" s="267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262"/>
      <c r="R111" s="262"/>
      <c r="S111" s="262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262"/>
      <c r="R112" s="262"/>
      <c r="S112" s="262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267"/>
      <c r="R113" s="267"/>
      <c r="S113" s="267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267"/>
      <c r="R114" s="267"/>
      <c r="S114" s="267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267"/>
      <c r="R115" s="267"/>
      <c r="S115" s="267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289"/>
      <c r="R116" s="290"/>
      <c r="S116" s="291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292"/>
      <c r="R117" s="293"/>
      <c r="S117" s="294"/>
    </row>
    <row r="118" spans="1:19" ht="17.25" thickBot="1">
      <c r="A118" s="131" t="s">
        <v>301</v>
      </c>
      <c r="B118" s="300">
        <f>$B$37</f>
        <v>150000</v>
      </c>
      <c r="C118" s="301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295"/>
      <c r="R118" s="296"/>
      <c r="S118" s="297"/>
    </row>
    <row r="120" spans="1:19" ht="17.25" thickBot="1"/>
    <row r="121" spans="1:19" ht="17.25" thickBot="1">
      <c r="A121" s="241" t="s">
        <v>288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49" t="s">
        <v>298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62017000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-1.6680144000000001E-2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2021-05-05(수) 오전 00:00</v>
      </c>
      <c r="C123" s="305"/>
      <c r="D123" s="264" t="str">
        <f>TEXT($G$1, "[$-ko-KR]yyyy-mm-dd(ddd) ") &amp; "오후 14:00"</f>
        <v>2021-05-05(수) 오후 14:00</v>
      </c>
      <c r="E123" s="265"/>
      <c r="F123" s="266"/>
      <c r="G123" s="264" t="str">
        <f>TEXT($G$1, "[$-ko-KR]yyyy-mm-dd(ddd) ") &amp; "오후 19:00"</f>
        <v>2021-05-05(수) 오후 19:00</v>
      </c>
      <c r="H123" s="265"/>
      <c r="I123" s="266"/>
      <c r="J123" s="264" t="str">
        <f>TEXT($G$1, "[$-ko-KR]yyyy-mm-dd(ddd) ") &amp; "오후 21:00"</f>
        <v>2021-05-05(수) 오후 21:00</v>
      </c>
      <c r="K123" s="265"/>
      <c r="L123" s="266"/>
      <c r="M123" s="264" t="str">
        <f>TEXT($G$1+1, "[$-ko-KR]yyyy-mm-dd(ddd) ") &amp; "오전 00:00"</f>
        <v>2021-05-06(목)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7"/>
      <c r="R124" s="267"/>
      <c r="S124" s="267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262"/>
      <c r="R125" s="262"/>
      <c r="S125" s="262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262"/>
      <c r="R126" s="262"/>
      <c r="S126" s="262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267"/>
      <c r="R127" s="267"/>
      <c r="S127" s="267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267"/>
      <c r="R128" s="267"/>
      <c r="S128" s="267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267"/>
      <c r="R129" s="267"/>
      <c r="S129" s="267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267"/>
      <c r="R130" s="267"/>
      <c r="S130" s="267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267"/>
      <c r="R131" s="267"/>
      <c r="S131" s="267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267"/>
      <c r="R132" s="267"/>
      <c r="S132" s="267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276"/>
      <c r="R134" s="277"/>
      <c r="S134" s="278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279"/>
      <c r="R135" s="280"/>
      <c r="S135" s="281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282"/>
      <c r="R136" s="283"/>
      <c r="S136" s="284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267"/>
      <c r="R137" s="267"/>
      <c r="S137" s="267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262"/>
      <c r="R138" s="262"/>
      <c r="S138" s="262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262"/>
      <c r="R139" s="262"/>
      <c r="S139" s="262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267"/>
      <c r="R140" s="267"/>
      <c r="S140" s="267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267"/>
      <c r="R141" s="267"/>
      <c r="S141" s="267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67"/>
      <c r="R142" s="267"/>
      <c r="S142" s="267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89"/>
      <c r="R143" s="290"/>
      <c r="S143" s="29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92"/>
      <c r="R144" s="293"/>
      <c r="S144" s="294"/>
    </row>
    <row r="145" spans="1:19" ht="17.25" thickBot="1">
      <c r="A145" s="131" t="s">
        <v>301</v>
      </c>
      <c r="B145" s="300">
        <f>$B$37</f>
        <v>150000</v>
      </c>
      <c r="C145" s="301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295"/>
      <c r="R145" s="296"/>
      <c r="S145" s="297"/>
    </row>
    <row r="147" spans="1:19" ht="17.25" thickBot="1"/>
    <row r="148" spans="1:19" ht="17.25" thickBot="1">
      <c r="A148" s="241" t="s">
        <v>289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49" t="s">
        <v>298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62017000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-1.6680144000000001E-2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2021-05-05(수) 오전 00:00</v>
      </c>
      <c r="C150" s="305"/>
      <c r="D150" s="264" t="str">
        <f>TEXT($G$1, "[$-ko-KR]yyyy-mm-dd(ddd) ") &amp; "오후 14:00"</f>
        <v>2021-05-05(수) 오후 14:00</v>
      </c>
      <c r="E150" s="265"/>
      <c r="F150" s="266"/>
      <c r="G150" s="264" t="str">
        <f>TEXT($G$1, "[$-ko-KR]yyyy-mm-dd(ddd) ") &amp; "오후 19:00"</f>
        <v>2021-05-05(수) 오후 19:00</v>
      </c>
      <c r="H150" s="265"/>
      <c r="I150" s="266"/>
      <c r="J150" s="264" t="str">
        <f>TEXT($G$1, "[$-ko-KR]yyyy-mm-dd(ddd) ") &amp; "오후 21:00"</f>
        <v>2021-05-05(수) 오후 21:00</v>
      </c>
      <c r="K150" s="265"/>
      <c r="L150" s="266"/>
      <c r="M150" s="264" t="str">
        <f>TEXT($G$1+1, "[$-ko-KR]yyyy-mm-dd(ddd) ") &amp; "오전 00:00"</f>
        <v>2021-05-06(목)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7"/>
      <c r="R151" s="267"/>
      <c r="S151" s="267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262"/>
      <c r="R152" s="262"/>
      <c r="S152" s="262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262"/>
      <c r="R153" s="262"/>
      <c r="S153" s="262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267"/>
      <c r="R154" s="267"/>
      <c r="S154" s="267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267"/>
      <c r="R155" s="267"/>
      <c r="S155" s="267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267"/>
      <c r="R156" s="267"/>
      <c r="S156" s="267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267"/>
      <c r="R157" s="267"/>
      <c r="S157" s="267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267"/>
      <c r="R158" s="267"/>
      <c r="S158" s="267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267"/>
      <c r="R159" s="267"/>
      <c r="S159" s="267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276"/>
      <c r="R161" s="277"/>
      <c r="S161" s="278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279"/>
      <c r="R162" s="280"/>
      <c r="S162" s="281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282"/>
      <c r="R163" s="283"/>
      <c r="S163" s="284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267"/>
      <c r="R164" s="267"/>
      <c r="S164" s="267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262"/>
      <c r="R165" s="262"/>
      <c r="S165" s="262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262"/>
      <c r="R166" s="262"/>
      <c r="S166" s="262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267"/>
      <c r="R167" s="267"/>
      <c r="S167" s="267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267"/>
      <c r="R168" s="267"/>
      <c r="S168" s="267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267"/>
      <c r="R169" s="267"/>
      <c r="S169" s="267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289"/>
      <c r="R170" s="290"/>
      <c r="S170" s="291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292"/>
      <c r="R171" s="293"/>
      <c r="S171" s="294"/>
    </row>
    <row r="172" spans="1:19" ht="17.25" thickBot="1">
      <c r="A172" s="131" t="s">
        <v>301</v>
      </c>
      <c r="B172" s="300">
        <f>$B$37</f>
        <v>150000</v>
      </c>
      <c r="C172" s="301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295"/>
      <c r="R172" s="296"/>
      <c r="S172" s="297"/>
    </row>
    <row r="174" spans="1:19" ht="17.25" thickBot="1"/>
    <row r="175" spans="1:19" ht="17.25" thickBot="1">
      <c r="A175" s="241" t="s">
        <v>285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49" t="s">
        <v>298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62017000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-1.6680144000000001E-2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2021-05-05(수) 오전 00:00</v>
      </c>
      <c r="C177" s="305"/>
      <c r="D177" s="264" t="str">
        <f>TEXT($G$1, "[$-ko-KR]yyyy-mm-dd(ddd) ") &amp; "오후 14:00"</f>
        <v>2021-05-05(수) 오후 14:00</v>
      </c>
      <c r="E177" s="265"/>
      <c r="F177" s="266"/>
      <c r="G177" s="264" t="str">
        <f>TEXT($G$1, "[$-ko-KR]yyyy-mm-dd(ddd) ") &amp; "오후 19:00"</f>
        <v>2021-05-05(수) 오후 19:00</v>
      </c>
      <c r="H177" s="265"/>
      <c r="I177" s="266"/>
      <c r="J177" s="264" t="str">
        <f>TEXT($G$1, "[$-ko-KR]yyyy-mm-dd(ddd) ") &amp; "오후 21:00"</f>
        <v>2021-05-05(수) 오후 21:00</v>
      </c>
      <c r="K177" s="265"/>
      <c r="L177" s="266"/>
      <c r="M177" s="264" t="str">
        <f>TEXT($G$1+1, "[$-ko-KR]yyyy-mm-dd(ddd) ") &amp; "오전 00:00"</f>
        <v>2021-05-06(목)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7"/>
      <c r="R178" s="267"/>
      <c r="S178" s="267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262"/>
      <c r="R179" s="262"/>
      <c r="S179" s="262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262"/>
      <c r="R180" s="262"/>
      <c r="S180" s="262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267"/>
      <c r="R181" s="267"/>
      <c r="S181" s="267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267"/>
      <c r="R182" s="267"/>
      <c r="S182" s="267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267"/>
      <c r="R183" s="267"/>
      <c r="S183" s="267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267"/>
      <c r="R184" s="267"/>
      <c r="S184" s="267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267"/>
      <c r="R185" s="267"/>
      <c r="S185" s="267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267"/>
      <c r="R186" s="267"/>
      <c r="S186" s="267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276"/>
      <c r="R188" s="277"/>
      <c r="S188" s="278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279"/>
      <c r="R189" s="280"/>
      <c r="S189" s="281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282"/>
      <c r="R190" s="283"/>
      <c r="S190" s="284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267"/>
      <c r="R191" s="267"/>
      <c r="S191" s="267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262"/>
      <c r="R192" s="262"/>
      <c r="S192" s="262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262"/>
      <c r="R193" s="262"/>
      <c r="S193" s="262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267"/>
      <c r="R194" s="267"/>
      <c r="S194" s="267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267"/>
      <c r="R195" s="267"/>
      <c r="S195" s="267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267"/>
      <c r="R196" s="267"/>
      <c r="S196" s="267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289"/>
      <c r="R197" s="290"/>
      <c r="S197" s="291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292"/>
      <c r="R198" s="293"/>
      <c r="S198" s="294"/>
    </row>
    <row r="199" spans="1:19" ht="17.25" thickBot="1">
      <c r="A199" s="131" t="s">
        <v>301</v>
      </c>
      <c r="B199" s="300">
        <f>$B$37</f>
        <v>150000</v>
      </c>
      <c r="C199" s="301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5:F16 E37:F37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5:I16 H37:I37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5:L16 K37:L37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5:O16 N37:O37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44322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6" t="s">
        <v>3</v>
      </c>
      <c r="B2" s="247" t="s">
        <v>4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5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7" t="s">
        <v>7</v>
      </c>
      <c r="B3" s="253" t="s">
        <v>8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257"/>
      <c r="I3" s="258"/>
      <c r="J3" s="4" t="s">
        <v>7</v>
      </c>
      <c r="K3" s="253" t="s">
        <v>9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53" t="s">
        <v>12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13</v>
      </c>
      <c r="L4" s="254"/>
      <c r="M4" s="254"/>
      <c r="N4" s="254"/>
      <c r="O4" s="255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53" t="s">
        <v>16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257"/>
      <c r="I5" s="258"/>
      <c r="J5" s="4" t="s">
        <v>15</v>
      </c>
      <c r="K5" s="253" t="s">
        <v>17</v>
      </c>
      <c r="L5" s="254"/>
      <c r="M5" s="254"/>
      <c r="N5" s="254"/>
      <c r="O5" s="255"/>
    </row>
    <row r="6" spans="1:19">
      <c r="A6" s="117" t="s">
        <v>18</v>
      </c>
      <c r="B6" s="253" t="s">
        <v>19</v>
      </c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20</v>
      </c>
      <c r="L6" s="254"/>
      <c r="M6" s="254"/>
      <c r="N6" s="254"/>
      <c r="O6" s="255"/>
    </row>
    <row r="7" spans="1:19" ht="17.25" thickBot="1">
      <c r="A7" s="117" t="s">
        <v>21</v>
      </c>
      <c r="B7" s="253" t="s">
        <v>22</v>
      </c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257"/>
      <c r="I7" s="258"/>
      <c r="J7" s="4" t="s">
        <v>21</v>
      </c>
      <c r="K7" s="253" t="s">
        <v>23</v>
      </c>
      <c r="L7" s="254"/>
      <c r="M7" s="254"/>
      <c r="N7" s="254"/>
      <c r="O7" s="255"/>
    </row>
    <row r="8" spans="1:19" ht="17.25" thickBot="1">
      <c r="A8" s="117" t="s">
        <v>24</v>
      </c>
      <c r="B8" s="253" t="s">
        <v>25</v>
      </c>
      <c r="C8" s="254"/>
      <c r="D8" s="254"/>
      <c r="E8" s="254"/>
      <c r="F8" s="255"/>
      <c r="G8" s="250" t="s">
        <v>285</v>
      </c>
      <c r="H8" s="251"/>
      <c r="I8" s="252"/>
      <c r="J8" s="4" t="s">
        <v>24</v>
      </c>
      <c r="K8" s="253" t="s">
        <v>26</v>
      </c>
      <c r="L8" s="254"/>
      <c r="M8" s="254"/>
      <c r="N8" s="254"/>
      <c r="O8" s="255"/>
      <c r="Q8" s="241" t="s">
        <v>27</v>
      </c>
      <c r="R8" s="243"/>
    </row>
    <row r="9" spans="1:19" ht="17.25" thickBot="1">
      <c r="A9" s="117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257"/>
      <c r="I9" s="258"/>
      <c r="J9" s="4" t="s">
        <v>28</v>
      </c>
      <c r="K9" s="253" t="s">
        <v>293</v>
      </c>
      <c r="L9" s="254"/>
      <c r="M9" s="254"/>
      <c r="N9" s="254"/>
      <c r="O9" s="255"/>
      <c r="Q9" s="2" t="s">
        <v>29</v>
      </c>
      <c r="R9" s="6">
        <v>10</v>
      </c>
    </row>
    <row r="10" spans="1:19">
      <c r="A10" s="117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/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8" t="s">
        <v>32</v>
      </c>
      <c r="B11" s="259"/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257"/>
      <c r="I11" s="258"/>
      <c r="J11" s="7" t="s">
        <v>32</v>
      </c>
      <c r="K11" s="259"/>
      <c r="L11" s="260"/>
      <c r="M11" s="260"/>
      <c r="N11" s="260"/>
      <c r="O11" s="261"/>
      <c r="Q11" s="61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59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62017000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-1.6680144000000001E-2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2021-05-06(목) 오전 00:00</v>
      </c>
      <c r="C15" s="308"/>
      <c r="D15" s="264" t="str">
        <f>TEXT($G$1, "[$-ko-KR]yyyy-mm-dd(ddd) ") &amp; "오후 14:00"</f>
        <v>2021-05-06(목) 오후 14:00</v>
      </c>
      <c r="E15" s="265"/>
      <c r="F15" s="266"/>
      <c r="G15" s="264" t="str">
        <f>TEXT($G$1, "[$-ko-KR]yyyy-mm-dd(ddd) ") &amp; "오후 19:00"</f>
        <v>2021-05-06(목) 오후 19:00</v>
      </c>
      <c r="H15" s="265"/>
      <c r="I15" s="266"/>
      <c r="J15" s="264" t="str">
        <f>TEXT($G$1, "[$-ko-KR]yyyy-mm-dd(ddd) ") &amp; "오후 21:00"</f>
        <v>2021-05-06(목) 오후 21:00</v>
      </c>
      <c r="K15" s="265"/>
      <c r="L15" s="266"/>
      <c r="M15" s="264" t="str">
        <f>TEXT($G$1+1, "[$-ko-KR]yyyy-mm-dd(ddd) ") &amp; "오전 00:00"</f>
        <v>2021-05-07(금)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7"/>
      <c r="R16" s="267"/>
      <c r="S16" s="267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262"/>
      <c r="R17" s="262"/>
      <c r="S17" s="262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262"/>
      <c r="R18" s="262"/>
      <c r="S18" s="262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267"/>
      <c r="R19" s="267"/>
      <c r="S19" s="267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267"/>
      <c r="R20" s="267"/>
      <c r="S20" s="267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267"/>
      <c r="R21" s="267"/>
      <c r="S21" s="267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267"/>
      <c r="R22" s="267"/>
      <c r="S22" s="267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267"/>
      <c r="R23" s="267"/>
      <c r="S23" s="267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267"/>
      <c r="R24" s="267"/>
      <c r="S24" s="267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276"/>
      <c r="R26" s="277"/>
      <c r="S26" s="278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279"/>
      <c r="R27" s="280"/>
      <c r="S27" s="281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282"/>
      <c r="R28" s="283"/>
      <c r="S28" s="284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267"/>
      <c r="R29" s="267"/>
      <c r="S29" s="267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262"/>
      <c r="R30" s="262"/>
      <c r="S30" s="262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262"/>
      <c r="R31" s="262"/>
      <c r="S31" s="262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267"/>
      <c r="R32" s="267"/>
      <c r="S32" s="267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267"/>
      <c r="R33" s="267"/>
      <c r="S33" s="267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267"/>
      <c r="R34" s="267"/>
      <c r="S34" s="267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289"/>
      <c r="R35" s="290"/>
      <c r="S35" s="291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292"/>
      <c r="R36" s="293"/>
      <c r="S36" s="294"/>
    </row>
    <row r="37" spans="1:19" ht="17.25" customHeight="1" thickBot="1">
      <c r="A37" s="131" t="s">
        <v>42</v>
      </c>
      <c r="B37" s="300">
        <v>150000</v>
      </c>
      <c r="C37" s="301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59" t="s">
        <v>298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62017000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-1.6680144000000001E-2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2021-05-06(목) 오전 00:00</v>
      </c>
      <c r="C42" s="305"/>
      <c r="D42" s="264" t="str">
        <f>TEXT($G$1, "[$-ko-KR]yyyy-mm-dd(ddd) ") &amp; "오후 14:00"</f>
        <v>2021-05-06(목) 오후 14:00</v>
      </c>
      <c r="E42" s="265"/>
      <c r="F42" s="266"/>
      <c r="G42" s="264" t="str">
        <f>TEXT($G$1, "[$-ko-KR]yyyy-mm-dd(ddd) ") &amp; "오후 19:00"</f>
        <v>2021-05-06(목) 오후 19:00</v>
      </c>
      <c r="H42" s="265"/>
      <c r="I42" s="266"/>
      <c r="J42" s="264" t="str">
        <f>TEXT($G$1, "[$-ko-KR]yyyy-mm-dd(ddd) ") &amp; "오후 21:00"</f>
        <v>2021-05-06(목) 오후 21:00</v>
      </c>
      <c r="K42" s="265"/>
      <c r="L42" s="266"/>
      <c r="M42" s="264" t="str">
        <f>TEXT($G$1+1, "[$-ko-KR]yyyy-mm-dd(ddd) ") &amp; "오전 00:00"</f>
        <v>2021-05-07(금)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7"/>
      <c r="R43" s="267"/>
      <c r="S43" s="267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262"/>
      <c r="R44" s="262"/>
      <c r="S44" s="262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262"/>
      <c r="R45" s="262"/>
      <c r="S45" s="262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267"/>
      <c r="R46" s="267"/>
      <c r="S46" s="267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267"/>
      <c r="R47" s="267"/>
      <c r="S47" s="267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267"/>
      <c r="R48" s="267"/>
      <c r="S48" s="267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267"/>
      <c r="R49" s="267"/>
      <c r="S49" s="267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267"/>
      <c r="R50" s="267"/>
      <c r="S50" s="267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267"/>
      <c r="R51" s="267"/>
      <c r="S51" s="267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276"/>
      <c r="R53" s="277"/>
      <c r="S53" s="278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279"/>
      <c r="R54" s="280"/>
      <c r="S54" s="281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282"/>
      <c r="R55" s="283"/>
      <c r="S55" s="284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267"/>
      <c r="R56" s="267"/>
      <c r="S56" s="267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262"/>
      <c r="R57" s="262"/>
      <c r="S57" s="262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262"/>
      <c r="R58" s="262"/>
      <c r="S58" s="262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267"/>
      <c r="R59" s="267"/>
      <c r="S59" s="267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267"/>
      <c r="R60" s="267"/>
      <c r="S60" s="267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267"/>
      <c r="R61" s="267"/>
      <c r="S61" s="267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89"/>
      <c r="R62" s="290"/>
      <c r="S62" s="29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92"/>
      <c r="R63" s="293"/>
      <c r="S63" s="294"/>
    </row>
    <row r="64" spans="1:19" ht="17.25" customHeight="1" thickBot="1">
      <c r="A64" s="131" t="s">
        <v>301</v>
      </c>
      <c r="B64" s="300">
        <f>$B$37</f>
        <v>150000</v>
      </c>
      <c r="C64" s="301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59" t="s">
        <v>298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62017000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-1.6680144000000001E-2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2021-05-06(목) 오전 00:00</v>
      </c>
      <c r="C69" s="305"/>
      <c r="D69" s="264" t="str">
        <f>TEXT($G$1, "[$-ko-KR]yyyy-mm-dd(ddd) ") &amp; "오후 14:00"</f>
        <v>2021-05-06(목) 오후 14:00</v>
      </c>
      <c r="E69" s="265"/>
      <c r="F69" s="266"/>
      <c r="G69" s="264" t="str">
        <f>TEXT($G$1, "[$-ko-KR]yyyy-mm-dd(ddd) ") &amp; "오후 19:00"</f>
        <v>2021-05-06(목) 오후 19:00</v>
      </c>
      <c r="H69" s="265"/>
      <c r="I69" s="266"/>
      <c r="J69" s="264" t="str">
        <f>TEXT($G$1, "[$-ko-KR]yyyy-mm-dd(ddd) ") &amp; "오후 21:00"</f>
        <v>2021-05-06(목) 오후 21:00</v>
      </c>
      <c r="K69" s="265"/>
      <c r="L69" s="266"/>
      <c r="M69" s="264" t="str">
        <f>TEXT($G$1+1, "[$-ko-KR]yyyy-mm-dd(ddd) ") &amp; "오전 00:00"</f>
        <v>2021-05-07(금) 오전 00:00</v>
      </c>
      <c r="N69" s="265"/>
      <c r="O69" s="266"/>
      <c r="Q69" s="262"/>
      <c r="R69" s="262"/>
      <c r="S69" s="262"/>
    </row>
    <row r="70" spans="1:19" ht="17.25" thickBot="1">
      <c r="A70" s="30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7"/>
      <c r="R70" s="267"/>
      <c r="S70" s="267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262"/>
      <c r="R71" s="262"/>
      <c r="S71" s="262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262"/>
      <c r="R72" s="262"/>
      <c r="S72" s="262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267"/>
      <c r="R73" s="267"/>
      <c r="S73" s="267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267"/>
      <c r="R74" s="267"/>
      <c r="S74" s="267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267"/>
      <c r="R75" s="267"/>
      <c r="S75" s="267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267"/>
      <c r="R76" s="267"/>
      <c r="S76" s="267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267"/>
      <c r="R77" s="267"/>
      <c r="S77" s="267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267"/>
      <c r="R78" s="267"/>
      <c r="S78" s="267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276"/>
      <c r="R80" s="277"/>
      <c r="S80" s="278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279"/>
      <c r="R81" s="280"/>
      <c r="S81" s="281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282"/>
      <c r="R82" s="283"/>
      <c r="S82" s="284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267"/>
      <c r="R83" s="267"/>
      <c r="S83" s="267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262"/>
      <c r="R84" s="262"/>
      <c r="S84" s="262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262"/>
      <c r="R85" s="262"/>
      <c r="S85" s="262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267"/>
      <c r="R86" s="267"/>
      <c r="S86" s="267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267"/>
      <c r="R87" s="267"/>
      <c r="S87" s="267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267"/>
      <c r="R88" s="267"/>
      <c r="S88" s="267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289"/>
      <c r="R89" s="290"/>
      <c r="S89" s="291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292"/>
      <c r="R90" s="293"/>
      <c r="S90" s="294"/>
    </row>
    <row r="91" spans="1:19" ht="17.25" thickBot="1">
      <c r="A91" s="131" t="s">
        <v>301</v>
      </c>
      <c r="B91" s="300">
        <f>$B$37</f>
        <v>150000</v>
      </c>
      <c r="C91" s="301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59" t="s">
        <v>298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62017000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-1.6680144000000001E-2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2021-05-06(목) 오전 00:00</v>
      </c>
      <c r="C96" s="305"/>
      <c r="D96" s="264" t="str">
        <f>TEXT($G$1, "[$-ko-KR]yyyy-mm-dd(ddd) ") &amp; "오후 14:00"</f>
        <v>2021-05-06(목) 오후 14:00</v>
      </c>
      <c r="E96" s="265"/>
      <c r="F96" s="266"/>
      <c r="G96" s="264" t="str">
        <f>TEXT($G$1, "[$-ko-KR]yyyy-mm-dd(ddd) ") &amp; "오후 19:00"</f>
        <v>2021-05-06(목) 오후 19:00</v>
      </c>
      <c r="H96" s="265"/>
      <c r="I96" s="266"/>
      <c r="J96" s="264" t="str">
        <f>TEXT($G$1, "[$-ko-KR]yyyy-mm-dd(ddd) ") &amp; "오후 21:00"</f>
        <v>2021-05-06(목) 오후 21:00</v>
      </c>
      <c r="K96" s="265"/>
      <c r="L96" s="266"/>
      <c r="M96" s="264" t="str">
        <f>TEXT($G$1+1, "[$-ko-KR]yyyy-mm-dd(ddd) ") &amp; "오전 00:00"</f>
        <v>2021-05-07(금) 오전 00:00</v>
      </c>
      <c r="N96" s="265"/>
      <c r="O96" s="266"/>
      <c r="Q96" s="262"/>
      <c r="R96" s="262"/>
      <c r="S96" s="262"/>
    </row>
    <row r="97" spans="1:19" ht="17.25" thickBot="1">
      <c r="A97" s="30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7"/>
      <c r="R97" s="267"/>
      <c r="S97" s="267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262"/>
      <c r="R98" s="262"/>
      <c r="S98" s="262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262"/>
      <c r="R99" s="262"/>
      <c r="S99" s="262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267"/>
      <c r="R100" s="267"/>
      <c r="S100" s="267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267"/>
      <c r="R101" s="267"/>
      <c r="S101" s="267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267"/>
      <c r="R102" s="267"/>
      <c r="S102" s="267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267"/>
      <c r="R103" s="267"/>
      <c r="S103" s="267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267"/>
      <c r="R104" s="267"/>
      <c r="S104" s="267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267"/>
      <c r="R105" s="267"/>
      <c r="S105" s="267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276"/>
      <c r="R107" s="277"/>
      <c r="S107" s="278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279"/>
      <c r="R108" s="280"/>
      <c r="S108" s="281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282"/>
      <c r="R109" s="283"/>
      <c r="S109" s="284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267"/>
      <c r="R110" s="267"/>
      <c r="S110" s="267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262"/>
      <c r="R111" s="262"/>
      <c r="S111" s="262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262"/>
      <c r="R112" s="262"/>
      <c r="S112" s="262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267"/>
      <c r="R113" s="267"/>
      <c r="S113" s="267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267"/>
      <c r="R114" s="267"/>
      <c r="S114" s="267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267"/>
      <c r="R115" s="267"/>
      <c r="S115" s="267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289"/>
      <c r="R116" s="290"/>
      <c r="S116" s="291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292"/>
      <c r="R117" s="293"/>
      <c r="S117" s="294"/>
    </row>
    <row r="118" spans="1:19" ht="17.25" thickBot="1">
      <c r="A118" s="131" t="s">
        <v>301</v>
      </c>
      <c r="B118" s="300">
        <f>$B$37</f>
        <v>150000</v>
      </c>
      <c r="C118" s="301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295"/>
      <c r="R118" s="296"/>
      <c r="S118" s="297"/>
    </row>
    <row r="120" spans="1:19" ht="17.25" thickBot="1"/>
    <row r="121" spans="1:19" ht="17.25" thickBot="1">
      <c r="A121" s="241" t="s">
        <v>288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59" t="s">
        <v>298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62017000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-1.6680144000000001E-2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2021-05-06(목) 오전 00:00</v>
      </c>
      <c r="C123" s="305"/>
      <c r="D123" s="264" t="str">
        <f>TEXT($G$1, "[$-ko-KR]yyyy-mm-dd(ddd) ") &amp; "오후 14:00"</f>
        <v>2021-05-06(목) 오후 14:00</v>
      </c>
      <c r="E123" s="265"/>
      <c r="F123" s="266"/>
      <c r="G123" s="264" t="str">
        <f>TEXT($G$1, "[$-ko-KR]yyyy-mm-dd(ddd) ") &amp; "오후 19:00"</f>
        <v>2021-05-06(목) 오후 19:00</v>
      </c>
      <c r="H123" s="265"/>
      <c r="I123" s="266"/>
      <c r="J123" s="264" t="str">
        <f>TEXT($G$1, "[$-ko-KR]yyyy-mm-dd(ddd) ") &amp; "오후 21:00"</f>
        <v>2021-05-06(목) 오후 21:00</v>
      </c>
      <c r="K123" s="265"/>
      <c r="L123" s="266"/>
      <c r="M123" s="264" t="str">
        <f>TEXT($G$1+1, "[$-ko-KR]yyyy-mm-dd(ddd) ") &amp; "오전 00:00"</f>
        <v>2021-05-07(금)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7"/>
      <c r="R124" s="267"/>
      <c r="S124" s="267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262"/>
      <c r="R125" s="262"/>
      <c r="S125" s="262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262"/>
      <c r="R126" s="262"/>
      <c r="S126" s="262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267"/>
      <c r="R127" s="267"/>
      <c r="S127" s="267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267"/>
      <c r="R128" s="267"/>
      <c r="S128" s="267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267"/>
      <c r="R129" s="267"/>
      <c r="S129" s="267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267"/>
      <c r="R130" s="267"/>
      <c r="S130" s="267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267"/>
      <c r="R131" s="267"/>
      <c r="S131" s="267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267"/>
      <c r="R132" s="267"/>
      <c r="S132" s="267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276"/>
      <c r="R134" s="277"/>
      <c r="S134" s="278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279"/>
      <c r="R135" s="280"/>
      <c r="S135" s="281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282"/>
      <c r="R136" s="283"/>
      <c r="S136" s="284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267"/>
      <c r="R137" s="267"/>
      <c r="S137" s="267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262"/>
      <c r="R138" s="262"/>
      <c r="S138" s="262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262"/>
      <c r="R139" s="262"/>
      <c r="S139" s="262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267"/>
      <c r="R140" s="267"/>
      <c r="S140" s="267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267"/>
      <c r="R141" s="267"/>
      <c r="S141" s="267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267"/>
      <c r="R142" s="267"/>
      <c r="S142" s="267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89"/>
      <c r="R143" s="290"/>
      <c r="S143" s="29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92"/>
      <c r="R144" s="293"/>
      <c r="S144" s="294"/>
    </row>
    <row r="145" spans="1:19" ht="17.25" thickBot="1">
      <c r="A145" s="131" t="s">
        <v>301</v>
      </c>
      <c r="B145" s="300">
        <f>$B$37</f>
        <v>150000</v>
      </c>
      <c r="C145" s="301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295"/>
      <c r="R145" s="296"/>
      <c r="S145" s="297"/>
    </row>
    <row r="147" spans="1:19" ht="17.25" thickBot="1"/>
    <row r="148" spans="1:19" ht="17.25" thickBot="1">
      <c r="A148" s="241" t="s">
        <v>289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59" t="s">
        <v>298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62017000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-1.6680144000000001E-2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2021-05-06(목) 오전 00:00</v>
      </c>
      <c r="C150" s="305"/>
      <c r="D150" s="264" t="str">
        <f>TEXT($G$1, "[$-ko-KR]yyyy-mm-dd(ddd) ") &amp; "오후 14:00"</f>
        <v>2021-05-06(목) 오후 14:00</v>
      </c>
      <c r="E150" s="265"/>
      <c r="F150" s="266"/>
      <c r="G150" s="264" t="str">
        <f>TEXT($G$1, "[$-ko-KR]yyyy-mm-dd(ddd) ") &amp; "오후 19:00"</f>
        <v>2021-05-06(목) 오후 19:00</v>
      </c>
      <c r="H150" s="265"/>
      <c r="I150" s="266"/>
      <c r="J150" s="264" t="str">
        <f>TEXT($G$1, "[$-ko-KR]yyyy-mm-dd(ddd) ") &amp; "오후 21:00"</f>
        <v>2021-05-06(목) 오후 21:00</v>
      </c>
      <c r="K150" s="265"/>
      <c r="L150" s="266"/>
      <c r="M150" s="264" t="str">
        <f>TEXT($G$1+1, "[$-ko-KR]yyyy-mm-dd(ddd) ") &amp; "오전 00:00"</f>
        <v>2021-05-07(금)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7"/>
      <c r="R151" s="267"/>
      <c r="S151" s="267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262"/>
      <c r="R152" s="262"/>
      <c r="S152" s="262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262"/>
      <c r="R153" s="262"/>
      <c r="S153" s="262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267"/>
      <c r="R154" s="267"/>
      <c r="S154" s="267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267"/>
      <c r="R155" s="267"/>
      <c r="S155" s="267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267"/>
      <c r="R156" s="267"/>
      <c r="S156" s="267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267"/>
      <c r="R157" s="267"/>
      <c r="S157" s="267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267"/>
      <c r="R158" s="267"/>
      <c r="S158" s="267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267"/>
      <c r="R159" s="267"/>
      <c r="S159" s="267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276"/>
      <c r="R161" s="277"/>
      <c r="S161" s="278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279"/>
      <c r="R162" s="280"/>
      <c r="S162" s="281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282"/>
      <c r="R163" s="283"/>
      <c r="S163" s="284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267"/>
      <c r="R164" s="267"/>
      <c r="S164" s="267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262"/>
      <c r="R165" s="262"/>
      <c r="S165" s="262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262"/>
      <c r="R166" s="262"/>
      <c r="S166" s="262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267"/>
      <c r="R167" s="267"/>
      <c r="S167" s="267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267"/>
      <c r="R168" s="267"/>
      <c r="S168" s="267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267"/>
      <c r="R169" s="267"/>
      <c r="S169" s="267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289"/>
      <c r="R170" s="290"/>
      <c r="S170" s="291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292"/>
      <c r="R171" s="293"/>
      <c r="S171" s="294"/>
    </row>
    <row r="172" spans="1:19" ht="17.25" thickBot="1">
      <c r="A172" s="131" t="s">
        <v>301</v>
      </c>
      <c r="B172" s="300">
        <f>$B$37</f>
        <v>150000</v>
      </c>
      <c r="C172" s="301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295"/>
      <c r="R172" s="296"/>
      <c r="S172" s="297"/>
    </row>
    <row r="174" spans="1:19" ht="17.25" thickBot="1"/>
    <row r="175" spans="1:19" ht="17.25" thickBot="1">
      <c r="A175" s="241" t="s">
        <v>285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59" t="s">
        <v>298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62017000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-1.6680144000000001E-2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2021-05-06(목) 오전 00:00</v>
      </c>
      <c r="C177" s="305"/>
      <c r="D177" s="264" t="str">
        <f>TEXT($G$1, "[$-ko-KR]yyyy-mm-dd(ddd) ") &amp; "오후 14:00"</f>
        <v>2021-05-06(목) 오후 14:00</v>
      </c>
      <c r="E177" s="265"/>
      <c r="F177" s="266"/>
      <c r="G177" s="264" t="str">
        <f>TEXT($G$1, "[$-ko-KR]yyyy-mm-dd(ddd) ") &amp; "오후 19:00"</f>
        <v>2021-05-06(목) 오후 19:00</v>
      </c>
      <c r="H177" s="265"/>
      <c r="I177" s="266"/>
      <c r="J177" s="264" t="str">
        <f>TEXT($G$1, "[$-ko-KR]yyyy-mm-dd(ddd) ") &amp; "오후 21:00"</f>
        <v>2021-05-06(목) 오후 21:00</v>
      </c>
      <c r="K177" s="265"/>
      <c r="L177" s="266"/>
      <c r="M177" s="264" t="str">
        <f>TEXT($G$1+1, "[$-ko-KR]yyyy-mm-dd(ddd) ") &amp; "오전 00:00"</f>
        <v>2021-05-07(금)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7"/>
      <c r="R178" s="267"/>
      <c r="S178" s="267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262"/>
      <c r="R179" s="262"/>
      <c r="S179" s="262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262"/>
      <c r="R180" s="262"/>
      <c r="S180" s="262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267"/>
      <c r="R181" s="267"/>
      <c r="S181" s="267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267"/>
      <c r="R182" s="267"/>
      <c r="S182" s="267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267"/>
      <c r="R183" s="267"/>
      <c r="S183" s="267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267"/>
      <c r="R184" s="267"/>
      <c r="S184" s="267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67"/>
      <c r="R185" s="267"/>
      <c r="S185" s="267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267"/>
      <c r="R186" s="267"/>
      <c r="S186" s="267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276"/>
      <c r="R188" s="277"/>
      <c r="S188" s="278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279"/>
      <c r="R189" s="280"/>
      <c r="S189" s="281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282"/>
      <c r="R190" s="283"/>
      <c r="S190" s="284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267"/>
      <c r="R191" s="267"/>
      <c r="S191" s="267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262"/>
      <c r="R192" s="262"/>
      <c r="S192" s="262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262"/>
      <c r="R193" s="262"/>
      <c r="S193" s="262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267"/>
      <c r="R194" s="267"/>
      <c r="S194" s="267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267"/>
      <c r="R195" s="267"/>
      <c r="S195" s="267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267"/>
      <c r="R196" s="267"/>
      <c r="S196" s="267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289"/>
      <c r="R197" s="290"/>
      <c r="S197" s="291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292"/>
      <c r="R198" s="293"/>
      <c r="S198" s="294"/>
    </row>
    <row r="199" spans="1:19" ht="17.25" thickBot="1">
      <c r="A199" s="131" t="s">
        <v>301</v>
      </c>
      <c r="B199" s="300">
        <f>$B$37</f>
        <v>150000</v>
      </c>
      <c r="C199" s="301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1" priority="157">
      <formula>AND($N17 &gt; 0, ISNUMBER($N17))</formula>
    </cfRule>
    <cfRule type="expression" dxfId="1780" priority="158">
      <formula>AND($N17 = 0 * ISNUMBER($N17))</formula>
    </cfRule>
    <cfRule type="expression" dxfId="1779" priority="159">
      <formula>AND($N17 &lt; 0, ISNUMBER($N17))</formula>
    </cfRule>
  </conditionalFormatting>
  <conditionalFormatting sqref="A17:F36">
    <cfRule type="expression" dxfId="1778" priority="166">
      <formula>AND($E17 &gt; 0, ISNUMBER($E17))</formula>
    </cfRule>
    <cfRule type="expression" dxfId="1777" priority="167">
      <formula>AND($E17 = 0 * ISNUMBER($E17))</formula>
    </cfRule>
    <cfRule type="expression" dxfId="1776" priority="168">
      <formula>AND($E17 &lt; 0, ISNUMBER($E17))</formula>
    </cfRule>
  </conditionalFormatting>
  <conditionalFormatting sqref="A17:C36 G17:I36">
    <cfRule type="expression" dxfId="1775" priority="163">
      <formula>AND($H17 &gt; 0, ISNUMBER($H17))</formula>
    </cfRule>
    <cfRule type="expression" dxfId="1774" priority="164">
      <formula>AND($H17 = 0 * ISNUMBER($H17))</formula>
    </cfRule>
    <cfRule type="expression" dxfId="1773" priority="165">
      <formula>AND($H17 &lt; 0, ISNUMBER($H17))</formula>
    </cfRule>
  </conditionalFormatting>
  <conditionalFormatting sqref="A17:C36 J17:L36">
    <cfRule type="expression" dxfId="1772" priority="160">
      <formula>AND($K17 &gt; 0, ISNUMBER($K17))</formula>
    </cfRule>
    <cfRule type="expression" dxfId="1771" priority="161">
      <formula>AND($K17 = 0 * ISNUMBER($K17))</formula>
    </cfRule>
    <cfRule type="expression" dxfId="1770" priority="162">
      <formula>AND($K17 &lt; 0, ISNUMBER($K17))</formula>
    </cfRule>
  </conditionalFormatting>
  <conditionalFormatting sqref="D15:F16 E37:F37">
    <cfRule type="expression" dxfId="1769" priority="154">
      <formula>$E$37 &gt; 0</formula>
    </cfRule>
    <cfRule type="expression" dxfId="1768" priority="155">
      <formula>$E$37 = 0</formula>
    </cfRule>
    <cfRule type="expression" dxfId="1767" priority="156">
      <formula>$E$37 &lt; 0</formula>
    </cfRule>
  </conditionalFormatting>
  <conditionalFormatting sqref="G15:I16 H37:I37">
    <cfRule type="expression" dxfId="1766" priority="151">
      <formula>$H$37 &gt; 0</formula>
    </cfRule>
    <cfRule type="expression" dxfId="1765" priority="152">
      <formula>$H$37 = 0</formula>
    </cfRule>
    <cfRule type="expression" dxfId="1764" priority="153">
      <formula>$H$37 &lt; 0</formula>
    </cfRule>
  </conditionalFormatting>
  <conditionalFormatting sqref="J15:L16 K37:L37">
    <cfRule type="expression" dxfId="1763" priority="148">
      <formula>$K$37 &gt; 0</formula>
    </cfRule>
    <cfRule type="expression" dxfId="1762" priority="149">
      <formula>$K$37 = 0</formula>
    </cfRule>
    <cfRule type="expression" dxfId="1761" priority="150">
      <formula>$K$37 &lt; 0</formula>
    </cfRule>
  </conditionalFormatting>
  <conditionalFormatting sqref="M15:O16 N37:O37">
    <cfRule type="expression" dxfId="1760" priority="145">
      <formula>$N$37 &gt; 0</formula>
    </cfRule>
    <cfRule type="expression" dxfId="1759" priority="146">
      <formula>$N$37 = 0</formula>
    </cfRule>
    <cfRule type="expression" dxfId="1758" priority="147">
      <formula>$N$37 &lt; 0</formula>
    </cfRule>
  </conditionalFormatting>
  <conditionalFormatting sqref="A44:C63 M44:O63">
    <cfRule type="expression" dxfId="1757" priority="133">
      <formula>AND($N44 &gt; 0, ISNUMBER($N44))</formula>
    </cfRule>
    <cfRule type="expression" dxfId="1756" priority="134">
      <formula>AND($N44 = 0 * ISNUMBER($N44))</formula>
    </cfRule>
    <cfRule type="expression" dxfId="1755" priority="135">
      <formula>AND($N44 &lt; 0, ISNUMBER($N44))</formula>
    </cfRule>
  </conditionalFormatting>
  <conditionalFormatting sqref="A44:F63">
    <cfRule type="expression" dxfId="1754" priority="142">
      <formula>AND($E44 &gt; 0, ISNUMBER($E44))</formula>
    </cfRule>
    <cfRule type="expression" dxfId="1753" priority="143">
      <formula>AND($E44 = 0 * ISNUMBER($E44))</formula>
    </cfRule>
    <cfRule type="expression" dxfId="1752" priority="144">
      <formula>AND($E44 &lt; 0, ISNUMBER($E44))</formula>
    </cfRule>
  </conditionalFormatting>
  <conditionalFormatting sqref="A44:C63 G44:I63">
    <cfRule type="expression" dxfId="1751" priority="139">
      <formula>AND($H44 &gt; 0, ISNUMBER($H44))</formula>
    </cfRule>
    <cfRule type="expression" dxfId="1750" priority="140">
      <formula>AND($H44 = 0 * ISNUMBER($H44))</formula>
    </cfRule>
    <cfRule type="expression" dxfId="1749" priority="141">
      <formula>AND($H44 &lt; 0, ISNUMBER($H44))</formula>
    </cfRule>
  </conditionalFormatting>
  <conditionalFormatting sqref="A44:C63 J44:L63">
    <cfRule type="expression" dxfId="1748" priority="136">
      <formula>AND($K44 &gt; 0, ISNUMBER($K44))</formula>
    </cfRule>
    <cfRule type="expression" dxfId="1747" priority="137">
      <formula>AND($K44 = 0 * ISNUMBER($K44))</formula>
    </cfRule>
    <cfRule type="expression" dxfId="1746" priority="138">
      <formula>AND($K44 &lt; 0, ISNUMBER($K44))</formula>
    </cfRule>
  </conditionalFormatting>
  <conditionalFormatting sqref="D42:F43 E64:F64">
    <cfRule type="expression" dxfId="1745" priority="130">
      <formula>$E$64 &gt; 0</formula>
    </cfRule>
    <cfRule type="expression" dxfId="1744" priority="131">
      <formula>$E$64 = 0</formula>
    </cfRule>
    <cfRule type="expression" dxfId="1743" priority="132">
      <formula>$E$64 &lt; 0</formula>
    </cfRule>
  </conditionalFormatting>
  <conditionalFormatting sqref="G42:I43 H64:I64">
    <cfRule type="expression" dxfId="1742" priority="127">
      <formula>$H$64 &gt; 0</formula>
    </cfRule>
    <cfRule type="expression" dxfId="1741" priority="128">
      <formula>$H$64 = 0</formula>
    </cfRule>
    <cfRule type="expression" dxfId="1740" priority="129">
      <formula>$H$64 &lt; 0</formula>
    </cfRule>
  </conditionalFormatting>
  <conditionalFormatting sqref="J42:L43 K64:L64">
    <cfRule type="expression" dxfId="1739" priority="124">
      <formula>$K$64 &gt; 0</formula>
    </cfRule>
    <cfRule type="expression" dxfId="1738" priority="125">
      <formula>$K$64 = 0</formula>
    </cfRule>
    <cfRule type="expression" dxfId="1737" priority="126">
      <formula>$K$64 &lt; 0</formula>
    </cfRule>
  </conditionalFormatting>
  <conditionalFormatting sqref="M42:O43 N64:O64">
    <cfRule type="expression" dxfId="1736" priority="121">
      <formula>$N$64 &gt; 0</formula>
    </cfRule>
    <cfRule type="expression" dxfId="1735" priority="122">
      <formula>$N$64 = 0</formula>
    </cfRule>
    <cfRule type="expression" dxfId="1734" priority="123">
      <formula>$N$64 &lt; 0</formula>
    </cfRule>
  </conditionalFormatting>
  <conditionalFormatting sqref="A71:C90 M71:O90">
    <cfRule type="expression" dxfId="1733" priority="109">
      <formula>AND($N71 &gt; 0, ISNUMBER($N71))</formula>
    </cfRule>
    <cfRule type="expression" dxfId="1732" priority="110">
      <formula>AND($N71 = 0 * ISNUMBER($N71))</formula>
    </cfRule>
    <cfRule type="expression" dxfId="1731" priority="111">
      <formula>AND($N71 &lt; 0, ISNUMBER($N71))</formula>
    </cfRule>
  </conditionalFormatting>
  <conditionalFormatting sqref="A71:F90">
    <cfRule type="expression" dxfId="1730" priority="118">
      <formula>AND($E71 &gt; 0, ISNUMBER($E71))</formula>
    </cfRule>
    <cfRule type="expression" dxfId="1729" priority="119">
      <formula>AND($E71 = 0 * ISNUMBER($E71))</formula>
    </cfRule>
    <cfRule type="expression" dxfId="1728" priority="120">
      <formula>AND($E71 &lt; 0, ISNUMBER($E71))</formula>
    </cfRule>
  </conditionalFormatting>
  <conditionalFormatting sqref="A71:C90 G71:I90">
    <cfRule type="expression" dxfId="1727" priority="115">
      <formula>AND($H71 &gt; 0, ISNUMBER($H71))</formula>
    </cfRule>
    <cfRule type="expression" dxfId="1726" priority="116">
      <formula>AND($H71 = 0 * ISNUMBER($H71))</formula>
    </cfRule>
    <cfRule type="expression" dxfId="1725" priority="117">
      <formula>AND($H71 &lt; 0, ISNUMBER($H71))</formula>
    </cfRule>
  </conditionalFormatting>
  <conditionalFormatting sqref="A71:C90 J71:L90">
    <cfRule type="expression" dxfId="1724" priority="112">
      <formula>AND($K71 &gt; 0, ISNUMBER($K71))</formula>
    </cfRule>
    <cfRule type="expression" dxfId="1723" priority="113">
      <formula>AND($K71 = 0 * ISNUMBER($K71))</formula>
    </cfRule>
    <cfRule type="expression" dxfId="1722" priority="114">
      <formula>AND($K71 &lt; 0, ISNUMBER($K71))</formula>
    </cfRule>
  </conditionalFormatting>
  <conditionalFormatting sqref="D69:F70 E91:F91">
    <cfRule type="expression" dxfId="1721" priority="106">
      <formula>$E$91 &gt; 0</formula>
    </cfRule>
    <cfRule type="expression" dxfId="1720" priority="107">
      <formula>$E$91 = 0</formula>
    </cfRule>
    <cfRule type="expression" dxfId="1719" priority="108">
      <formula>$E$91 &lt; 0</formula>
    </cfRule>
  </conditionalFormatting>
  <conditionalFormatting sqref="G69:I70 H91:I91">
    <cfRule type="expression" dxfId="1718" priority="103">
      <formula>$H$91 &gt; 0</formula>
    </cfRule>
    <cfRule type="expression" dxfId="1717" priority="104">
      <formula>$H$91 = 0</formula>
    </cfRule>
    <cfRule type="expression" dxfId="1716" priority="105">
      <formula>$H$91 &lt; 0</formula>
    </cfRule>
  </conditionalFormatting>
  <conditionalFormatting sqref="J69:L70 K91:L91">
    <cfRule type="expression" dxfId="1715" priority="100">
      <formula>$K$91 &gt; 0</formula>
    </cfRule>
    <cfRule type="expression" dxfId="1714" priority="101">
      <formula>$K$91 = 0</formula>
    </cfRule>
    <cfRule type="expression" dxfId="1713" priority="102">
      <formula>$K$91 &lt; 0</formula>
    </cfRule>
  </conditionalFormatting>
  <conditionalFormatting sqref="M69:O70 N91:O91">
    <cfRule type="expression" dxfId="1712" priority="97">
      <formula>$N$91 &gt; 0</formula>
    </cfRule>
    <cfRule type="expression" dxfId="1711" priority="98">
      <formula>$N$91 = 0</formula>
    </cfRule>
    <cfRule type="expression" dxfId="1710" priority="99">
      <formula>$N$91 &lt; 0</formula>
    </cfRule>
  </conditionalFormatting>
  <conditionalFormatting sqref="A98:C117 M98:O117">
    <cfRule type="expression" dxfId="1709" priority="85">
      <formula>AND($N98 &gt; 0, ISNUMBER($N98))</formula>
    </cfRule>
    <cfRule type="expression" dxfId="1708" priority="86">
      <formula>AND($N98 = 0 * ISNUMBER($N98))</formula>
    </cfRule>
    <cfRule type="expression" dxfId="1707" priority="87">
      <formula>AND($N98 &lt; 0, ISNUMBER($N98))</formula>
    </cfRule>
  </conditionalFormatting>
  <conditionalFormatting sqref="A98:F117">
    <cfRule type="expression" dxfId="1706" priority="94">
      <formula>AND($E98 &gt; 0, ISNUMBER($E98))</formula>
    </cfRule>
    <cfRule type="expression" dxfId="1705" priority="95">
      <formula>AND($E98 = 0 * ISNUMBER($E98))</formula>
    </cfRule>
    <cfRule type="expression" dxfId="1704" priority="96">
      <formula>AND($E98 &lt; 0, ISNUMBER($E98))</formula>
    </cfRule>
  </conditionalFormatting>
  <conditionalFormatting sqref="A98:C117 G98:I117">
    <cfRule type="expression" dxfId="1703" priority="91">
      <formula>AND($H98 &gt; 0, ISNUMBER($H98))</formula>
    </cfRule>
    <cfRule type="expression" dxfId="1702" priority="92">
      <formula>AND($H98 = 0 * ISNUMBER($H98))</formula>
    </cfRule>
    <cfRule type="expression" dxfId="1701" priority="93">
      <formula>AND($H98 &lt; 0, ISNUMBER($H98))</formula>
    </cfRule>
  </conditionalFormatting>
  <conditionalFormatting sqref="A98:C117 J98:L117">
    <cfRule type="expression" dxfId="1700" priority="88">
      <formula>AND($K98 &gt; 0, ISNUMBER($K98))</formula>
    </cfRule>
    <cfRule type="expression" dxfId="1699" priority="89">
      <formula>AND($K98 = 0 * ISNUMBER($K98))</formula>
    </cfRule>
    <cfRule type="expression" dxfId="1698" priority="90">
      <formula>AND($K98 &lt; 0, ISNUMBER($K98))</formula>
    </cfRule>
  </conditionalFormatting>
  <conditionalFormatting sqref="D96:F97 E118:F118">
    <cfRule type="expression" dxfId="1697" priority="82">
      <formula>$E$118 &gt; 0</formula>
    </cfRule>
    <cfRule type="expression" dxfId="1696" priority="83">
      <formula>$E$118 = 0</formula>
    </cfRule>
    <cfRule type="expression" dxfId="1695" priority="84">
      <formula>$E$118 &lt; 0</formula>
    </cfRule>
  </conditionalFormatting>
  <conditionalFormatting sqref="G96:I97 H118:I118">
    <cfRule type="expression" dxfId="1694" priority="79">
      <formula>$H$118 &gt; 0</formula>
    </cfRule>
    <cfRule type="expression" dxfId="1693" priority="80">
      <formula>$H$118 = 0</formula>
    </cfRule>
    <cfRule type="expression" dxfId="1692" priority="81">
      <formula>$H$118 &lt; 0</formula>
    </cfRule>
  </conditionalFormatting>
  <conditionalFormatting sqref="J96:L97 K118:L118">
    <cfRule type="expression" dxfId="1691" priority="76">
      <formula>$K$118 &gt; 0</formula>
    </cfRule>
    <cfRule type="expression" dxfId="1690" priority="77">
      <formula>$K$118 = 0</formula>
    </cfRule>
    <cfRule type="expression" dxfId="1689" priority="78">
      <formula>$K$118 &lt; 0</formula>
    </cfRule>
  </conditionalFormatting>
  <conditionalFormatting sqref="M96:O97 N118:O118">
    <cfRule type="expression" dxfId="1688" priority="73">
      <formula>$N$118 &gt; 0</formula>
    </cfRule>
    <cfRule type="expression" dxfId="1687" priority="74">
      <formula>$N$118 = 0</formula>
    </cfRule>
    <cfRule type="expression" dxfId="1686" priority="75">
      <formula>$N$118 &lt; 0</formula>
    </cfRule>
  </conditionalFormatting>
  <conditionalFormatting sqref="A125:C144 M125:O144">
    <cfRule type="expression" dxfId="1685" priority="61">
      <formula>AND($N125 &gt; 0, ISNUMBER($N125))</formula>
    </cfRule>
    <cfRule type="expression" dxfId="1684" priority="62">
      <formula>AND($N125 = 0 * ISNUMBER($N125))</formula>
    </cfRule>
    <cfRule type="expression" dxfId="1683" priority="63">
      <formula>AND($N125 &lt; 0, ISNUMBER($N125))</formula>
    </cfRule>
  </conditionalFormatting>
  <conditionalFormatting sqref="A125:F144">
    <cfRule type="expression" dxfId="1682" priority="70">
      <formula>AND($E125 &gt; 0, ISNUMBER($E125))</formula>
    </cfRule>
    <cfRule type="expression" dxfId="1681" priority="71">
      <formula>AND($E125 = 0 * ISNUMBER($E125))</formula>
    </cfRule>
    <cfRule type="expression" dxfId="1680" priority="72">
      <formula>AND($E125 &lt; 0, ISNUMBER($E125))</formula>
    </cfRule>
  </conditionalFormatting>
  <conditionalFormatting sqref="A125:C144 G125:I144">
    <cfRule type="expression" dxfId="1679" priority="67">
      <formula>AND($H125 &gt; 0, ISNUMBER($H125))</formula>
    </cfRule>
    <cfRule type="expression" dxfId="1678" priority="68">
      <formula>AND($H125 = 0 * ISNUMBER($H125))</formula>
    </cfRule>
    <cfRule type="expression" dxfId="1677" priority="69">
      <formula>AND($H125 &lt; 0, ISNUMBER($H125))</formula>
    </cfRule>
  </conditionalFormatting>
  <conditionalFormatting sqref="A125:C144 J125:L144">
    <cfRule type="expression" dxfId="1676" priority="64">
      <formula>AND($K125 &gt; 0, ISNUMBER($K125))</formula>
    </cfRule>
    <cfRule type="expression" dxfId="1675" priority="65">
      <formula>AND($K125 = 0 * ISNUMBER($K125))</formula>
    </cfRule>
    <cfRule type="expression" dxfId="1674" priority="66">
      <formula>AND($K125 &lt; 0, ISNUMBER($K125))</formula>
    </cfRule>
  </conditionalFormatting>
  <conditionalFormatting sqref="D123:F124 E145:F145">
    <cfRule type="expression" dxfId="1673" priority="58">
      <formula>$E$145 &gt; 0</formula>
    </cfRule>
    <cfRule type="expression" dxfId="1672" priority="59">
      <formula>$E$145 = 0</formula>
    </cfRule>
    <cfRule type="expression" dxfId="1671" priority="60">
      <formula>$E$145 &lt; 0</formula>
    </cfRule>
  </conditionalFormatting>
  <conditionalFormatting sqref="G123:I124 H145:I145">
    <cfRule type="expression" dxfId="1670" priority="55">
      <formula>$H$145 &gt; 0</formula>
    </cfRule>
    <cfRule type="expression" dxfId="1669" priority="56">
      <formula>$H$145 = 0</formula>
    </cfRule>
    <cfRule type="expression" dxfId="1668" priority="57">
      <formula>$H$145 &lt; 0</formula>
    </cfRule>
  </conditionalFormatting>
  <conditionalFormatting sqref="J123:L124 K145:L145">
    <cfRule type="expression" dxfId="1667" priority="52">
      <formula>$K$145 &gt; 0</formula>
    </cfRule>
    <cfRule type="expression" dxfId="1666" priority="53">
      <formula>$K$145 = 0</formula>
    </cfRule>
    <cfRule type="expression" dxfId="1665" priority="54">
      <formula>$K$145 &lt; 0</formula>
    </cfRule>
  </conditionalFormatting>
  <conditionalFormatting sqref="M123:O124 N145:O145">
    <cfRule type="expression" dxfId="1664" priority="49">
      <formula>$N$145 &gt; 0</formula>
    </cfRule>
    <cfRule type="expression" dxfId="1663" priority="50">
      <formula>$N$145 = 0</formula>
    </cfRule>
    <cfRule type="expression" dxfId="1662" priority="51">
      <formula>$N$145 &lt; 0</formula>
    </cfRule>
  </conditionalFormatting>
  <conditionalFormatting sqref="A152:C171 M152:O171">
    <cfRule type="expression" dxfId="1661" priority="37">
      <formula>AND($N152 &gt; 0, ISNUMBER($N152))</formula>
    </cfRule>
    <cfRule type="expression" dxfId="1660" priority="38">
      <formula>AND($N152 = 0 * ISNUMBER($N152))</formula>
    </cfRule>
    <cfRule type="expression" dxfId="1659" priority="39">
      <formula>AND($N152 &lt; 0, ISNUMBER($N152))</formula>
    </cfRule>
  </conditionalFormatting>
  <conditionalFormatting sqref="A152:F171">
    <cfRule type="expression" dxfId="1658" priority="46">
      <formula>AND($E152 &gt; 0, ISNUMBER($E152))</formula>
    </cfRule>
    <cfRule type="expression" dxfId="1657" priority="47">
      <formula>AND($E152 = 0 * ISNUMBER($E152))</formula>
    </cfRule>
    <cfRule type="expression" dxfId="1656" priority="48">
      <formula>AND($E152 &lt; 0, ISNUMBER($E152))</formula>
    </cfRule>
  </conditionalFormatting>
  <conditionalFormatting sqref="A152:C171 G152:I171">
    <cfRule type="expression" dxfId="1655" priority="43">
      <formula>AND($H152 &gt; 0, ISNUMBER($H152))</formula>
    </cfRule>
    <cfRule type="expression" dxfId="1654" priority="44">
      <formula>AND($H152 = 0 * ISNUMBER($H152))</formula>
    </cfRule>
    <cfRule type="expression" dxfId="1653" priority="45">
      <formula>AND($H152 &lt; 0, ISNUMBER($H152))</formula>
    </cfRule>
  </conditionalFormatting>
  <conditionalFormatting sqref="A152:C171 J152:L171">
    <cfRule type="expression" dxfId="1652" priority="40">
      <formula>AND($K152 &gt; 0, ISNUMBER($K152))</formula>
    </cfRule>
    <cfRule type="expression" dxfId="1651" priority="41">
      <formula>AND($K152 = 0 * ISNUMBER($K152))</formula>
    </cfRule>
    <cfRule type="expression" dxfId="1650" priority="42">
      <formula>AND($K152 &lt; 0, ISNUMBER($K152))</formula>
    </cfRule>
  </conditionalFormatting>
  <conditionalFormatting sqref="D150:F151 E172:F172">
    <cfRule type="expression" dxfId="1649" priority="34">
      <formula>$E$172 &gt; 0</formula>
    </cfRule>
    <cfRule type="expression" dxfId="1648" priority="35">
      <formula>$E$172 = 0</formula>
    </cfRule>
    <cfRule type="expression" dxfId="1647" priority="36">
      <formula>$E$172 &lt; 0</formula>
    </cfRule>
  </conditionalFormatting>
  <conditionalFormatting sqref="G150:I151 H172:I172">
    <cfRule type="expression" dxfId="1646" priority="31">
      <formula>$H$172 &gt; 0</formula>
    </cfRule>
    <cfRule type="expression" dxfId="1645" priority="32">
      <formula>$H$172 = 0</formula>
    </cfRule>
    <cfRule type="expression" dxfId="1644" priority="33">
      <formula>$H$172 &lt; 0</formula>
    </cfRule>
  </conditionalFormatting>
  <conditionalFormatting sqref="J150:L151 K172:L172">
    <cfRule type="expression" dxfId="1643" priority="28">
      <formula>$K$172 &gt; 0</formula>
    </cfRule>
    <cfRule type="expression" dxfId="1642" priority="29">
      <formula>$K$172 = 0</formula>
    </cfRule>
    <cfRule type="expression" dxfId="1641" priority="30">
      <formula>$K$172 &lt; 0</formula>
    </cfRule>
  </conditionalFormatting>
  <conditionalFormatting sqref="M150:O151 N172:O172">
    <cfRule type="expression" dxfId="1640" priority="25">
      <formula>$N$172 &gt; 0</formula>
    </cfRule>
    <cfRule type="expression" dxfId="1639" priority="26">
      <formula>$N$172 = 0</formula>
    </cfRule>
    <cfRule type="expression" dxfId="1638" priority="27">
      <formula>$N$172 &lt; 0</formula>
    </cfRule>
  </conditionalFormatting>
  <conditionalFormatting sqref="A179:C198 M179:O198">
    <cfRule type="expression" dxfId="1637" priority="13">
      <formula>AND($N179 &gt; 0, ISNUMBER($N179))</formula>
    </cfRule>
    <cfRule type="expression" dxfId="1636" priority="14">
      <formula>AND($N179 = 0 * ISNUMBER($N179))</formula>
    </cfRule>
    <cfRule type="expression" dxfId="1635" priority="15">
      <formula>AND($N179 &lt; 0, ISNUMBER($N179))</formula>
    </cfRule>
  </conditionalFormatting>
  <conditionalFormatting sqref="A179:F198">
    <cfRule type="expression" dxfId="1634" priority="22">
      <formula>AND($E179 &gt; 0, ISNUMBER($E179))</formula>
    </cfRule>
    <cfRule type="expression" dxfId="1633" priority="23">
      <formula>AND($E179 = 0 * ISNUMBER($E179))</formula>
    </cfRule>
    <cfRule type="expression" dxfId="1632" priority="24">
      <formula>AND($E179 &lt; 0, ISNUMBER($E179))</formula>
    </cfRule>
  </conditionalFormatting>
  <conditionalFormatting sqref="A179:C198 G179:I198">
    <cfRule type="expression" dxfId="1631" priority="19">
      <formula>AND($H179 &gt; 0, ISNUMBER($H179))</formula>
    </cfRule>
    <cfRule type="expression" dxfId="1630" priority="20">
      <formula>AND($H179 = 0 * ISNUMBER($H179))</formula>
    </cfRule>
    <cfRule type="expression" dxfId="1629" priority="21">
      <formula>AND($H179 &lt; 0, ISNUMBER($H179))</formula>
    </cfRule>
  </conditionalFormatting>
  <conditionalFormatting sqref="A179:C198 J179:L198">
    <cfRule type="expression" dxfId="1628" priority="16">
      <formula>AND($K179 &gt; 0, ISNUMBER($K179))</formula>
    </cfRule>
    <cfRule type="expression" dxfId="1627" priority="17">
      <formula>AND($K179 = 0 * ISNUMBER($K179))</formula>
    </cfRule>
    <cfRule type="expression" dxfId="1626" priority="18">
      <formula>AND($K179 &lt; 0, ISNUMBER($K179))</formula>
    </cfRule>
  </conditionalFormatting>
  <conditionalFormatting sqref="D177:F178 E199:F199">
    <cfRule type="expression" dxfId="1625" priority="10">
      <formula>$E$199 &gt; 0</formula>
    </cfRule>
    <cfRule type="expression" dxfId="1624" priority="11">
      <formula>$E$199 = 0</formula>
    </cfRule>
    <cfRule type="expression" dxfId="1623" priority="12">
      <formula>$E$199 &lt; 0</formula>
    </cfRule>
  </conditionalFormatting>
  <conditionalFormatting sqref="G177:I178 H199:I199">
    <cfRule type="expression" dxfId="1622" priority="7">
      <formula>$H$199 &gt; 0</formula>
    </cfRule>
    <cfRule type="expression" dxfId="1621" priority="8">
      <formula>$H$199 = 0</formula>
    </cfRule>
    <cfRule type="expression" dxfId="1620" priority="9">
      <formula>$H$199 &lt; 0</formula>
    </cfRule>
  </conditionalFormatting>
  <conditionalFormatting sqref="J177:L178 K199:L199">
    <cfRule type="expression" dxfId="1619" priority="4">
      <formula>$K$199 &gt; 0</formula>
    </cfRule>
    <cfRule type="expression" dxfId="1618" priority="5">
      <formula>$K$199 = 0</formula>
    </cfRule>
    <cfRule type="expression" dxfId="1617" priority="6">
      <formula>$K$199 &lt; 0</formula>
    </cfRule>
  </conditionalFormatting>
  <conditionalFormatting sqref="M177:O178 N199:O199">
    <cfRule type="expression" dxfId="1616" priority="1">
      <formula>$N$199 &gt; 0</formula>
    </cfRule>
    <cfRule type="expression" dxfId="1615" priority="2">
      <formula>$N$199 = 0</formula>
    </cfRule>
    <cfRule type="expression" dxfId="1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44323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6" t="s">
        <v>3</v>
      </c>
      <c r="B2" s="247" t="s">
        <v>4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5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7" t="s">
        <v>7</v>
      </c>
      <c r="B3" s="253" t="s">
        <v>8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257"/>
      <c r="I3" s="258"/>
      <c r="J3" s="4" t="s">
        <v>7</v>
      </c>
      <c r="K3" s="253" t="s">
        <v>9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53" t="s">
        <v>12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13</v>
      </c>
      <c r="L4" s="254"/>
      <c r="M4" s="254"/>
      <c r="N4" s="254"/>
      <c r="O4" s="255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53" t="s">
        <v>16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257"/>
      <c r="I5" s="258"/>
      <c r="J5" s="4" t="s">
        <v>15</v>
      </c>
      <c r="K5" s="253" t="s">
        <v>17</v>
      </c>
      <c r="L5" s="254"/>
      <c r="M5" s="254"/>
      <c r="N5" s="254"/>
      <c r="O5" s="255"/>
    </row>
    <row r="6" spans="1:19">
      <c r="A6" s="117" t="s">
        <v>18</v>
      </c>
      <c r="B6" s="253" t="s">
        <v>19</v>
      </c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20</v>
      </c>
      <c r="L6" s="254"/>
      <c r="M6" s="254"/>
      <c r="N6" s="254"/>
      <c r="O6" s="255"/>
    </row>
    <row r="7" spans="1:19" ht="17.25" thickBot="1">
      <c r="A7" s="117" t="s">
        <v>21</v>
      </c>
      <c r="B7" s="253" t="s">
        <v>22</v>
      </c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257"/>
      <c r="I7" s="258"/>
      <c r="J7" s="4" t="s">
        <v>21</v>
      </c>
      <c r="K7" s="253" t="s">
        <v>23</v>
      </c>
      <c r="L7" s="254"/>
      <c r="M7" s="254"/>
      <c r="N7" s="254"/>
      <c r="O7" s="255"/>
    </row>
    <row r="8" spans="1:19" ht="17.25" thickBot="1">
      <c r="A8" s="117" t="s">
        <v>24</v>
      </c>
      <c r="B8" s="253" t="s">
        <v>25</v>
      </c>
      <c r="C8" s="254"/>
      <c r="D8" s="254"/>
      <c r="E8" s="254"/>
      <c r="F8" s="255"/>
      <c r="G8" s="250" t="s">
        <v>285</v>
      </c>
      <c r="H8" s="251"/>
      <c r="I8" s="252"/>
      <c r="J8" s="4" t="s">
        <v>24</v>
      </c>
      <c r="K8" s="253" t="s">
        <v>26</v>
      </c>
      <c r="L8" s="254"/>
      <c r="M8" s="254"/>
      <c r="N8" s="254"/>
      <c r="O8" s="255"/>
      <c r="Q8" s="241" t="s">
        <v>27</v>
      </c>
      <c r="R8" s="243"/>
    </row>
    <row r="9" spans="1:19" ht="17.25" thickBot="1">
      <c r="A9" s="117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257"/>
      <c r="I9" s="258"/>
      <c r="J9" s="4" t="s">
        <v>28</v>
      </c>
      <c r="K9" s="253" t="s">
        <v>293</v>
      </c>
      <c r="L9" s="254"/>
      <c r="M9" s="254"/>
      <c r="N9" s="254"/>
      <c r="O9" s="255"/>
      <c r="Q9" s="2" t="s">
        <v>29</v>
      </c>
      <c r="R9" s="6">
        <v>10</v>
      </c>
    </row>
    <row r="10" spans="1:19">
      <c r="A10" s="117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/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8" t="s">
        <v>32</v>
      </c>
      <c r="B11" s="259"/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257"/>
      <c r="I11" s="258"/>
      <c r="J11" s="7" t="s">
        <v>32</v>
      </c>
      <c r="K11" s="259"/>
      <c r="L11" s="260"/>
      <c r="M11" s="260"/>
      <c r="N11" s="260"/>
      <c r="O11" s="261"/>
      <c r="Q11" s="61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63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62017000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-1.6680144000000001E-2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2021-05-07(금) 오전 00:00</v>
      </c>
      <c r="C15" s="308"/>
      <c r="D15" s="264" t="str">
        <f>TEXT($G$1, "[$-ko-KR]yyyy-mm-dd(ddd) ") &amp; "오후 14:00"</f>
        <v>2021-05-07(금) 오후 14:00</v>
      </c>
      <c r="E15" s="265"/>
      <c r="F15" s="266"/>
      <c r="G15" s="264" t="str">
        <f>TEXT($G$1, "[$-ko-KR]yyyy-mm-dd(ddd) ") &amp; "오후 19:00"</f>
        <v>2021-05-07(금) 오후 19:00</v>
      </c>
      <c r="H15" s="265"/>
      <c r="I15" s="266"/>
      <c r="J15" s="264" t="str">
        <f>TEXT($G$1, "[$-ko-KR]yyyy-mm-dd(ddd) ") &amp; "오후 21:00"</f>
        <v>2021-05-07(금) 오후 21:00</v>
      </c>
      <c r="K15" s="265"/>
      <c r="L15" s="266"/>
      <c r="M15" s="264" t="str">
        <f>TEXT($G$1+1, "[$-ko-KR]yyyy-mm-dd(ddd) ") &amp; "오전 00:00"</f>
        <v>2021-05-08(토)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7"/>
      <c r="R16" s="267"/>
      <c r="S16" s="267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262"/>
      <c r="R17" s="262"/>
      <c r="S17" s="262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262"/>
      <c r="R18" s="262"/>
      <c r="S18" s="262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267"/>
      <c r="R19" s="267"/>
      <c r="S19" s="267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267"/>
      <c r="R20" s="267"/>
      <c r="S20" s="267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267"/>
      <c r="R21" s="267"/>
      <c r="S21" s="267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267"/>
      <c r="R22" s="267"/>
      <c r="S22" s="267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267"/>
      <c r="R23" s="267"/>
      <c r="S23" s="267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267"/>
      <c r="R24" s="267"/>
      <c r="S24" s="267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276"/>
      <c r="R26" s="277"/>
      <c r="S26" s="278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279"/>
      <c r="R27" s="280"/>
      <c r="S27" s="281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282"/>
      <c r="R28" s="283"/>
      <c r="S28" s="284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267"/>
      <c r="R29" s="267"/>
      <c r="S29" s="267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262"/>
      <c r="R30" s="262"/>
      <c r="S30" s="262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262"/>
      <c r="R31" s="262"/>
      <c r="S31" s="262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267"/>
      <c r="R32" s="267"/>
      <c r="S32" s="267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267"/>
      <c r="R33" s="267"/>
      <c r="S33" s="267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267"/>
      <c r="R34" s="267"/>
      <c r="S34" s="267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289"/>
      <c r="R35" s="290"/>
      <c r="S35" s="291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292"/>
      <c r="R36" s="293"/>
      <c r="S36" s="294"/>
    </row>
    <row r="37" spans="1:19" ht="17.25" customHeight="1" thickBot="1">
      <c r="A37" s="131" t="s">
        <v>42</v>
      </c>
      <c r="B37" s="300">
        <v>150000</v>
      </c>
      <c r="C37" s="301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63" t="s">
        <v>298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62017000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-1.6680144000000001E-2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2021-05-07(금) 오전 00:00</v>
      </c>
      <c r="C42" s="305"/>
      <c r="D42" s="264" t="str">
        <f>TEXT($G$1, "[$-ko-KR]yyyy-mm-dd(ddd) ") &amp; "오후 14:00"</f>
        <v>2021-05-07(금) 오후 14:00</v>
      </c>
      <c r="E42" s="265"/>
      <c r="F42" s="266"/>
      <c r="G42" s="264" t="str">
        <f>TEXT($G$1, "[$-ko-KR]yyyy-mm-dd(ddd) ") &amp; "오후 19:00"</f>
        <v>2021-05-07(금) 오후 19:00</v>
      </c>
      <c r="H42" s="265"/>
      <c r="I42" s="266"/>
      <c r="J42" s="264" t="str">
        <f>TEXT($G$1, "[$-ko-KR]yyyy-mm-dd(ddd) ") &amp; "오후 21:00"</f>
        <v>2021-05-07(금) 오후 21:00</v>
      </c>
      <c r="K42" s="265"/>
      <c r="L42" s="266"/>
      <c r="M42" s="264" t="str">
        <f>TEXT($G$1+1, "[$-ko-KR]yyyy-mm-dd(ddd) ") &amp; "오전 00:00"</f>
        <v>2021-05-08(토)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7"/>
      <c r="R43" s="267"/>
      <c r="S43" s="267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262"/>
      <c r="R44" s="262"/>
      <c r="S44" s="262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262"/>
      <c r="R45" s="262"/>
      <c r="S45" s="262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267"/>
      <c r="R46" s="267"/>
      <c r="S46" s="267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267"/>
      <c r="R47" s="267"/>
      <c r="S47" s="267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267"/>
      <c r="R48" s="267"/>
      <c r="S48" s="267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267"/>
      <c r="R49" s="267"/>
      <c r="S49" s="267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267"/>
      <c r="R50" s="267"/>
      <c r="S50" s="267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267"/>
      <c r="R51" s="267"/>
      <c r="S51" s="267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276"/>
      <c r="R53" s="277"/>
      <c r="S53" s="278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279"/>
      <c r="R54" s="280"/>
      <c r="S54" s="281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282"/>
      <c r="R55" s="283"/>
      <c r="S55" s="284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267"/>
      <c r="R56" s="267"/>
      <c r="S56" s="267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262"/>
      <c r="R57" s="262"/>
      <c r="S57" s="262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262"/>
      <c r="R58" s="262"/>
      <c r="S58" s="262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267"/>
      <c r="R59" s="267"/>
      <c r="S59" s="267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267"/>
      <c r="R60" s="267"/>
      <c r="S60" s="267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267"/>
      <c r="R61" s="267"/>
      <c r="S61" s="267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289"/>
      <c r="R62" s="290"/>
      <c r="S62" s="29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92"/>
      <c r="R63" s="293"/>
      <c r="S63" s="294"/>
    </row>
    <row r="64" spans="1:19" ht="17.25" customHeight="1" thickBot="1">
      <c r="A64" s="131" t="s">
        <v>301</v>
      </c>
      <c r="B64" s="300">
        <f>$B$37</f>
        <v>150000</v>
      </c>
      <c r="C64" s="301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63" t="s">
        <v>298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62017000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-1.6680144000000001E-2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2021-05-07(금) 오전 00:00</v>
      </c>
      <c r="C69" s="305"/>
      <c r="D69" s="264" t="str">
        <f>TEXT($G$1, "[$-ko-KR]yyyy-mm-dd(ddd) ") &amp; "오후 14:00"</f>
        <v>2021-05-07(금) 오후 14:00</v>
      </c>
      <c r="E69" s="265"/>
      <c r="F69" s="266"/>
      <c r="G69" s="264" t="str">
        <f>TEXT($G$1, "[$-ko-KR]yyyy-mm-dd(ddd) ") &amp; "오후 19:00"</f>
        <v>2021-05-07(금) 오후 19:00</v>
      </c>
      <c r="H69" s="265"/>
      <c r="I69" s="266"/>
      <c r="J69" s="264" t="str">
        <f>TEXT($G$1, "[$-ko-KR]yyyy-mm-dd(ddd) ") &amp; "오후 21:00"</f>
        <v>2021-05-07(금) 오후 21:00</v>
      </c>
      <c r="K69" s="265"/>
      <c r="L69" s="266"/>
      <c r="M69" s="264" t="str">
        <f>TEXT($G$1+1, "[$-ko-KR]yyyy-mm-dd(ddd) ") &amp; "오전 00:00"</f>
        <v>2021-05-08(토) 오전 00:00</v>
      </c>
      <c r="N69" s="265"/>
      <c r="O69" s="266"/>
      <c r="Q69" s="262"/>
      <c r="R69" s="262"/>
      <c r="S69" s="262"/>
    </row>
    <row r="70" spans="1:19" ht="17.25" thickBot="1">
      <c r="A70" s="30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7"/>
      <c r="R70" s="267"/>
      <c r="S70" s="267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262"/>
      <c r="R71" s="262"/>
      <c r="S71" s="262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262"/>
      <c r="R72" s="262"/>
      <c r="S72" s="262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267"/>
      <c r="R73" s="267"/>
      <c r="S73" s="267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267"/>
      <c r="R74" s="267"/>
      <c r="S74" s="267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267"/>
      <c r="R75" s="267"/>
      <c r="S75" s="267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267"/>
      <c r="R76" s="267"/>
      <c r="S76" s="267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267"/>
      <c r="R77" s="267"/>
      <c r="S77" s="267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267"/>
      <c r="R78" s="267"/>
      <c r="S78" s="267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276"/>
      <c r="R80" s="277"/>
      <c r="S80" s="278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279"/>
      <c r="R81" s="280"/>
      <c r="S81" s="281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282"/>
      <c r="R82" s="283"/>
      <c r="S82" s="284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267"/>
      <c r="R83" s="267"/>
      <c r="S83" s="267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262"/>
      <c r="R84" s="262"/>
      <c r="S84" s="262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262"/>
      <c r="R85" s="262"/>
      <c r="S85" s="262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267"/>
      <c r="R86" s="267"/>
      <c r="S86" s="267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267"/>
      <c r="R87" s="267"/>
      <c r="S87" s="267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267"/>
      <c r="R88" s="267"/>
      <c r="S88" s="267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289"/>
      <c r="R89" s="290"/>
      <c r="S89" s="291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292"/>
      <c r="R90" s="293"/>
      <c r="S90" s="294"/>
    </row>
    <row r="91" spans="1:19" ht="17.25" thickBot="1">
      <c r="A91" s="131" t="s">
        <v>301</v>
      </c>
      <c r="B91" s="300">
        <f>$B$37</f>
        <v>150000</v>
      </c>
      <c r="C91" s="301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63" t="s">
        <v>298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62017000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-1.6680144000000001E-2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2021-05-07(금) 오전 00:00</v>
      </c>
      <c r="C96" s="305"/>
      <c r="D96" s="264" t="str">
        <f>TEXT($G$1, "[$-ko-KR]yyyy-mm-dd(ddd) ") &amp; "오후 14:00"</f>
        <v>2021-05-07(금) 오후 14:00</v>
      </c>
      <c r="E96" s="265"/>
      <c r="F96" s="266"/>
      <c r="G96" s="264" t="str">
        <f>TEXT($G$1, "[$-ko-KR]yyyy-mm-dd(ddd) ") &amp; "오후 19:00"</f>
        <v>2021-05-07(금) 오후 19:00</v>
      </c>
      <c r="H96" s="265"/>
      <c r="I96" s="266"/>
      <c r="J96" s="264" t="str">
        <f>TEXT($G$1, "[$-ko-KR]yyyy-mm-dd(ddd) ") &amp; "오후 21:00"</f>
        <v>2021-05-07(금) 오후 21:00</v>
      </c>
      <c r="K96" s="265"/>
      <c r="L96" s="266"/>
      <c r="M96" s="264" t="str">
        <f>TEXT($G$1+1, "[$-ko-KR]yyyy-mm-dd(ddd) ") &amp; "오전 00:00"</f>
        <v>2021-05-08(토) 오전 00:00</v>
      </c>
      <c r="N96" s="265"/>
      <c r="O96" s="266"/>
      <c r="Q96" s="262"/>
      <c r="R96" s="262"/>
      <c r="S96" s="262"/>
    </row>
    <row r="97" spans="1:19" ht="17.25" thickBot="1">
      <c r="A97" s="30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7"/>
      <c r="R97" s="267"/>
      <c r="S97" s="267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262"/>
      <c r="R98" s="262"/>
      <c r="S98" s="262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262"/>
      <c r="R99" s="262"/>
      <c r="S99" s="262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267"/>
      <c r="R100" s="267"/>
      <c r="S100" s="267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267"/>
      <c r="R101" s="267"/>
      <c r="S101" s="267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267"/>
      <c r="R102" s="267"/>
      <c r="S102" s="267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267"/>
      <c r="R103" s="267"/>
      <c r="S103" s="267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267"/>
      <c r="R104" s="267"/>
      <c r="S104" s="267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267"/>
      <c r="R105" s="267"/>
      <c r="S105" s="267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276"/>
      <c r="R107" s="277"/>
      <c r="S107" s="278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279"/>
      <c r="R108" s="280"/>
      <c r="S108" s="281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282"/>
      <c r="R109" s="283"/>
      <c r="S109" s="284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267"/>
      <c r="R110" s="267"/>
      <c r="S110" s="267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262"/>
      <c r="R111" s="262"/>
      <c r="S111" s="262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262"/>
      <c r="R112" s="262"/>
      <c r="S112" s="262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267"/>
      <c r="R113" s="267"/>
      <c r="S113" s="267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267"/>
      <c r="R114" s="267"/>
      <c r="S114" s="267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267"/>
      <c r="R115" s="267"/>
      <c r="S115" s="267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289"/>
      <c r="R116" s="290"/>
      <c r="S116" s="291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292"/>
      <c r="R117" s="293"/>
      <c r="S117" s="294"/>
    </row>
    <row r="118" spans="1:19" ht="17.25" thickBot="1">
      <c r="A118" s="131" t="s">
        <v>301</v>
      </c>
      <c r="B118" s="300">
        <f>$B$37</f>
        <v>150000</v>
      </c>
      <c r="C118" s="301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295"/>
      <c r="R118" s="296"/>
      <c r="S118" s="297"/>
    </row>
    <row r="120" spans="1:19" ht="17.25" thickBot="1"/>
    <row r="121" spans="1:19" ht="17.25" thickBot="1">
      <c r="A121" s="241" t="s">
        <v>288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63" t="s">
        <v>298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62017000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-1.6680144000000001E-2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2021-05-07(금) 오전 00:00</v>
      </c>
      <c r="C123" s="305"/>
      <c r="D123" s="264" t="str">
        <f>TEXT($G$1, "[$-ko-KR]yyyy-mm-dd(ddd) ") &amp; "오후 14:00"</f>
        <v>2021-05-07(금) 오후 14:00</v>
      </c>
      <c r="E123" s="265"/>
      <c r="F123" s="266"/>
      <c r="G123" s="264" t="str">
        <f>TEXT($G$1, "[$-ko-KR]yyyy-mm-dd(ddd) ") &amp; "오후 19:00"</f>
        <v>2021-05-07(금) 오후 19:00</v>
      </c>
      <c r="H123" s="265"/>
      <c r="I123" s="266"/>
      <c r="J123" s="264" t="str">
        <f>TEXT($G$1, "[$-ko-KR]yyyy-mm-dd(ddd) ") &amp; "오후 21:00"</f>
        <v>2021-05-07(금) 오후 21:00</v>
      </c>
      <c r="K123" s="265"/>
      <c r="L123" s="266"/>
      <c r="M123" s="264" t="str">
        <f>TEXT($G$1+1, "[$-ko-KR]yyyy-mm-dd(ddd) ") &amp; "오전 00:00"</f>
        <v>2021-05-08(토)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7"/>
      <c r="R124" s="267"/>
      <c r="S124" s="267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262"/>
      <c r="R125" s="262"/>
      <c r="S125" s="262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262"/>
      <c r="R126" s="262"/>
      <c r="S126" s="262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267"/>
      <c r="R127" s="267"/>
      <c r="S127" s="267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267"/>
      <c r="R128" s="267"/>
      <c r="S128" s="267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267"/>
      <c r="R129" s="267"/>
      <c r="S129" s="267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267"/>
      <c r="R130" s="267"/>
      <c r="S130" s="267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267"/>
      <c r="R131" s="267"/>
      <c r="S131" s="267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267"/>
      <c r="R132" s="267"/>
      <c r="S132" s="267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276"/>
      <c r="R134" s="277"/>
      <c r="S134" s="278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279"/>
      <c r="R135" s="280"/>
      <c r="S135" s="281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282"/>
      <c r="R136" s="283"/>
      <c r="S136" s="284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267"/>
      <c r="R137" s="267"/>
      <c r="S137" s="267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262"/>
      <c r="R138" s="262"/>
      <c r="S138" s="262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262"/>
      <c r="R139" s="262"/>
      <c r="S139" s="262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267"/>
      <c r="R140" s="267"/>
      <c r="S140" s="267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267"/>
      <c r="R141" s="267"/>
      <c r="S141" s="267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267"/>
      <c r="R142" s="267"/>
      <c r="S142" s="267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289"/>
      <c r="R143" s="290"/>
      <c r="S143" s="29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92"/>
      <c r="R144" s="293"/>
      <c r="S144" s="294"/>
    </row>
    <row r="145" spans="1:19" ht="17.25" thickBot="1">
      <c r="A145" s="131" t="s">
        <v>301</v>
      </c>
      <c r="B145" s="300">
        <f>$B$37</f>
        <v>150000</v>
      </c>
      <c r="C145" s="301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295"/>
      <c r="R145" s="296"/>
      <c r="S145" s="297"/>
    </row>
    <row r="147" spans="1:19" ht="17.25" thickBot="1"/>
    <row r="148" spans="1:19" ht="17.25" thickBot="1">
      <c r="A148" s="241" t="s">
        <v>289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63" t="s">
        <v>298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62017000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-1.6680144000000001E-2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2021-05-07(금) 오전 00:00</v>
      </c>
      <c r="C150" s="305"/>
      <c r="D150" s="264" t="str">
        <f>TEXT($G$1, "[$-ko-KR]yyyy-mm-dd(ddd) ") &amp; "오후 14:00"</f>
        <v>2021-05-07(금) 오후 14:00</v>
      </c>
      <c r="E150" s="265"/>
      <c r="F150" s="266"/>
      <c r="G150" s="264" t="str">
        <f>TEXT($G$1, "[$-ko-KR]yyyy-mm-dd(ddd) ") &amp; "오후 19:00"</f>
        <v>2021-05-07(금) 오후 19:00</v>
      </c>
      <c r="H150" s="265"/>
      <c r="I150" s="266"/>
      <c r="J150" s="264" t="str">
        <f>TEXT($G$1, "[$-ko-KR]yyyy-mm-dd(ddd) ") &amp; "오후 21:00"</f>
        <v>2021-05-07(금) 오후 21:00</v>
      </c>
      <c r="K150" s="265"/>
      <c r="L150" s="266"/>
      <c r="M150" s="264" t="str">
        <f>TEXT($G$1+1, "[$-ko-KR]yyyy-mm-dd(ddd) ") &amp; "오전 00:00"</f>
        <v>2021-05-08(토)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7"/>
      <c r="R151" s="267"/>
      <c r="S151" s="267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262"/>
      <c r="R152" s="262"/>
      <c r="S152" s="262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262"/>
      <c r="R153" s="262"/>
      <c r="S153" s="262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267"/>
      <c r="R154" s="267"/>
      <c r="S154" s="267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267"/>
      <c r="R155" s="267"/>
      <c r="S155" s="267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267"/>
      <c r="R156" s="267"/>
      <c r="S156" s="267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267"/>
      <c r="R157" s="267"/>
      <c r="S157" s="267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267"/>
      <c r="R158" s="267"/>
      <c r="S158" s="267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267"/>
      <c r="R159" s="267"/>
      <c r="S159" s="267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276"/>
      <c r="R161" s="277"/>
      <c r="S161" s="278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279"/>
      <c r="R162" s="280"/>
      <c r="S162" s="281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282"/>
      <c r="R163" s="283"/>
      <c r="S163" s="284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267"/>
      <c r="R164" s="267"/>
      <c r="S164" s="267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262"/>
      <c r="R165" s="262"/>
      <c r="S165" s="262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262"/>
      <c r="R166" s="262"/>
      <c r="S166" s="262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267"/>
      <c r="R167" s="267"/>
      <c r="S167" s="267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267"/>
      <c r="R168" s="267"/>
      <c r="S168" s="267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267"/>
      <c r="R169" s="267"/>
      <c r="S169" s="267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289"/>
      <c r="R170" s="290"/>
      <c r="S170" s="291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292"/>
      <c r="R171" s="293"/>
      <c r="S171" s="294"/>
    </row>
    <row r="172" spans="1:19" ht="17.25" thickBot="1">
      <c r="A172" s="131" t="s">
        <v>301</v>
      </c>
      <c r="B172" s="300">
        <f>$B$37</f>
        <v>150000</v>
      </c>
      <c r="C172" s="301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295"/>
      <c r="R172" s="296"/>
      <c r="S172" s="297"/>
    </row>
    <row r="174" spans="1:19" ht="17.25" thickBot="1"/>
    <row r="175" spans="1:19" ht="17.25" thickBot="1">
      <c r="A175" s="241" t="s">
        <v>285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63" t="s">
        <v>298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62017000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-1.6680144000000001E-2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2021-05-07(금) 오전 00:00</v>
      </c>
      <c r="C177" s="305"/>
      <c r="D177" s="264" t="str">
        <f>TEXT($G$1, "[$-ko-KR]yyyy-mm-dd(ddd) ") &amp; "오후 14:00"</f>
        <v>2021-05-07(금) 오후 14:00</v>
      </c>
      <c r="E177" s="265"/>
      <c r="F177" s="266"/>
      <c r="G177" s="264" t="str">
        <f>TEXT($G$1, "[$-ko-KR]yyyy-mm-dd(ddd) ") &amp; "오후 19:00"</f>
        <v>2021-05-07(금) 오후 19:00</v>
      </c>
      <c r="H177" s="265"/>
      <c r="I177" s="266"/>
      <c r="J177" s="264" t="str">
        <f>TEXT($G$1, "[$-ko-KR]yyyy-mm-dd(ddd) ") &amp; "오후 21:00"</f>
        <v>2021-05-07(금) 오후 21:00</v>
      </c>
      <c r="K177" s="265"/>
      <c r="L177" s="266"/>
      <c r="M177" s="264" t="str">
        <f>TEXT($G$1+1, "[$-ko-KR]yyyy-mm-dd(ddd) ") &amp; "오전 00:00"</f>
        <v>2021-05-08(토)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7"/>
      <c r="R178" s="267"/>
      <c r="S178" s="267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262"/>
      <c r="R179" s="262"/>
      <c r="S179" s="262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262"/>
      <c r="R180" s="262"/>
      <c r="S180" s="262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267"/>
      <c r="R181" s="267"/>
      <c r="S181" s="267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267"/>
      <c r="R182" s="267"/>
      <c r="S182" s="267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267"/>
      <c r="R183" s="267"/>
      <c r="S183" s="267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267"/>
      <c r="R184" s="267"/>
      <c r="S184" s="267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67"/>
      <c r="R185" s="267"/>
      <c r="S185" s="267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267"/>
      <c r="R186" s="267"/>
      <c r="S186" s="267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276"/>
      <c r="R188" s="277"/>
      <c r="S188" s="278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279"/>
      <c r="R189" s="280"/>
      <c r="S189" s="281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282"/>
      <c r="R190" s="283"/>
      <c r="S190" s="284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267"/>
      <c r="R191" s="267"/>
      <c r="S191" s="267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262"/>
      <c r="R192" s="262"/>
      <c r="S192" s="262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262"/>
      <c r="R193" s="262"/>
      <c r="S193" s="262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267"/>
      <c r="R194" s="267"/>
      <c r="S194" s="267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267"/>
      <c r="R195" s="267"/>
      <c r="S195" s="267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267"/>
      <c r="R196" s="267"/>
      <c r="S196" s="267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289"/>
      <c r="R197" s="290"/>
      <c r="S197" s="291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292"/>
      <c r="R198" s="293"/>
      <c r="S198" s="294"/>
    </row>
    <row r="199" spans="1:19" ht="17.25" thickBot="1">
      <c r="A199" s="131" t="s">
        <v>301</v>
      </c>
      <c r="B199" s="300">
        <f>$B$37</f>
        <v>150000</v>
      </c>
      <c r="C199" s="301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3" priority="157">
      <formula>AND($N17 &gt; 0, ISNUMBER($N17))</formula>
    </cfRule>
    <cfRule type="expression" dxfId="1602" priority="158">
      <formula>AND($N17 = 0 * ISNUMBER($N17))</formula>
    </cfRule>
    <cfRule type="expression" dxfId="1601" priority="159">
      <formula>AND($N17 &lt; 0, ISNUMBER($N17))</formula>
    </cfRule>
  </conditionalFormatting>
  <conditionalFormatting sqref="A17:F36">
    <cfRule type="expression" dxfId="1600" priority="166">
      <formula>AND($E17 &gt; 0, ISNUMBER($E17))</formula>
    </cfRule>
    <cfRule type="expression" dxfId="1599" priority="167">
      <formula>AND($E17 = 0 * ISNUMBER($E17))</formula>
    </cfRule>
    <cfRule type="expression" dxfId="1598" priority="168">
      <formula>AND($E17 &lt; 0, ISNUMBER($E17))</formula>
    </cfRule>
  </conditionalFormatting>
  <conditionalFormatting sqref="A17:C36 G17:I36">
    <cfRule type="expression" dxfId="1597" priority="163">
      <formula>AND($H17 &gt; 0, ISNUMBER($H17))</formula>
    </cfRule>
    <cfRule type="expression" dxfId="1596" priority="164">
      <formula>AND($H17 = 0 * ISNUMBER($H17))</formula>
    </cfRule>
    <cfRule type="expression" dxfId="1595" priority="165">
      <formula>AND($H17 &lt; 0, ISNUMBER($H17))</formula>
    </cfRule>
  </conditionalFormatting>
  <conditionalFormatting sqref="A17:C36 J17:L36">
    <cfRule type="expression" dxfId="1594" priority="160">
      <formula>AND($K17 &gt; 0, ISNUMBER($K17))</formula>
    </cfRule>
    <cfRule type="expression" dxfId="1593" priority="161">
      <formula>AND($K17 = 0 * ISNUMBER($K17))</formula>
    </cfRule>
    <cfRule type="expression" dxfId="1592" priority="162">
      <formula>AND($K17 &lt; 0, ISNUMBER($K17))</formula>
    </cfRule>
  </conditionalFormatting>
  <conditionalFormatting sqref="D15:F16 E37:F37">
    <cfRule type="expression" dxfId="1591" priority="154">
      <formula>$E$37 &gt; 0</formula>
    </cfRule>
    <cfRule type="expression" dxfId="1590" priority="155">
      <formula>$E$37 = 0</formula>
    </cfRule>
    <cfRule type="expression" dxfId="1589" priority="156">
      <formula>$E$37 &lt; 0</formula>
    </cfRule>
  </conditionalFormatting>
  <conditionalFormatting sqref="G15:I16 H37:I37">
    <cfRule type="expression" dxfId="1588" priority="151">
      <formula>$H$37 &gt; 0</formula>
    </cfRule>
    <cfRule type="expression" dxfId="1587" priority="152">
      <formula>$H$37 = 0</formula>
    </cfRule>
    <cfRule type="expression" dxfId="1586" priority="153">
      <formula>$H$37 &lt; 0</formula>
    </cfRule>
  </conditionalFormatting>
  <conditionalFormatting sqref="J15:L16 K37:L37">
    <cfRule type="expression" dxfId="1585" priority="148">
      <formula>$K$37 &gt; 0</formula>
    </cfRule>
    <cfRule type="expression" dxfId="1584" priority="149">
      <formula>$K$37 = 0</formula>
    </cfRule>
    <cfRule type="expression" dxfId="1583" priority="150">
      <formula>$K$37 &lt; 0</formula>
    </cfRule>
  </conditionalFormatting>
  <conditionalFormatting sqref="M15:O16 N37:O37">
    <cfRule type="expression" dxfId="1582" priority="145">
      <formula>$N$37 &gt; 0</formula>
    </cfRule>
    <cfRule type="expression" dxfId="1581" priority="146">
      <formula>$N$37 = 0</formula>
    </cfRule>
    <cfRule type="expression" dxfId="1580" priority="147">
      <formula>$N$37 &lt; 0</formula>
    </cfRule>
  </conditionalFormatting>
  <conditionalFormatting sqref="A44:C63 M44:O63">
    <cfRule type="expression" dxfId="1579" priority="133">
      <formula>AND($N44 &gt; 0, ISNUMBER($N44))</formula>
    </cfRule>
    <cfRule type="expression" dxfId="1578" priority="134">
      <formula>AND($N44 = 0 * ISNUMBER($N44))</formula>
    </cfRule>
    <cfRule type="expression" dxfId="1577" priority="135">
      <formula>AND($N44 &lt; 0, ISNUMBER($N44))</formula>
    </cfRule>
  </conditionalFormatting>
  <conditionalFormatting sqref="A44:F63">
    <cfRule type="expression" dxfId="1576" priority="142">
      <formula>AND($E44 &gt; 0, ISNUMBER($E44))</formula>
    </cfRule>
    <cfRule type="expression" dxfId="1575" priority="143">
      <formula>AND($E44 = 0 * ISNUMBER($E44))</formula>
    </cfRule>
    <cfRule type="expression" dxfId="1574" priority="144">
      <formula>AND($E44 &lt; 0, ISNUMBER($E44))</formula>
    </cfRule>
  </conditionalFormatting>
  <conditionalFormatting sqref="A44:C63 G44:I63">
    <cfRule type="expression" dxfId="1573" priority="139">
      <formula>AND($H44 &gt; 0, ISNUMBER($H44))</formula>
    </cfRule>
    <cfRule type="expression" dxfId="1572" priority="140">
      <formula>AND($H44 = 0 * ISNUMBER($H44))</formula>
    </cfRule>
    <cfRule type="expression" dxfId="1571" priority="141">
      <formula>AND($H44 &lt; 0, ISNUMBER($H44))</formula>
    </cfRule>
  </conditionalFormatting>
  <conditionalFormatting sqref="A44:C63 J44:L63">
    <cfRule type="expression" dxfId="1570" priority="136">
      <formula>AND($K44 &gt; 0, ISNUMBER($K44))</formula>
    </cfRule>
    <cfRule type="expression" dxfId="1569" priority="137">
      <formula>AND($K44 = 0 * ISNUMBER($K44))</formula>
    </cfRule>
    <cfRule type="expression" dxfId="1568" priority="138">
      <formula>AND($K44 &lt; 0, ISNUMBER($K44))</formula>
    </cfRule>
  </conditionalFormatting>
  <conditionalFormatting sqref="D42:F43 E64:F64">
    <cfRule type="expression" dxfId="1567" priority="130">
      <formula>$E$64 &gt; 0</formula>
    </cfRule>
    <cfRule type="expression" dxfId="1566" priority="131">
      <formula>$E$64 = 0</formula>
    </cfRule>
    <cfRule type="expression" dxfId="1565" priority="132">
      <formula>$E$64 &lt; 0</formula>
    </cfRule>
  </conditionalFormatting>
  <conditionalFormatting sqref="G42:I43 H64:I64">
    <cfRule type="expression" dxfId="1564" priority="127">
      <formula>$H$64 &gt; 0</formula>
    </cfRule>
    <cfRule type="expression" dxfId="1563" priority="128">
      <formula>$H$64 = 0</formula>
    </cfRule>
    <cfRule type="expression" dxfId="1562" priority="129">
      <formula>$H$64 &lt; 0</formula>
    </cfRule>
  </conditionalFormatting>
  <conditionalFormatting sqref="J42:L43 K64:L64">
    <cfRule type="expression" dxfId="1561" priority="124">
      <formula>$K$64 &gt; 0</formula>
    </cfRule>
    <cfRule type="expression" dxfId="1560" priority="125">
      <formula>$K$64 = 0</formula>
    </cfRule>
    <cfRule type="expression" dxfId="1559" priority="126">
      <formula>$K$64 &lt; 0</formula>
    </cfRule>
  </conditionalFormatting>
  <conditionalFormatting sqref="M42:O43 N64:O64">
    <cfRule type="expression" dxfId="1558" priority="121">
      <formula>$N$64 &gt; 0</formula>
    </cfRule>
    <cfRule type="expression" dxfId="1557" priority="122">
      <formula>$N$64 = 0</formula>
    </cfRule>
    <cfRule type="expression" dxfId="1556" priority="123">
      <formula>$N$64 &lt; 0</formula>
    </cfRule>
  </conditionalFormatting>
  <conditionalFormatting sqref="A71:C90 M71:O90">
    <cfRule type="expression" dxfId="1555" priority="109">
      <formula>AND($N71 &gt; 0, ISNUMBER($N71))</formula>
    </cfRule>
    <cfRule type="expression" dxfId="1554" priority="110">
      <formula>AND($N71 = 0 * ISNUMBER($N71))</formula>
    </cfRule>
    <cfRule type="expression" dxfId="1553" priority="111">
      <formula>AND($N71 &lt; 0, ISNUMBER($N71))</formula>
    </cfRule>
  </conditionalFormatting>
  <conditionalFormatting sqref="A71:F90">
    <cfRule type="expression" dxfId="1552" priority="118">
      <formula>AND($E71 &gt; 0, ISNUMBER($E71))</formula>
    </cfRule>
    <cfRule type="expression" dxfId="1551" priority="119">
      <formula>AND($E71 = 0 * ISNUMBER($E71))</formula>
    </cfRule>
    <cfRule type="expression" dxfId="1550" priority="120">
      <formula>AND($E71 &lt; 0, ISNUMBER($E71))</formula>
    </cfRule>
  </conditionalFormatting>
  <conditionalFormatting sqref="A71:C90 G71:I90">
    <cfRule type="expression" dxfId="1549" priority="115">
      <formula>AND($H71 &gt; 0, ISNUMBER($H71))</formula>
    </cfRule>
    <cfRule type="expression" dxfId="1548" priority="116">
      <formula>AND($H71 = 0 * ISNUMBER($H71))</formula>
    </cfRule>
    <cfRule type="expression" dxfId="1547" priority="117">
      <formula>AND($H71 &lt; 0, ISNUMBER($H71))</formula>
    </cfRule>
  </conditionalFormatting>
  <conditionalFormatting sqref="A71:C90 J71:L90">
    <cfRule type="expression" dxfId="1546" priority="112">
      <formula>AND($K71 &gt; 0, ISNUMBER($K71))</formula>
    </cfRule>
    <cfRule type="expression" dxfId="1545" priority="113">
      <formula>AND($K71 = 0 * ISNUMBER($K71))</formula>
    </cfRule>
    <cfRule type="expression" dxfId="1544" priority="114">
      <formula>AND($K71 &lt; 0, ISNUMBER($K71))</formula>
    </cfRule>
  </conditionalFormatting>
  <conditionalFormatting sqref="D69:F70 E91:F91">
    <cfRule type="expression" dxfId="1543" priority="106">
      <formula>$E$91 &gt; 0</formula>
    </cfRule>
    <cfRule type="expression" dxfId="1542" priority="107">
      <formula>$E$91 = 0</formula>
    </cfRule>
    <cfRule type="expression" dxfId="1541" priority="108">
      <formula>$E$91 &lt; 0</formula>
    </cfRule>
  </conditionalFormatting>
  <conditionalFormatting sqref="G69:I70 H91:I91">
    <cfRule type="expression" dxfId="1540" priority="103">
      <formula>$H$91 &gt; 0</formula>
    </cfRule>
    <cfRule type="expression" dxfId="1539" priority="104">
      <formula>$H$91 = 0</formula>
    </cfRule>
    <cfRule type="expression" dxfId="1538" priority="105">
      <formula>$H$91 &lt; 0</formula>
    </cfRule>
  </conditionalFormatting>
  <conditionalFormatting sqref="J69:L70 K91:L91">
    <cfRule type="expression" dxfId="1537" priority="100">
      <formula>$K$91 &gt; 0</formula>
    </cfRule>
    <cfRule type="expression" dxfId="1536" priority="101">
      <formula>$K$91 = 0</formula>
    </cfRule>
    <cfRule type="expression" dxfId="1535" priority="102">
      <formula>$K$91 &lt; 0</formula>
    </cfRule>
  </conditionalFormatting>
  <conditionalFormatting sqref="M69:O70 N91:O91">
    <cfRule type="expression" dxfId="1534" priority="97">
      <formula>$N$91 &gt; 0</formula>
    </cfRule>
    <cfRule type="expression" dxfId="1533" priority="98">
      <formula>$N$91 = 0</formula>
    </cfRule>
    <cfRule type="expression" dxfId="1532" priority="99">
      <formula>$N$91 &lt; 0</formula>
    </cfRule>
  </conditionalFormatting>
  <conditionalFormatting sqref="A98:C117 M98:O117">
    <cfRule type="expression" dxfId="1531" priority="85">
      <formula>AND($N98 &gt; 0, ISNUMBER($N98))</formula>
    </cfRule>
    <cfRule type="expression" dxfId="1530" priority="86">
      <formula>AND($N98 = 0 * ISNUMBER($N98))</formula>
    </cfRule>
    <cfRule type="expression" dxfId="1529" priority="87">
      <formula>AND($N98 &lt; 0, ISNUMBER($N98))</formula>
    </cfRule>
  </conditionalFormatting>
  <conditionalFormatting sqref="A98:F117">
    <cfRule type="expression" dxfId="1528" priority="94">
      <formula>AND($E98 &gt; 0, ISNUMBER($E98))</formula>
    </cfRule>
    <cfRule type="expression" dxfId="1527" priority="95">
      <formula>AND($E98 = 0 * ISNUMBER($E98))</formula>
    </cfRule>
    <cfRule type="expression" dxfId="1526" priority="96">
      <formula>AND($E98 &lt; 0, ISNUMBER($E98))</formula>
    </cfRule>
  </conditionalFormatting>
  <conditionalFormatting sqref="A98:C117 G98:I117">
    <cfRule type="expression" dxfId="1525" priority="91">
      <formula>AND($H98 &gt; 0, ISNUMBER($H98))</formula>
    </cfRule>
    <cfRule type="expression" dxfId="1524" priority="92">
      <formula>AND($H98 = 0 * ISNUMBER($H98))</formula>
    </cfRule>
    <cfRule type="expression" dxfId="1523" priority="93">
      <formula>AND($H98 &lt; 0, ISNUMBER($H98))</formula>
    </cfRule>
  </conditionalFormatting>
  <conditionalFormatting sqref="A98:C117 J98:L117">
    <cfRule type="expression" dxfId="1522" priority="88">
      <formula>AND($K98 &gt; 0, ISNUMBER($K98))</formula>
    </cfRule>
    <cfRule type="expression" dxfId="1521" priority="89">
      <formula>AND($K98 = 0 * ISNUMBER($K98))</formula>
    </cfRule>
    <cfRule type="expression" dxfId="1520" priority="90">
      <formula>AND($K98 &lt; 0, ISNUMBER($K98))</formula>
    </cfRule>
  </conditionalFormatting>
  <conditionalFormatting sqref="D96:F97 E118:F118">
    <cfRule type="expression" dxfId="1519" priority="82">
      <formula>$E$118 &gt; 0</formula>
    </cfRule>
    <cfRule type="expression" dxfId="1518" priority="83">
      <formula>$E$118 = 0</formula>
    </cfRule>
    <cfRule type="expression" dxfId="1517" priority="84">
      <formula>$E$118 &lt; 0</formula>
    </cfRule>
  </conditionalFormatting>
  <conditionalFormatting sqref="G96:I97 H118:I118">
    <cfRule type="expression" dxfId="1516" priority="79">
      <formula>$H$118 &gt; 0</formula>
    </cfRule>
    <cfRule type="expression" dxfId="1515" priority="80">
      <formula>$H$118 = 0</formula>
    </cfRule>
    <cfRule type="expression" dxfId="1514" priority="81">
      <formula>$H$118 &lt; 0</formula>
    </cfRule>
  </conditionalFormatting>
  <conditionalFormatting sqref="J96:L97 K118:L118">
    <cfRule type="expression" dxfId="1513" priority="76">
      <formula>$K$118 &gt; 0</formula>
    </cfRule>
    <cfRule type="expression" dxfId="1512" priority="77">
      <formula>$K$118 = 0</formula>
    </cfRule>
    <cfRule type="expression" dxfId="1511" priority="78">
      <formula>$K$118 &lt; 0</formula>
    </cfRule>
  </conditionalFormatting>
  <conditionalFormatting sqref="M96:O97 N118:O118">
    <cfRule type="expression" dxfId="1510" priority="73">
      <formula>$N$118 &gt; 0</formula>
    </cfRule>
    <cfRule type="expression" dxfId="1509" priority="74">
      <formula>$N$118 = 0</formula>
    </cfRule>
    <cfRule type="expression" dxfId="1508" priority="75">
      <formula>$N$118 &lt; 0</formula>
    </cfRule>
  </conditionalFormatting>
  <conditionalFormatting sqref="A125:C144 M125:O144">
    <cfRule type="expression" dxfId="1507" priority="61">
      <formula>AND($N125 &gt; 0, ISNUMBER($N125))</formula>
    </cfRule>
    <cfRule type="expression" dxfId="1506" priority="62">
      <formula>AND($N125 = 0 * ISNUMBER($N125))</formula>
    </cfRule>
    <cfRule type="expression" dxfId="1505" priority="63">
      <formula>AND($N125 &lt; 0, ISNUMBER($N125))</formula>
    </cfRule>
  </conditionalFormatting>
  <conditionalFormatting sqref="A125:F144">
    <cfRule type="expression" dxfId="1504" priority="70">
      <formula>AND($E125 &gt; 0, ISNUMBER($E125))</formula>
    </cfRule>
    <cfRule type="expression" dxfId="1503" priority="71">
      <formula>AND($E125 = 0 * ISNUMBER($E125))</formula>
    </cfRule>
    <cfRule type="expression" dxfId="1502" priority="72">
      <formula>AND($E125 &lt; 0, ISNUMBER($E125))</formula>
    </cfRule>
  </conditionalFormatting>
  <conditionalFormatting sqref="A125:C144 G125:I144">
    <cfRule type="expression" dxfId="1501" priority="67">
      <formula>AND($H125 &gt; 0, ISNUMBER($H125))</formula>
    </cfRule>
    <cfRule type="expression" dxfId="1500" priority="68">
      <formula>AND($H125 = 0 * ISNUMBER($H125))</formula>
    </cfRule>
    <cfRule type="expression" dxfId="1499" priority="69">
      <formula>AND($H125 &lt; 0, ISNUMBER($H125))</formula>
    </cfRule>
  </conditionalFormatting>
  <conditionalFormatting sqref="A125:C144 J125:L144">
    <cfRule type="expression" dxfId="1498" priority="64">
      <formula>AND($K125 &gt; 0, ISNUMBER($K125))</formula>
    </cfRule>
    <cfRule type="expression" dxfId="1497" priority="65">
      <formula>AND($K125 = 0 * ISNUMBER($K125))</formula>
    </cfRule>
    <cfRule type="expression" dxfId="1496" priority="66">
      <formula>AND($K125 &lt; 0, ISNUMBER($K125))</formula>
    </cfRule>
  </conditionalFormatting>
  <conditionalFormatting sqref="D123:F124 E145:F145">
    <cfRule type="expression" dxfId="1495" priority="58">
      <formula>$E$145 &gt; 0</formula>
    </cfRule>
    <cfRule type="expression" dxfId="1494" priority="59">
      <formula>$E$145 = 0</formula>
    </cfRule>
    <cfRule type="expression" dxfId="1493" priority="60">
      <formula>$E$145 &lt; 0</formula>
    </cfRule>
  </conditionalFormatting>
  <conditionalFormatting sqref="G123:I124 H145:I145">
    <cfRule type="expression" dxfId="1492" priority="55">
      <formula>$H$145 &gt; 0</formula>
    </cfRule>
    <cfRule type="expression" dxfId="1491" priority="56">
      <formula>$H$145 = 0</formula>
    </cfRule>
    <cfRule type="expression" dxfId="1490" priority="57">
      <formula>$H$145 &lt; 0</formula>
    </cfRule>
  </conditionalFormatting>
  <conditionalFormatting sqref="J123:L124 K145:L145">
    <cfRule type="expression" dxfId="1489" priority="52">
      <formula>$K$145 &gt; 0</formula>
    </cfRule>
    <cfRule type="expression" dxfId="1488" priority="53">
      <formula>$K$145 = 0</formula>
    </cfRule>
    <cfRule type="expression" dxfId="1487" priority="54">
      <formula>$K$145 &lt; 0</formula>
    </cfRule>
  </conditionalFormatting>
  <conditionalFormatting sqref="M123:O124 N145:O145">
    <cfRule type="expression" dxfId="1486" priority="49">
      <formula>$N$145 &gt; 0</formula>
    </cfRule>
    <cfRule type="expression" dxfId="1485" priority="50">
      <formula>$N$145 = 0</formula>
    </cfRule>
    <cfRule type="expression" dxfId="1484" priority="51">
      <formula>$N$145 &lt; 0</formula>
    </cfRule>
  </conditionalFormatting>
  <conditionalFormatting sqref="A152:C171 M152:O171">
    <cfRule type="expression" dxfId="1483" priority="37">
      <formula>AND($N152 &gt; 0, ISNUMBER($N152))</formula>
    </cfRule>
    <cfRule type="expression" dxfId="1482" priority="38">
      <formula>AND($N152 = 0 * ISNUMBER($N152))</formula>
    </cfRule>
    <cfRule type="expression" dxfId="1481" priority="39">
      <formula>AND($N152 &lt; 0, ISNUMBER($N152))</formula>
    </cfRule>
  </conditionalFormatting>
  <conditionalFormatting sqref="A152:F171">
    <cfRule type="expression" dxfId="1480" priority="46">
      <formula>AND($E152 &gt; 0, ISNUMBER($E152))</formula>
    </cfRule>
    <cfRule type="expression" dxfId="1479" priority="47">
      <formula>AND($E152 = 0 * ISNUMBER($E152))</formula>
    </cfRule>
    <cfRule type="expression" dxfId="1478" priority="48">
      <formula>AND($E152 &lt; 0, ISNUMBER($E152))</formula>
    </cfRule>
  </conditionalFormatting>
  <conditionalFormatting sqref="A152:C171 G152:I171">
    <cfRule type="expression" dxfId="1477" priority="43">
      <formula>AND($H152 &gt; 0, ISNUMBER($H152))</formula>
    </cfRule>
    <cfRule type="expression" dxfId="1476" priority="44">
      <formula>AND($H152 = 0 * ISNUMBER($H152))</formula>
    </cfRule>
    <cfRule type="expression" dxfId="1475" priority="45">
      <formula>AND($H152 &lt; 0, ISNUMBER($H152))</formula>
    </cfRule>
  </conditionalFormatting>
  <conditionalFormatting sqref="A152:C171 J152:L171">
    <cfRule type="expression" dxfId="1474" priority="40">
      <formula>AND($K152 &gt; 0, ISNUMBER($K152))</formula>
    </cfRule>
    <cfRule type="expression" dxfId="1473" priority="41">
      <formula>AND($K152 = 0 * ISNUMBER($K152))</formula>
    </cfRule>
    <cfRule type="expression" dxfId="1472" priority="42">
      <formula>AND($K152 &lt; 0, ISNUMBER($K152))</formula>
    </cfRule>
  </conditionalFormatting>
  <conditionalFormatting sqref="D150:F151 E172:F172">
    <cfRule type="expression" dxfId="1471" priority="34">
      <formula>$E$172 &gt; 0</formula>
    </cfRule>
    <cfRule type="expression" dxfId="1470" priority="35">
      <formula>$E$172 = 0</formula>
    </cfRule>
    <cfRule type="expression" dxfId="1469" priority="36">
      <formula>$E$172 &lt; 0</formula>
    </cfRule>
  </conditionalFormatting>
  <conditionalFormatting sqref="G150:I151 H172:I172">
    <cfRule type="expression" dxfId="1468" priority="31">
      <formula>$H$172 &gt; 0</formula>
    </cfRule>
    <cfRule type="expression" dxfId="1467" priority="32">
      <formula>$H$172 = 0</formula>
    </cfRule>
    <cfRule type="expression" dxfId="1466" priority="33">
      <formula>$H$172 &lt; 0</formula>
    </cfRule>
  </conditionalFormatting>
  <conditionalFormatting sqref="J150:L151 K172:L172">
    <cfRule type="expression" dxfId="1465" priority="28">
      <formula>$K$172 &gt; 0</formula>
    </cfRule>
    <cfRule type="expression" dxfId="1464" priority="29">
      <formula>$K$172 = 0</formula>
    </cfRule>
    <cfRule type="expression" dxfId="1463" priority="30">
      <formula>$K$172 &lt; 0</formula>
    </cfRule>
  </conditionalFormatting>
  <conditionalFormatting sqref="M150:O151 N172:O172">
    <cfRule type="expression" dxfId="1462" priority="25">
      <formula>$N$172 &gt; 0</formula>
    </cfRule>
    <cfRule type="expression" dxfId="1461" priority="26">
      <formula>$N$172 = 0</formula>
    </cfRule>
    <cfRule type="expression" dxfId="1460" priority="27">
      <formula>$N$172 &lt; 0</formula>
    </cfRule>
  </conditionalFormatting>
  <conditionalFormatting sqref="A179:C198 M179:O198">
    <cfRule type="expression" dxfId="1459" priority="13">
      <formula>AND($N179 &gt; 0, ISNUMBER($N179))</formula>
    </cfRule>
    <cfRule type="expression" dxfId="1458" priority="14">
      <formula>AND($N179 = 0 * ISNUMBER($N179))</formula>
    </cfRule>
    <cfRule type="expression" dxfId="1457" priority="15">
      <formula>AND($N179 &lt; 0, ISNUMBER($N179))</formula>
    </cfRule>
  </conditionalFormatting>
  <conditionalFormatting sqref="A179:F198">
    <cfRule type="expression" dxfId="1456" priority="22">
      <formula>AND($E179 &gt; 0, ISNUMBER($E179))</formula>
    </cfRule>
    <cfRule type="expression" dxfId="1455" priority="23">
      <formula>AND($E179 = 0 * ISNUMBER($E179))</formula>
    </cfRule>
    <cfRule type="expression" dxfId="1454" priority="24">
      <formula>AND($E179 &lt; 0, ISNUMBER($E179))</formula>
    </cfRule>
  </conditionalFormatting>
  <conditionalFormatting sqref="A179:C198 G179:I198">
    <cfRule type="expression" dxfId="1453" priority="19">
      <formula>AND($H179 &gt; 0, ISNUMBER($H179))</formula>
    </cfRule>
    <cfRule type="expression" dxfId="1452" priority="20">
      <formula>AND($H179 = 0 * ISNUMBER($H179))</formula>
    </cfRule>
    <cfRule type="expression" dxfId="1451" priority="21">
      <formula>AND($H179 &lt; 0, ISNUMBER($H179))</formula>
    </cfRule>
  </conditionalFormatting>
  <conditionalFormatting sqref="A179:C198 J179:L198">
    <cfRule type="expression" dxfId="1450" priority="16">
      <formula>AND($K179 &gt; 0, ISNUMBER($K179))</formula>
    </cfRule>
    <cfRule type="expression" dxfId="1449" priority="17">
      <formula>AND($K179 = 0 * ISNUMBER($K179))</formula>
    </cfRule>
    <cfRule type="expression" dxfId="1448" priority="18">
      <formula>AND($K179 &lt; 0, ISNUMBER($K179))</formula>
    </cfRule>
  </conditionalFormatting>
  <conditionalFormatting sqref="D177:F178 E199:F199">
    <cfRule type="expression" dxfId="1447" priority="10">
      <formula>$E$199 &gt; 0</formula>
    </cfRule>
    <cfRule type="expression" dxfId="1446" priority="11">
      <formula>$E$199 = 0</formula>
    </cfRule>
    <cfRule type="expression" dxfId="1445" priority="12">
      <formula>$E$199 &lt; 0</formula>
    </cfRule>
  </conditionalFormatting>
  <conditionalFormatting sqref="G177:I178 H199:I199">
    <cfRule type="expression" dxfId="1444" priority="7">
      <formula>$H$199 &gt; 0</formula>
    </cfRule>
    <cfRule type="expression" dxfId="1443" priority="8">
      <formula>$H$199 = 0</formula>
    </cfRule>
    <cfRule type="expression" dxfId="1442" priority="9">
      <formula>$H$199 &lt; 0</formula>
    </cfRule>
  </conditionalFormatting>
  <conditionalFormatting sqref="J177:L178 K199:L199">
    <cfRule type="expression" dxfId="1441" priority="4">
      <formula>$K$199 &gt; 0</formula>
    </cfRule>
    <cfRule type="expression" dxfId="1440" priority="5">
      <formula>$K$199 = 0</formula>
    </cfRule>
    <cfRule type="expression" dxfId="1439" priority="6">
      <formula>$K$199 &lt; 0</formula>
    </cfRule>
  </conditionalFormatting>
  <conditionalFormatting sqref="M177:O178 N199:O199">
    <cfRule type="expression" dxfId="1438" priority="1">
      <formula>$N$199 &gt; 0</formula>
    </cfRule>
    <cfRule type="expression" dxfId="1437" priority="2">
      <formula>$N$199 = 0</formula>
    </cfRule>
    <cfRule type="expression" dxfId="14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44324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6" t="s">
        <v>3</v>
      </c>
      <c r="B2" s="247" t="s">
        <v>4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5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7" t="s">
        <v>7</v>
      </c>
      <c r="B3" s="253" t="s">
        <v>8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257"/>
      <c r="I3" s="258"/>
      <c r="J3" s="4" t="s">
        <v>7</v>
      </c>
      <c r="K3" s="253" t="s">
        <v>9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53" t="s">
        <v>12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13</v>
      </c>
      <c r="L4" s="254"/>
      <c r="M4" s="254"/>
      <c r="N4" s="254"/>
      <c r="O4" s="255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53" t="s">
        <v>16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257"/>
      <c r="I5" s="258"/>
      <c r="J5" s="4" t="s">
        <v>15</v>
      </c>
      <c r="K5" s="253" t="s">
        <v>17</v>
      </c>
      <c r="L5" s="254"/>
      <c r="M5" s="254"/>
      <c r="N5" s="254"/>
      <c r="O5" s="255"/>
    </row>
    <row r="6" spans="1:19">
      <c r="A6" s="117" t="s">
        <v>18</v>
      </c>
      <c r="B6" s="253" t="s">
        <v>19</v>
      </c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20</v>
      </c>
      <c r="L6" s="254"/>
      <c r="M6" s="254"/>
      <c r="N6" s="254"/>
      <c r="O6" s="255"/>
    </row>
    <row r="7" spans="1:19" ht="17.25" thickBot="1">
      <c r="A7" s="117" t="s">
        <v>21</v>
      </c>
      <c r="B7" s="253" t="s">
        <v>22</v>
      </c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257"/>
      <c r="I7" s="258"/>
      <c r="J7" s="4" t="s">
        <v>21</v>
      </c>
      <c r="K7" s="253" t="s">
        <v>375</v>
      </c>
      <c r="L7" s="254"/>
      <c r="M7" s="254"/>
      <c r="N7" s="254"/>
      <c r="O7" s="255"/>
    </row>
    <row r="8" spans="1:19" ht="17.25" thickBot="1">
      <c r="A8" s="117" t="s">
        <v>24</v>
      </c>
      <c r="B8" s="253" t="s">
        <v>25</v>
      </c>
      <c r="C8" s="254"/>
      <c r="D8" s="254"/>
      <c r="E8" s="254"/>
      <c r="F8" s="255"/>
      <c r="G8" s="250" t="s">
        <v>285</v>
      </c>
      <c r="H8" s="251"/>
      <c r="I8" s="252"/>
      <c r="J8" s="4" t="s">
        <v>24</v>
      </c>
      <c r="K8" s="253" t="s">
        <v>26</v>
      </c>
      <c r="L8" s="254"/>
      <c r="M8" s="254"/>
      <c r="N8" s="254"/>
      <c r="O8" s="255"/>
      <c r="Q8" s="241" t="s">
        <v>27</v>
      </c>
      <c r="R8" s="243"/>
    </row>
    <row r="9" spans="1:19" ht="17.25" thickBot="1">
      <c r="A9" s="117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257"/>
      <c r="I9" s="258"/>
      <c r="J9" s="4" t="s">
        <v>28</v>
      </c>
      <c r="K9" s="253" t="s">
        <v>293</v>
      </c>
      <c r="L9" s="254"/>
      <c r="M9" s="254"/>
      <c r="N9" s="254"/>
      <c r="O9" s="255"/>
      <c r="Q9" s="2" t="s">
        <v>29</v>
      </c>
      <c r="R9" s="6">
        <v>10</v>
      </c>
    </row>
    <row r="10" spans="1:19">
      <c r="A10" s="117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/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8" t="s">
        <v>32</v>
      </c>
      <c r="B11" s="259"/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257"/>
      <c r="I11" s="258"/>
      <c r="J11" s="7" t="s">
        <v>32</v>
      </c>
      <c r="K11" s="259"/>
      <c r="L11" s="260"/>
      <c r="M11" s="260"/>
      <c r="N11" s="260"/>
      <c r="O11" s="261"/>
      <c r="Q11" s="61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67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62017000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-1.6680144000000001E-2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2021-05-08(토) 오전 00:00</v>
      </c>
      <c r="C15" s="308"/>
      <c r="D15" s="264" t="str">
        <f>TEXT($G$1, "[$-ko-KR]yyyy-mm-dd(ddd) ") &amp; "오후 14:00"</f>
        <v>2021-05-08(토) 오후 14:00</v>
      </c>
      <c r="E15" s="265"/>
      <c r="F15" s="266"/>
      <c r="G15" s="264" t="str">
        <f>TEXT($G$1, "[$-ko-KR]yyyy-mm-dd(ddd) ") &amp; "오후 19:00"</f>
        <v>2021-05-08(토) 오후 19:00</v>
      </c>
      <c r="H15" s="265"/>
      <c r="I15" s="266"/>
      <c r="J15" s="264" t="str">
        <f>TEXT($G$1, "[$-ko-KR]yyyy-mm-dd(ddd) ") &amp; "오후 21:00"</f>
        <v>2021-05-08(토) 오후 21:00</v>
      </c>
      <c r="K15" s="265"/>
      <c r="L15" s="266"/>
      <c r="M15" s="264" t="str">
        <f>TEXT($G$1+1, "[$-ko-KR]yyyy-mm-dd(ddd) ") &amp; "오전 00:00"</f>
        <v>2021-05-09(일)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7"/>
      <c r="R16" s="267"/>
      <c r="S16" s="267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262"/>
      <c r="R17" s="262"/>
      <c r="S17" s="262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262"/>
      <c r="R18" s="262"/>
      <c r="S18" s="262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267"/>
      <c r="R19" s="267"/>
      <c r="S19" s="267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267"/>
      <c r="R20" s="267"/>
      <c r="S20" s="267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267"/>
      <c r="R21" s="267"/>
      <c r="S21" s="267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267"/>
      <c r="R22" s="267"/>
      <c r="S22" s="267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267"/>
      <c r="R23" s="267"/>
      <c r="S23" s="267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267"/>
      <c r="R24" s="267"/>
      <c r="S24" s="267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276"/>
      <c r="R26" s="277"/>
      <c r="S26" s="278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279"/>
      <c r="R27" s="280"/>
      <c r="S27" s="281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282"/>
      <c r="R28" s="283"/>
      <c r="S28" s="284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267"/>
      <c r="R29" s="267"/>
      <c r="S29" s="267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262"/>
      <c r="R30" s="262"/>
      <c r="S30" s="262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262"/>
      <c r="R31" s="262"/>
      <c r="S31" s="262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267"/>
      <c r="R32" s="267"/>
      <c r="S32" s="267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267"/>
      <c r="R33" s="267"/>
      <c r="S33" s="267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267"/>
      <c r="R34" s="267"/>
      <c r="S34" s="267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289"/>
      <c r="R35" s="290"/>
      <c r="S35" s="291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292"/>
      <c r="R36" s="293"/>
      <c r="S36" s="294"/>
    </row>
    <row r="37" spans="1:19" ht="17.25" customHeight="1" thickBot="1">
      <c r="A37" s="131" t="s">
        <v>42</v>
      </c>
      <c r="B37" s="300">
        <v>150000</v>
      </c>
      <c r="C37" s="301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67" t="s">
        <v>298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62017000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-1.6680144000000001E-2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2021-05-08(토) 오전 00:00</v>
      </c>
      <c r="C42" s="305"/>
      <c r="D42" s="264" t="str">
        <f>TEXT($G$1, "[$-ko-KR]yyyy-mm-dd(ddd) ") &amp; "오후 14:00"</f>
        <v>2021-05-08(토) 오후 14:00</v>
      </c>
      <c r="E42" s="265"/>
      <c r="F42" s="266"/>
      <c r="G42" s="264" t="str">
        <f>TEXT($G$1, "[$-ko-KR]yyyy-mm-dd(ddd) ") &amp; "오후 19:00"</f>
        <v>2021-05-08(토) 오후 19:00</v>
      </c>
      <c r="H42" s="265"/>
      <c r="I42" s="266"/>
      <c r="J42" s="264" t="str">
        <f>TEXT($G$1, "[$-ko-KR]yyyy-mm-dd(ddd) ") &amp; "오후 21:00"</f>
        <v>2021-05-08(토) 오후 21:00</v>
      </c>
      <c r="K42" s="265"/>
      <c r="L42" s="266"/>
      <c r="M42" s="264" t="str">
        <f>TEXT($G$1+1, "[$-ko-KR]yyyy-mm-dd(ddd) ") &amp; "오전 00:00"</f>
        <v>2021-05-09(일)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7"/>
      <c r="R43" s="267"/>
      <c r="S43" s="267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262"/>
      <c r="R44" s="262"/>
      <c r="S44" s="262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262"/>
      <c r="R45" s="262"/>
      <c r="S45" s="262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267"/>
      <c r="R46" s="267"/>
      <c r="S46" s="267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267"/>
      <c r="R47" s="267"/>
      <c r="S47" s="267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267"/>
      <c r="R48" s="267"/>
      <c r="S48" s="267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267"/>
      <c r="R49" s="267"/>
      <c r="S49" s="267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267"/>
      <c r="R50" s="267"/>
      <c r="S50" s="267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267"/>
      <c r="R51" s="267"/>
      <c r="S51" s="267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276"/>
      <c r="R53" s="277"/>
      <c r="S53" s="278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279"/>
      <c r="R54" s="280"/>
      <c r="S54" s="281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282"/>
      <c r="R55" s="283"/>
      <c r="S55" s="284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267"/>
      <c r="R56" s="267"/>
      <c r="S56" s="267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262"/>
      <c r="R57" s="262"/>
      <c r="S57" s="262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262"/>
      <c r="R58" s="262"/>
      <c r="S58" s="262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267"/>
      <c r="R59" s="267"/>
      <c r="S59" s="267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267"/>
      <c r="R60" s="267"/>
      <c r="S60" s="267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267"/>
      <c r="R61" s="267"/>
      <c r="S61" s="267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289"/>
      <c r="R62" s="290"/>
      <c r="S62" s="29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92"/>
      <c r="R63" s="293"/>
      <c r="S63" s="294"/>
    </row>
    <row r="64" spans="1:19" ht="17.25" customHeight="1" thickBot="1">
      <c r="A64" s="131" t="s">
        <v>301</v>
      </c>
      <c r="B64" s="300">
        <f>$B$37</f>
        <v>150000</v>
      </c>
      <c r="C64" s="301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67" t="s">
        <v>298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62017000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-1.6680144000000001E-2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2021-05-08(토) 오전 00:00</v>
      </c>
      <c r="C69" s="305"/>
      <c r="D69" s="264" t="str">
        <f>TEXT($G$1, "[$-ko-KR]yyyy-mm-dd(ddd) ") &amp; "오후 14:00"</f>
        <v>2021-05-08(토) 오후 14:00</v>
      </c>
      <c r="E69" s="265"/>
      <c r="F69" s="266"/>
      <c r="G69" s="264" t="str">
        <f>TEXT($G$1, "[$-ko-KR]yyyy-mm-dd(ddd) ") &amp; "오후 19:00"</f>
        <v>2021-05-08(토) 오후 19:00</v>
      </c>
      <c r="H69" s="265"/>
      <c r="I69" s="266"/>
      <c r="J69" s="264" t="str">
        <f>TEXT($G$1, "[$-ko-KR]yyyy-mm-dd(ddd) ") &amp; "오후 21:00"</f>
        <v>2021-05-08(토) 오후 21:00</v>
      </c>
      <c r="K69" s="265"/>
      <c r="L69" s="266"/>
      <c r="M69" s="264" t="str">
        <f>TEXT($G$1+1, "[$-ko-KR]yyyy-mm-dd(ddd) ") &amp; "오전 00:00"</f>
        <v>2021-05-09(일) 오전 00:00</v>
      </c>
      <c r="N69" s="265"/>
      <c r="O69" s="266"/>
      <c r="Q69" s="262"/>
      <c r="R69" s="262"/>
      <c r="S69" s="262"/>
    </row>
    <row r="70" spans="1:19" ht="17.25" thickBot="1">
      <c r="A70" s="30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7"/>
      <c r="R70" s="267"/>
      <c r="S70" s="267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262"/>
      <c r="R71" s="262"/>
      <c r="S71" s="262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262"/>
      <c r="R72" s="262"/>
      <c r="S72" s="262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267"/>
      <c r="R73" s="267"/>
      <c r="S73" s="267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267"/>
      <c r="R74" s="267"/>
      <c r="S74" s="267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267"/>
      <c r="R75" s="267"/>
      <c r="S75" s="267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267"/>
      <c r="R76" s="267"/>
      <c r="S76" s="267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267"/>
      <c r="R77" s="267"/>
      <c r="S77" s="267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267"/>
      <c r="R78" s="267"/>
      <c r="S78" s="267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276"/>
      <c r="R80" s="277"/>
      <c r="S80" s="278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279"/>
      <c r="R81" s="280"/>
      <c r="S81" s="281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282"/>
      <c r="R82" s="283"/>
      <c r="S82" s="284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267"/>
      <c r="R83" s="267"/>
      <c r="S83" s="267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262"/>
      <c r="R84" s="262"/>
      <c r="S84" s="262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262"/>
      <c r="R85" s="262"/>
      <c r="S85" s="262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267"/>
      <c r="R86" s="267"/>
      <c r="S86" s="267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267"/>
      <c r="R87" s="267"/>
      <c r="S87" s="267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267"/>
      <c r="R88" s="267"/>
      <c r="S88" s="267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289"/>
      <c r="R89" s="290"/>
      <c r="S89" s="291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292"/>
      <c r="R90" s="293"/>
      <c r="S90" s="294"/>
    </row>
    <row r="91" spans="1:19" ht="17.25" thickBot="1">
      <c r="A91" s="131" t="s">
        <v>301</v>
      </c>
      <c r="B91" s="300">
        <f>$B$37</f>
        <v>150000</v>
      </c>
      <c r="C91" s="301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67" t="s">
        <v>298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62017000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-1.6680144000000001E-2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2021-05-08(토) 오전 00:00</v>
      </c>
      <c r="C96" s="305"/>
      <c r="D96" s="264" t="str">
        <f>TEXT($G$1, "[$-ko-KR]yyyy-mm-dd(ddd) ") &amp; "오후 14:00"</f>
        <v>2021-05-08(토) 오후 14:00</v>
      </c>
      <c r="E96" s="265"/>
      <c r="F96" s="266"/>
      <c r="G96" s="264" t="str">
        <f>TEXT($G$1, "[$-ko-KR]yyyy-mm-dd(ddd) ") &amp; "오후 19:00"</f>
        <v>2021-05-08(토) 오후 19:00</v>
      </c>
      <c r="H96" s="265"/>
      <c r="I96" s="266"/>
      <c r="J96" s="264" t="str">
        <f>TEXT($G$1, "[$-ko-KR]yyyy-mm-dd(ddd) ") &amp; "오후 21:00"</f>
        <v>2021-05-08(토) 오후 21:00</v>
      </c>
      <c r="K96" s="265"/>
      <c r="L96" s="266"/>
      <c r="M96" s="264" t="str">
        <f>TEXT($G$1+1, "[$-ko-KR]yyyy-mm-dd(ddd) ") &amp; "오전 00:00"</f>
        <v>2021-05-09(일) 오전 00:00</v>
      </c>
      <c r="N96" s="265"/>
      <c r="O96" s="266"/>
      <c r="Q96" s="262"/>
      <c r="R96" s="262"/>
      <c r="S96" s="262"/>
    </row>
    <row r="97" spans="1:19" ht="17.25" thickBot="1">
      <c r="A97" s="30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7"/>
      <c r="R97" s="267"/>
      <c r="S97" s="267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262"/>
      <c r="R98" s="262"/>
      <c r="S98" s="262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262"/>
      <c r="R99" s="262"/>
      <c r="S99" s="262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267"/>
      <c r="R100" s="267"/>
      <c r="S100" s="267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267"/>
      <c r="R101" s="267"/>
      <c r="S101" s="267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267"/>
      <c r="R102" s="267"/>
      <c r="S102" s="267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267"/>
      <c r="R103" s="267"/>
      <c r="S103" s="267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267"/>
      <c r="R104" s="267"/>
      <c r="S104" s="267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267"/>
      <c r="R105" s="267"/>
      <c r="S105" s="267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276"/>
      <c r="R107" s="277"/>
      <c r="S107" s="278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279"/>
      <c r="R108" s="280"/>
      <c r="S108" s="281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282"/>
      <c r="R109" s="283"/>
      <c r="S109" s="284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267"/>
      <c r="R110" s="267"/>
      <c r="S110" s="267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262"/>
      <c r="R111" s="262"/>
      <c r="S111" s="262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262"/>
      <c r="R112" s="262"/>
      <c r="S112" s="262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267"/>
      <c r="R113" s="267"/>
      <c r="S113" s="267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267"/>
      <c r="R114" s="267"/>
      <c r="S114" s="267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267"/>
      <c r="R115" s="267"/>
      <c r="S115" s="267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289"/>
      <c r="R116" s="290"/>
      <c r="S116" s="291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292"/>
      <c r="R117" s="293"/>
      <c r="S117" s="294"/>
    </row>
    <row r="118" spans="1:19" ht="17.25" thickBot="1">
      <c r="A118" s="131" t="s">
        <v>301</v>
      </c>
      <c r="B118" s="300">
        <f>$B$37</f>
        <v>150000</v>
      </c>
      <c r="C118" s="301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295"/>
      <c r="R118" s="296"/>
      <c r="S118" s="297"/>
    </row>
    <row r="120" spans="1:19" ht="17.25" thickBot="1"/>
    <row r="121" spans="1:19" ht="17.25" thickBot="1">
      <c r="A121" s="241" t="s">
        <v>288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67" t="s">
        <v>298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62017000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-1.6680144000000001E-2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2021-05-08(토) 오전 00:00</v>
      </c>
      <c r="C123" s="305"/>
      <c r="D123" s="264" t="str">
        <f>TEXT($G$1, "[$-ko-KR]yyyy-mm-dd(ddd) ") &amp; "오후 14:00"</f>
        <v>2021-05-08(토) 오후 14:00</v>
      </c>
      <c r="E123" s="265"/>
      <c r="F123" s="266"/>
      <c r="G123" s="264" t="str">
        <f>TEXT($G$1, "[$-ko-KR]yyyy-mm-dd(ddd) ") &amp; "오후 19:00"</f>
        <v>2021-05-08(토) 오후 19:00</v>
      </c>
      <c r="H123" s="265"/>
      <c r="I123" s="266"/>
      <c r="J123" s="264" t="str">
        <f>TEXT($G$1, "[$-ko-KR]yyyy-mm-dd(ddd) ") &amp; "오후 21:00"</f>
        <v>2021-05-08(토) 오후 21:00</v>
      </c>
      <c r="K123" s="265"/>
      <c r="L123" s="266"/>
      <c r="M123" s="264" t="str">
        <f>TEXT($G$1+1, "[$-ko-KR]yyyy-mm-dd(ddd) ") &amp; "오전 00:00"</f>
        <v>2021-05-09(일)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7"/>
      <c r="R124" s="267"/>
      <c r="S124" s="267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262"/>
      <c r="R125" s="262"/>
      <c r="S125" s="262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262"/>
      <c r="R126" s="262"/>
      <c r="S126" s="262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267"/>
      <c r="R127" s="267"/>
      <c r="S127" s="267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267"/>
      <c r="R128" s="267"/>
      <c r="S128" s="267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267"/>
      <c r="R129" s="267"/>
      <c r="S129" s="267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267"/>
      <c r="R130" s="267"/>
      <c r="S130" s="267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267"/>
      <c r="R131" s="267"/>
      <c r="S131" s="267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267"/>
      <c r="R132" s="267"/>
      <c r="S132" s="267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276"/>
      <c r="R134" s="277"/>
      <c r="S134" s="278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279"/>
      <c r="R135" s="280"/>
      <c r="S135" s="281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282"/>
      <c r="R136" s="283"/>
      <c r="S136" s="284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267"/>
      <c r="R137" s="267"/>
      <c r="S137" s="267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262"/>
      <c r="R138" s="262"/>
      <c r="S138" s="262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262"/>
      <c r="R139" s="262"/>
      <c r="S139" s="262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267"/>
      <c r="R140" s="267"/>
      <c r="S140" s="267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267"/>
      <c r="R141" s="267"/>
      <c r="S141" s="267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267"/>
      <c r="R142" s="267"/>
      <c r="S142" s="267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289"/>
      <c r="R143" s="290"/>
      <c r="S143" s="29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92"/>
      <c r="R144" s="293"/>
      <c r="S144" s="294"/>
    </row>
    <row r="145" spans="1:19" ht="17.25" thickBot="1">
      <c r="A145" s="131" t="s">
        <v>301</v>
      </c>
      <c r="B145" s="300">
        <f>$B$37</f>
        <v>150000</v>
      </c>
      <c r="C145" s="301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295"/>
      <c r="R145" s="296"/>
      <c r="S145" s="297"/>
    </row>
    <row r="147" spans="1:19" ht="17.25" thickBot="1"/>
    <row r="148" spans="1:19" ht="17.25" thickBot="1">
      <c r="A148" s="241" t="s">
        <v>289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67" t="s">
        <v>298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62017000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-1.6680144000000001E-2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2021-05-08(토) 오전 00:00</v>
      </c>
      <c r="C150" s="305"/>
      <c r="D150" s="264" t="str">
        <f>TEXT($G$1, "[$-ko-KR]yyyy-mm-dd(ddd) ") &amp; "오후 14:00"</f>
        <v>2021-05-08(토) 오후 14:00</v>
      </c>
      <c r="E150" s="265"/>
      <c r="F150" s="266"/>
      <c r="G150" s="264" t="str">
        <f>TEXT($G$1, "[$-ko-KR]yyyy-mm-dd(ddd) ") &amp; "오후 19:00"</f>
        <v>2021-05-08(토) 오후 19:00</v>
      </c>
      <c r="H150" s="265"/>
      <c r="I150" s="266"/>
      <c r="J150" s="264" t="str">
        <f>TEXT($G$1, "[$-ko-KR]yyyy-mm-dd(ddd) ") &amp; "오후 21:00"</f>
        <v>2021-05-08(토) 오후 21:00</v>
      </c>
      <c r="K150" s="265"/>
      <c r="L150" s="266"/>
      <c r="M150" s="264" t="str">
        <f>TEXT($G$1+1, "[$-ko-KR]yyyy-mm-dd(ddd) ") &amp; "오전 00:00"</f>
        <v>2021-05-09(일)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7"/>
      <c r="R151" s="267"/>
      <c r="S151" s="267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262"/>
      <c r="R152" s="262"/>
      <c r="S152" s="262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262"/>
      <c r="R153" s="262"/>
      <c r="S153" s="262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267"/>
      <c r="R154" s="267"/>
      <c r="S154" s="267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267"/>
      <c r="R155" s="267"/>
      <c r="S155" s="267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267"/>
      <c r="R156" s="267"/>
      <c r="S156" s="267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267"/>
      <c r="R157" s="267"/>
      <c r="S157" s="267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267"/>
      <c r="R158" s="267"/>
      <c r="S158" s="267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267"/>
      <c r="R159" s="267"/>
      <c r="S159" s="267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276"/>
      <c r="R161" s="277"/>
      <c r="S161" s="278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279"/>
      <c r="R162" s="280"/>
      <c r="S162" s="281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282"/>
      <c r="R163" s="283"/>
      <c r="S163" s="284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267"/>
      <c r="R164" s="267"/>
      <c r="S164" s="267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262"/>
      <c r="R165" s="262"/>
      <c r="S165" s="262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262"/>
      <c r="R166" s="262"/>
      <c r="S166" s="262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267"/>
      <c r="R167" s="267"/>
      <c r="S167" s="267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267"/>
      <c r="R168" s="267"/>
      <c r="S168" s="267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267"/>
      <c r="R169" s="267"/>
      <c r="S169" s="267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289"/>
      <c r="R170" s="290"/>
      <c r="S170" s="291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292"/>
      <c r="R171" s="293"/>
      <c r="S171" s="294"/>
    </row>
    <row r="172" spans="1:19" ht="17.25" thickBot="1">
      <c r="A172" s="131" t="s">
        <v>301</v>
      </c>
      <c r="B172" s="300">
        <f>$B$37</f>
        <v>150000</v>
      </c>
      <c r="C172" s="301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295"/>
      <c r="R172" s="296"/>
      <c r="S172" s="297"/>
    </row>
    <row r="174" spans="1:19" ht="17.25" thickBot="1"/>
    <row r="175" spans="1:19" ht="17.25" thickBot="1">
      <c r="A175" s="241" t="s">
        <v>285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67" t="s">
        <v>298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62017000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-1.6680144000000001E-2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2021-05-08(토) 오전 00:00</v>
      </c>
      <c r="C177" s="305"/>
      <c r="D177" s="264" t="str">
        <f>TEXT($G$1, "[$-ko-KR]yyyy-mm-dd(ddd) ") &amp; "오후 14:00"</f>
        <v>2021-05-08(토) 오후 14:00</v>
      </c>
      <c r="E177" s="265"/>
      <c r="F177" s="266"/>
      <c r="G177" s="264" t="str">
        <f>TEXT($G$1, "[$-ko-KR]yyyy-mm-dd(ddd) ") &amp; "오후 19:00"</f>
        <v>2021-05-08(토) 오후 19:00</v>
      </c>
      <c r="H177" s="265"/>
      <c r="I177" s="266"/>
      <c r="J177" s="264" t="str">
        <f>TEXT($G$1, "[$-ko-KR]yyyy-mm-dd(ddd) ") &amp; "오후 21:00"</f>
        <v>2021-05-08(토) 오후 21:00</v>
      </c>
      <c r="K177" s="265"/>
      <c r="L177" s="266"/>
      <c r="M177" s="264" t="str">
        <f>TEXT($G$1+1, "[$-ko-KR]yyyy-mm-dd(ddd) ") &amp; "오전 00:00"</f>
        <v>2021-05-09(일)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7"/>
      <c r="R178" s="267"/>
      <c r="S178" s="267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262"/>
      <c r="R179" s="262"/>
      <c r="S179" s="262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262"/>
      <c r="R180" s="262"/>
      <c r="S180" s="262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267"/>
      <c r="R181" s="267"/>
      <c r="S181" s="267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267"/>
      <c r="R182" s="267"/>
      <c r="S182" s="267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267"/>
      <c r="R183" s="267"/>
      <c r="S183" s="267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267"/>
      <c r="R184" s="267"/>
      <c r="S184" s="267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267"/>
      <c r="R185" s="267"/>
      <c r="S185" s="267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267"/>
      <c r="R186" s="267"/>
      <c r="S186" s="267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276"/>
      <c r="R188" s="277"/>
      <c r="S188" s="278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279"/>
      <c r="R189" s="280"/>
      <c r="S189" s="281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282"/>
      <c r="R190" s="283"/>
      <c r="S190" s="284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267"/>
      <c r="R191" s="267"/>
      <c r="S191" s="267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262"/>
      <c r="R192" s="262"/>
      <c r="S192" s="262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262"/>
      <c r="R193" s="262"/>
      <c r="S193" s="262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267"/>
      <c r="R194" s="267"/>
      <c r="S194" s="267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267"/>
      <c r="R195" s="267"/>
      <c r="S195" s="267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267"/>
      <c r="R196" s="267"/>
      <c r="S196" s="267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289"/>
      <c r="R197" s="290"/>
      <c r="S197" s="291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292"/>
      <c r="R198" s="293"/>
      <c r="S198" s="294"/>
    </row>
    <row r="199" spans="1:19" ht="17.25" thickBot="1">
      <c r="A199" s="131" t="s">
        <v>301</v>
      </c>
      <c r="B199" s="300">
        <f>$B$37</f>
        <v>150000</v>
      </c>
      <c r="C199" s="301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5" priority="157">
      <formula>AND($N17 &gt; 0, ISNUMBER($N17))</formula>
    </cfRule>
    <cfRule type="expression" dxfId="1424" priority="158">
      <formula>AND($N17 = 0 * ISNUMBER($N17))</formula>
    </cfRule>
    <cfRule type="expression" dxfId="1423" priority="159">
      <formula>AND($N17 &lt; 0, ISNUMBER($N17))</formula>
    </cfRule>
  </conditionalFormatting>
  <conditionalFormatting sqref="A17:F36">
    <cfRule type="expression" dxfId="1422" priority="166">
      <formula>AND($E17 &gt; 0, ISNUMBER($E17))</formula>
    </cfRule>
    <cfRule type="expression" dxfId="1421" priority="167">
      <formula>AND($E17 = 0 * ISNUMBER($E17))</formula>
    </cfRule>
    <cfRule type="expression" dxfId="1420" priority="168">
      <formula>AND($E17 &lt; 0, ISNUMBER($E17))</formula>
    </cfRule>
  </conditionalFormatting>
  <conditionalFormatting sqref="A17:C36 G17:I36">
    <cfRule type="expression" dxfId="1419" priority="163">
      <formula>AND($H17 &gt; 0, ISNUMBER($H17))</formula>
    </cfRule>
    <cfRule type="expression" dxfId="1418" priority="164">
      <formula>AND($H17 = 0 * ISNUMBER($H17))</formula>
    </cfRule>
    <cfRule type="expression" dxfId="1417" priority="165">
      <formula>AND($H17 &lt; 0, ISNUMBER($H17))</formula>
    </cfRule>
  </conditionalFormatting>
  <conditionalFormatting sqref="A17:C36 J17:L36">
    <cfRule type="expression" dxfId="1416" priority="160">
      <formula>AND($K17 &gt; 0, ISNUMBER($K17))</formula>
    </cfRule>
    <cfRule type="expression" dxfId="1415" priority="161">
      <formula>AND($K17 = 0 * ISNUMBER($K17))</formula>
    </cfRule>
    <cfRule type="expression" dxfId="1414" priority="162">
      <formula>AND($K17 &lt; 0, ISNUMBER($K17))</formula>
    </cfRule>
  </conditionalFormatting>
  <conditionalFormatting sqref="D15:F16 E37:F37">
    <cfRule type="expression" dxfId="1413" priority="154">
      <formula>$E$37 &gt; 0</formula>
    </cfRule>
    <cfRule type="expression" dxfId="1412" priority="155">
      <formula>$E$37 = 0</formula>
    </cfRule>
    <cfRule type="expression" dxfId="1411" priority="156">
      <formula>$E$37 &lt; 0</formula>
    </cfRule>
  </conditionalFormatting>
  <conditionalFormatting sqref="G15:I16 H37:I37">
    <cfRule type="expression" dxfId="1410" priority="151">
      <formula>$H$37 &gt; 0</formula>
    </cfRule>
    <cfRule type="expression" dxfId="1409" priority="152">
      <formula>$H$37 = 0</formula>
    </cfRule>
    <cfRule type="expression" dxfId="1408" priority="153">
      <formula>$H$37 &lt; 0</formula>
    </cfRule>
  </conditionalFormatting>
  <conditionalFormatting sqref="J15:L16 K37:L37">
    <cfRule type="expression" dxfId="1407" priority="148">
      <formula>$K$37 &gt; 0</formula>
    </cfRule>
    <cfRule type="expression" dxfId="1406" priority="149">
      <formula>$K$37 = 0</formula>
    </cfRule>
    <cfRule type="expression" dxfId="1405" priority="150">
      <formula>$K$37 &lt; 0</formula>
    </cfRule>
  </conditionalFormatting>
  <conditionalFormatting sqref="M15:O16 N37:O37">
    <cfRule type="expression" dxfId="1404" priority="145">
      <formula>$N$37 &gt; 0</formula>
    </cfRule>
    <cfRule type="expression" dxfId="1403" priority="146">
      <formula>$N$37 = 0</formula>
    </cfRule>
    <cfRule type="expression" dxfId="1402" priority="147">
      <formula>$N$37 &lt; 0</formula>
    </cfRule>
  </conditionalFormatting>
  <conditionalFormatting sqref="A44:C63 M44:O63">
    <cfRule type="expression" dxfId="1401" priority="133">
      <formula>AND($N44 &gt; 0, ISNUMBER($N44))</formula>
    </cfRule>
    <cfRule type="expression" dxfId="1400" priority="134">
      <formula>AND($N44 = 0 * ISNUMBER($N44))</formula>
    </cfRule>
    <cfRule type="expression" dxfId="1399" priority="135">
      <formula>AND($N44 &lt; 0, ISNUMBER($N44))</formula>
    </cfRule>
  </conditionalFormatting>
  <conditionalFormatting sqref="A44:F63">
    <cfRule type="expression" dxfId="1398" priority="142">
      <formula>AND($E44 &gt; 0, ISNUMBER($E44))</formula>
    </cfRule>
    <cfRule type="expression" dxfId="1397" priority="143">
      <formula>AND($E44 = 0 * ISNUMBER($E44))</formula>
    </cfRule>
    <cfRule type="expression" dxfId="1396" priority="144">
      <formula>AND($E44 &lt; 0, ISNUMBER($E44))</formula>
    </cfRule>
  </conditionalFormatting>
  <conditionalFormatting sqref="A44:C63 G44:I63">
    <cfRule type="expression" dxfId="1395" priority="139">
      <formula>AND($H44 &gt; 0, ISNUMBER($H44))</formula>
    </cfRule>
    <cfRule type="expression" dxfId="1394" priority="140">
      <formula>AND($H44 = 0 * ISNUMBER($H44))</formula>
    </cfRule>
    <cfRule type="expression" dxfId="1393" priority="141">
      <formula>AND($H44 &lt; 0, ISNUMBER($H44))</formula>
    </cfRule>
  </conditionalFormatting>
  <conditionalFormatting sqref="A44:C63 J44:L63">
    <cfRule type="expression" dxfId="1392" priority="136">
      <formula>AND($K44 &gt; 0, ISNUMBER($K44))</formula>
    </cfRule>
    <cfRule type="expression" dxfId="1391" priority="137">
      <formula>AND($K44 = 0 * ISNUMBER($K44))</formula>
    </cfRule>
    <cfRule type="expression" dxfId="1390" priority="138">
      <formula>AND($K44 &lt; 0, ISNUMBER($K44))</formula>
    </cfRule>
  </conditionalFormatting>
  <conditionalFormatting sqref="D42:F43 E64:F64">
    <cfRule type="expression" dxfId="1389" priority="130">
      <formula>$E$64 &gt; 0</formula>
    </cfRule>
    <cfRule type="expression" dxfId="1388" priority="131">
      <formula>$E$64 = 0</formula>
    </cfRule>
    <cfRule type="expression" dxfId="1387" priority="132">
      <formula>$E$64 &lt; 0</formula>
    </cfRule>
  </conditionalFormatting>
  <conditionalFormatting sqref="G42:I43 H64:I64">
    <cfRule type="expression" dxfId="1386" priority="127">
      <formula>$H$64 &gt; 0</formula>
    </cfRule>
    <cfRule type="expression" dxfId="1385" priority="128">
      <formula>$H$64 = 0</formula>
    </cfRule>
    <cfRule type="expression" dxfId="1384" priority="129">
      <formula>$H$64 &lt; 0</formula>
    </cfRule>
  </conditionalFormatting>
  <conditionalFormatting sqref="J42:L43 K64:L64">
    <cfRule type="expression" dxfId="1383" priority="124">
      <formula>$K$64 &gt; 0</formula>
    </cfRule>
    <cfRule type="expression" dxfId="1382" priority="125">
      <formula>$K$64 = 0</formula>
    </cfRule>
    <cfRule type="expression" dxfId="1381" priority="126">
      <formula>$K$64 &lt; 0</formula>
    </cfRule>
  </conditionalFormatting>
  <conditionalFormatting sqref="M42:O43 N64:O64">
    <cfRule type="expression" dxfId="1380" priority="121">
      <formula>$N$64 &gt; 0</formula>
    </cfRule>
    <cfRule type="expression" dxfId="1379" priority="122">
      <formula>$N$64 = 0</formula>
    </cfRule>
    <cfRule type="expression" dxfId="1378" priority="123">
      <formula>$N$64 &lt; 0</formula>
    </cfRule>
  </conditionalFormatting>
  <conditionalFormatting sqref="A71:C90 M71:O90">
    <cfRule type="expression" dxfId="1377" priority="109">
      <formula>AND($N71 &gt; 0, ISNUMBER($N71))</formula>
    </cfRule>
    <cfRule type="expression" dxfId="1376" priority="110">
      <formula>AND($N71 = 0 * ISNUMBER($N71))</formula>
    </cfRule>
    <cfRule type="expression" dxfId="1375" priority="111">
      <formula>AND($N71 &lt; 0, ISNUMBER($N71))</formula>
    </cfRule>
  </conditionalFormatting>
  <conditionalFormatting sqref="A71:F90">
    <cfRule type="expression" dxfId="1374" priority="118">
      <formula>AND($E71 &gt; 0, ISNUMBER($E71))</formula>
    </cfRule>
    <cfRule type="expression" dxfId="1373" priority="119">
      <formula>AND($E71 = 0 * ISNUMBER($E71))</formula>
    </cfRule>
    <cfRule type="expression" dxfId="1372" priority="120">
      <formula>AND($E71 &lt; 0, ISNUMBER($E71))</formula>
    </cfRule>
  </conditionalFormatting>
  <conditionalFormatting sqref="A71:C90 G71:I90">
    <cfRule type="expression" dxfId="1371" priority="115">
      <formula>AND($H71 &gt; 0, ISNUMBER($H71))</formula>
    </cfRule>
    <cfRule type="expression" dxfId="1370" priority="116">
      <formula>AND($H71 = 0 * ISNUMBER($H71))</formula>
    </cfRule>
    <cfRule type="expression" dxfId="1369" priority="117">
      <formula>AND($H71 &lt; 0, ISNUMBER($H71))</formula>
    </cfRule>
  </conditionalFormatting>
  <conditionalFormatting sqref="A71:C90 J71:L90">
    <cfRule type="expression" dxfId="1368" priority="112">
      <formula>AND($K71 &gt; 0, ISNUMBER($K71))</formula>
    </cfRule>
    <cfRule type="expression" dxfId="1367" priority="113">
      <formula>AND($K71 = 0 * ISNUMBER($K71))</formula>
    </cfRule>
    <cfRule type="expression" dxfId="1366" priority="114">
      <formula>AND($K71 &lt; 0, ISNUMBER($K71))</formula>
    </cfRule>
  </conditionalFormatting>
  <conditionalFormatting sqref="D69:F70 E91:F91">
    <cfRule type="expression" dxfId="1365" priority="106">
      <formula>$E$91 &gt; 0</formula>
    </cfRule>
    <cfRule type="expression" dxfId="1364" priority="107">
      <formula>$E$91 = 0</formula>
    </cfRule>
    <cfRule type="expression" dxfId="1363" priority="108">
      <formula>$E$91 &lt; 0</formula>
    </cfRule>
  </conditionalFormatting>
  <conditionalFormatting sqref="G69:I70 H91:I91">
    <cfRule type="expression" dxfId="1362" priority="103">
      <formula>$H$91 &gt; 0</formula>
    </cfRule>
    <cfRule type="expression" dxfId="1361" priority="104">
      <formula>$H$91 = 0</formula>
    </cfRule>
    <cfRule type="expression" dxfId="1360" priority="105">
      <formula>$H$91 &lt; 0</formula>
    </cfRule>
  </conditionalFormatting>
  <conditionalFormatting sqref="J69:L70 K91:L91">
    <cfRule type="expression" dxfId="1359" priority="100">
      <formula>$K$91 &gt; 0</formula>
    </cfRule>
    <cfRule type="expression" dxfId="1358" priority="101">
      <formula>$K$91 = 0</formula>
    </cfRule>
    <cfRule type="expression" dxfId="1357" priority="102">
      <formula>$K$91 &lt; 0</formula>
    </cfRule>
  </conditionalFormatting>
  <conditionalFormatting sqref="M69:O70 N91:O91">
    <cfRule type="expression" dxfId="1356" priority="97">
      <formula>$N$91 &gt; 0</formula>
    </cfRule>
    <cfRule type="expression" dxfId="1355" priority="98">
      <formula>$N$91 = 0</formula>
    </cfRule>
    <cfRule type="expression" dxfId="1354" priority="99">
      <formula>$N$91 &lt; 0</formula>
    </cfRule>
  </conditionalFormatting>
  <conditionalFormatting sqref="A98:C117 M98:O117">
    <cfRule type="expression" dxfId="1353" priority="85">
      <formula>AND($N98 &gt; 0, ISNUMBER($N98))</formula>
    </cfRule>
    <cfRule type="expression" dxfId="1352" priority="86">
      <formula>AND($N98 = 0 * ISNUMBER($N98))</formula>
    </cfRule>
    <cfRule type="expression" dxfId="1351" priority="87">
      <formula>AND($N98 &lt; 0, ISNUMBER($N98))</formula>
    </cfRule>
  </conditionalFormatting>
  <conditionalFormatting sqref="A98:F117">
    <cfRule type="expression" dxfId="1350" priority="94">
      <formula>AND($E98 &gt; 0, ISNUMBER($E98))</formula>
    </cfRule>
    <cfRule type="expression" dxfId="1349" priority="95">
      <formula>AND($E98 = 0 * ISNUMBER($E98))</formula>
    </cfRule>
    <cfRule type="expression" dxfId="1348" priority="96">
      <formula>AND($E98 &lt; 0, ISNUMBER($E98))</formula>
    </cfRule>
  </conditionalFormatting>
  <conditionalFormatting sqref="A98:C117 G98:I117">
    <cfRule type="expression" dxfId="1347" priority="91">
      <formula>AND($H98 &gt; 0, ISNUMBER($H98))</formula>
    </cfRule>
    <cfRule type="expression" dxfId="1346" priority="92">
      <formula>AND($H98 = 0 * ISNUMBER($H98))</formula>
    </cfRule>
    <cfRule type="expression" dxfId="1345" priority="93">
      <formula>AND($H98 &lt; 0, ISNUMBER($H98))</formula>
    </cfRule>
  </conditionalFormatting>
  <conditionalFormatting sqref="A98:C117 J98:L117">
    <cfRule type="expression" dxfId="1344" priority="88">
      <formula>AND($K98 &gt; 0, ISNUMBER($K98))</formula>
    </cfRule>
    <cfRule type="expression" dxfId="1343" priority="89">
      <formula>AND($K98 = 0 * ISNUMBER($K98))</formula>
    </cfRule>
    <cfRule type="expression" dxfId="1342" priority="90">
      <formula>AND($K98 &lt; 0, ISNUMBER($K98))</formula>
    </cfRule>
  </conditionalFormatting>
  <conditionalFormatting sqref="D96:F97 E118:F118">
    <cfRule type="expression" dxfId="1341" priority="82">
      <formula>$E$118 &gt; 0</formula>
    </cfRule>
    <cfRule type="expression" dxfId="1340" priority="83">
      <formula>$E$118 = 0</formula>
    </cfRule>
    <cfRule type="expression" dxfId="1339" priority="84">
      <formula>$E$118 &lt; 0</formula>
    </cfRule>
  </conditionalFormatting>
  <conditionalFormatting sqref="G96:I97 H118:I118">
    <cfRule type="expression" dxfId="1338" priority="79">
      <formula>$H$118 &gt; 0</formula>
    </cfRule>
    <cfRule type="expression" dxfId="1337" priority="80">
      <formula>$H$118 = 0</formula>
    </cfRule>
    <cfRule type="expression" dxfId="1336" priority="81">
      <formula>$H$118 &lt; 0</formula>
    </cfRule>
  </conditionalFormatting>
  <conditionalFormatting sqref="J96:L97 K118:L118">
    <cfRule type="expression" dxfId="1335" priority="76">
      <formula>$K$118 &gt; 0</formula>
    </cfRule>
    <cfRule type="expression" dxfId="1334" priority="77">
      <formula>$K$118 = 0</formula>
    </cfRule>
    <cfRule type="expression" dxfId="1333" priority="78">
      <formula>$K$118 &lt; 0</formula>
    </cfRule>
  </conditionalFormatting>
  <conditionalFormatting sqref="M96:O97 N118:O118">
    <cfRule type="expression" dxfId="1332" priority="73">
      <formula>$N$118 &gt; 0</formula>
    </cfRule>
    <cfRule type="expression" dxfId="1331" priority="74">
      <formula>$N$118 = 0</formula>
    </cfRule>
    <cfRule type="expression" dxfId="1330" priority="75">
      <formula>$N$118 &lt; 0</formula>
    </cfRule>
  </conditionalFormatting>
  <conditionalFormatting sqref="A125:C144 M125:O144">
    <cfRule type="expression" dxfId="1329" priority="61">
      <formula>AND($N125 &gt; 0, ISNUMBER($N125))</formula>
    </cfRule>
    <cfRule type="expression" dxfId="1328" priority="62">
      <formula>AND($N125 = 0 * ISNUMBER($N125))</formula>
    </cfRule>
    <cfRule type="expression" dxfId="1327" priority="63">
      <formula>AND($N125 &lt; 0, ISNUMBER($N125))</formula>
    </cfRule>
  </conditionalFormatting>
  <conditionalFormatting sqref="A125:F144">
    <cfRule type="expression" dxfId="1326" priority="70">
      <formula>AND($E125 &gt; 0, ISNUMBER($E125))</formula>
    </cfRule>
    <cfRule type="expression" dxfId="1325" priority="71">
      <formula>AND($E125 = 0 * ISNUMBER($E125))</formula>
    </cfRule>
    <cfRule type="expression" dxfId="1324" priority="72">
      <formula>AND($E125 &lt; 0, ISNUMBER($E125))</formula>
    </cfRule>
  </conditionalFormatting>
  <conditionalFormatting sqref="A125:C144 G125:I144">
    <cfRule type="expression" dxfId="1323" priority="67">
      <formula>AND($H125 &gt; 0, ISNUMBER($H125))</formula>
    </cfRule>
    <cfRule type="expression" dxfId="1322" priority="68">
      <formula>AND($H125 = 0 * ISNUMBER($H125))</formula>
    </cfRule>
    <cfRule type="expression" dxfId="1321" priority="69">
      <formula>AND($H125 &lt; 0, ISNUMBER($H125))</formula>
    </cfRule>
  </conditionalFormatting>
  <conditionalFormatting sqref="A125:C144 J125:L144">
    <cfRule type="expression" dxfId="1320" priority="64">
      <formula>AND($K125 &gt; 0, ISNUMBER($K125))</formula>
    </cfRule>
    <cfRule type="expression" dxfId="1319" priority="65">
      <formula>AND($K125 = 0 * ISNUMBER($K125))</formula>
    </cfRule>
    <cfRule type="expression" dxfId="1318" priority="66">
      <formula>AND($K125 &lt; 0, ISNUMBER($K125))</formula>
    </cfRule>
  </conditionalFormatting>
  <conditionalFormatting sqref="D123:F124 E145:F145">
    <cfRule type="expression" dxfId="1317" priority="58">
      <formula>$E$145 &gt; 0</formula>
    </cfRule>
    <cfRule type="expression" dxfId="1316" priority="59">
      <formula>$E$145 = 0</formula>
    </cfRule>
    <cfRule type="expression" dxfId="1315" priority="60">
      <formula>$E$145 &lt; 0</formula>
    </cfRule>
  </conditionalFormatting>
  <conditionalFormatting sqref="G123:I124 H145:I145">
    <cfRule type="expression" dxfId="1314" priority="55">
      <formula>$H$145 &gt; 0</formula>
    </cfRule>
    <cfRule type="expression" dxfId="1313" priority="56">
      <formula>$H$145 = 0</formula>
    </cfRule>
    <cfRule type="expression" dxfId="1312" priority="57">
      <formula>$H$145 &lt; 0</formula>
    </cfRule>
  </conditionalFormatting>
  <conditionalFormatting sqref="J123:L124 K145:L145">
    <cfRule type="expression" dxfId="1311" priority="52">
      <formula>$K$145 &gt; 0</formula>
    </cfRule>
    <cfRule type="expression" dxfId="1310" priority="53">
      <formula>$K$145 = 0</formula>
    </cfRule>
    <cfRule type="expression" dxfId="1309" priority="54">
      <formula>$K$145 &lt; 0</formula>
    </cfRule>
  </conditionalFormatting>
  <conditionalFormatting sqref="M123:O124 N145:O145">
    <cfRule type="expression" dxfId="1308" priority="49">
      <formula>$N$145 &gt; 0</formula>
    </cfRule>
    <cfRule type="expression" dxfId="1307" priority="50">
      <formula>$N$145 = 0</formula>
    </cfRule>
    <cfRule type="expression" dxfId="1306" priority="51">
      <formula>$N$145 &lt; 0</formula>
    </cfRule>
  </conditionalFormatting>
  <conditionalFormatting sqref="A152:C171 M152:O171">
    <cfRule type="expression" dxfId="1305" priority="37">
      <formula>AND($N152 &gt; 0, ISNUMBER($N152))</formula>
    </cfRule>
    <cfRule type="expression" dxfId="1304" priority="38">
      <formula>AND($N152 = 0 * ISNUMBER($N152))</formula>
    </cfRule>
    <cfRule type="expression" dxfId="1303" priority="39">
      <formula>AND($N152 &lt; 0, ISNUMBER($N152))</formula>
    </cfRule>
  </conditionalFormatting>
  <conditionalFormatting sqref="A152:F171">
    <cfRule type="expression" dxfId="1302" priority="46">
      <formula>AND($E152 &gt; 0, ISNUMBER($E152))</formula>
    </cfRule>
    <cfRule type="expression" dxfId="1301" priority="47">
      <formula>AND($E152 = 0 * ISNUMBER($E152))</formula>
    </cfRule>
    <cfRule type="expression" dxfId="1300" priority="48">
      <formula>AND($E152 &lt; 0, ISNUMBER($E152))</formula>
    </cfRule>
  </conditionalFormatting>
  <conditionalFormatting sqref="A152:C171 G152:I171">
    <cfRule type="expression" dxfId="1299" priority="43">
      <formula>AND($H152 &gt; 0, ISNUMBER($H152))</formula>
    </cfRule>
    <cfRule type="expression" dxfId="1298" priority="44">
      <formula>AND($H152 = 0 * ISNUMBER($H152))</formula>
    </cfRule>
    <cfRule type="expression" dxfId="1297" priority="45">
      <formula>AND($H152 &lt; 0, ISNUMBER($H152))</formula>
    </cfRule>
  </conditionalFormatting>
  <conditionalFormatting sqref="A152:C171 J152:L171">
    <cfRule type="expression" dxfId="1296" priority="40">
      <formula>AND($K152 &gt; 0, ISNUMBER($K152))</formula>
    </cfRule>
    <cfRule type="expression" dxfId="1295" priority="41">
      <formula>AND($K152 = 0 * ISNUMBER($K152))</formula>
    </cfRule>
    <cfRule type="expression" dxfId="1294" priority="42">
      <formula>AND($K152 &lt; 0, ISNUMBER($K152))</formula>
    </cfRule>
  </conditionalFormatting>
  <conditionalFormatting sqref="D150:F151 E172:F172">
    <cfRule type="expression" dxfId="1293" priority="34">
      <formula>$E$172 &gt; 0</formula>
    </cfRule>
    <cfRule type="expression" dxfId="1292" priority="35">
      <formula>$E$172 = 0</formula>
    </cfRule>
    <cfRule type="expression" dxfId="1291" priority="36">
      <formula>$E$172 &lt; 0</formula>
    </cfRule>
  </conditionalFormatting>
  <conditionalFormatting sqref="G150:I151 H172:I172">
    <cfRule type="expression" dxfId="1290" priority="31">
      <formula>$H$172 &gt; 0</formula>
    </cfRule>
    <cfRule type="expression" dxfId="1289" priority="32">
      <formula>$H$172 = 0</formula>
    </cfRule>
    <cfRule type="expression" dxfId="1288" priority="33">
      <formula>$H$172 &lt; 0</formula>
    </cfRule>
  </conditionalFormatting>
  <conditionalFormatting sqref="J150:L151 K172:L172">
    <cfRule type="expression" dxfId="1287" priority="28">
      <formula>$K$172 &gt; 0</formula>
    </cfRule>
    <cfRule type="expression" dxfId="1286" priority="29">
      <formula>$K$172 = 0</formula>
    </cfRule>
    <cfRule type="expression" dxfId="1285" priority="30">
      <formula>$K$172 &lt; 0</formula>
    </cfRule>
  </conditionalFormatting>
  <conditionalFormatting sqref="M150:O151 N172:O172">
    <cfRule type="expression" dxfId="1284" priority="25">
      <formula>$N$172 &gt; 0</formula>
    </cfRule>
    <cfRule type="expression" dxfId="1283" priority="26">
      <formula>$N$172 = 0</formula>
    </cfRule>
    <cfRule type="expression" dxfId="1282" priority="27">
      <formula>$N$172 &lt; 0</formula>
    </cfRule>
  </conditionalFormatting>
  <conditionalFormatting sqref="A179:C198 M179:O198">
    <cfRule type="expression" dxfId="1281" priority="13">
      <formula>AND($N179 &gt; 0, ISNUMBER($N179))</formula>
    </cfRule>
    <cfRule type="expression" dxfId="1280" priority="14">
      <formula>AND($N179 = 0 * ISNUMBER($N179))</formula>
    </cfRule>
    <cfRule type="expression" dxfId="1279" priority="15">
      <formula>AND($N179 &lt; 0, ISNUMBER($N179))</formula>
    </cfRule>
  </conditionalFormatting>
  <conditionalFormatting sqref="A179:F198">
    <cfRule type="expression" dxfId="1278" priority="22">
      <formula>AND($E179 &gt; 0, ISNUMBER($E179))</formula>
    </cfRule>
    <cfRule type="expression" dxfId="1277" priority="23">
      <formula>AND($E179 = 0 * ISNUMBER($E179))</formula>
    </cfRule>
    <cfRule type="expression" dxfId="1276" priority="24">
      <formula>AND($E179 &lt; 0, ISNUMBER($E179))</formula>
    </cfRule>
  </conditionalFormatting>
  <conditionalFormatting sqref="A179:C198 G179:I198">
    <cfRule type="expression" dxfId="1275" priority="19">
      <formula>AND($H179 &gt; 0, ISNUMBER($H179))</formula>
    </cfRule>
    <cfRule type="expression" dxfId="1274" priority="20">
      <formula>AND($H179 = 0 * ISNUMBER($H179))</formula>
    </cfRule>
    <cfRule type="expression" dxfId="1273" priority="21">
      <formula>AND($H179 &lt; 0, ISNUMBER($H179))</formula>
    </cfRule>
  </conditionalFormatting>
  <conditionalFormatting sqref="A179:C198 J179:L198">
    <cfRule type="expression" dxfId="1272" priority="16">
      <formula>AND($K179 &gt; 0, ISNUMBER($K179))</formula>
    </cfRule>
    <cfRule type="expression" dxfId="1271" priority="17">
      <formula>AND($K179 = 0 * ISNUMBER($K179))</formula>
    </cfRule>
    <cfRule type="expression" dxfId="1270" priority="18">
      <formula>AND($K179 &lt; 0, ISNUMBER($K179))</formula>
    </cfRule>
  </conditionalFormatting>
  <conditionalFormatting sqref="D177:F178 E199:F199">
    <cfRule type="expression" dxfId="1269" priority="10">
      <formula>$E$199 &gt; 0</formula>
    </cfRule>
    <cfRule type="expression" dxfId="1268" priority="11">
      <formula>$E$199 = 0</formula>
    </cfRule>
    <cfRule type="expression" dxfId="1267" priority="12">
      <formula>$E$199 &lt; 0</formula>
    </cfRule>
  </conditionalFormatting>
  <conditionalFormatting sqref="G177:I178 H199:I199">
    <cfRule type="expression" dxfId="1266" priority="7">
      <formula>$H$199 &gt; 0</formula>
    </cfRule>
    <cfRule type="expression" dxfId="1265" priority="8">
      <formula>$H$199 = 0</formula>
    </cfRule>
    <cfRule type="expression" dxfId="1264" priority="9">
      <formula>$H$199 &lt; 0</formula>
    </cfRule>
  </conditionalFormatting>
  <conditionalFormatting sqref="J177:L178 K199:L199">
    <cfRule type="expression" dxfId="1263" priority="4">
      <formula>$K$199 &gt; 0</formula>
    </cfRule>
    <cfRule type="expression" dxfId="1262" priority="5">
      <formula>$K$199 = 0</formula>
    </cfRule>
    <cfRule type="expression" dxfId="1261" priority="6">
      <formula>$K$199 &lt; 0</formula>
    </cfRule>
  </conditionalFormatting>
  <conditionalFormatting sqref="M177:O178 N199:O199">
    <cfRule type="expression" dxfId="1260" priority="1">
      <formula>$N$199 &gt; 0</formula>
    </cfRule>
    <cfRule type="expression" dxfId="1259" priority="2">
      <formula>$N$199 = 0</formula>
    </cfRule>
    <cfRule type="expression" dxfId="12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44325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6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376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7" t="s">
        <v>7</v>
      </c>
      <c r="B3" s="253" t="s">
        <v>384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257"/>
      <c r="I3" s="258"/>
      <c r="J3" s="4" t="s">
        <v>7</v>
      </c>
      <c r="K3" s="253" t="s">
        <v>377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378</v>
      </c>
      <c r="L4" s="254"/>
      <c r="M4" s="254"/>
      <c r="N4" s="254"/>
      <c r="O4" s="255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53" t="s">
        <v>374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257"/>
      <c r="I5" s="258"/>
      <c r="J5" s="4" t="s">
        <v>15</v>
      </c>
      <c r="K5" s="253" t="s">
        <v>379</v>
      </c>
      <c r="L5" s="254"/>
      <c r="M5" s="254"/>
      <c r="N5" s="254"/>
      <c r="O5" s="255"/>
    </row>
    <row r="6" spans="1:19">
      <c r="A6" s="117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380</v>
      </c>
      <c r="L6" s="254"/>
      <c r="M6" s="254"/>
      <c r="N6" s="254"/>
      <c r="O6" s="255"/>
    </row>
    <row r="7" spans="1:19" ht="17.25" thickBot="1">
      <c r="A7" s="117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257"/>
      <c r="I7" s="258"/>
      <c r="J7" s="4" t="s">
        <v>21</v>
      </c>
      <c r="K7" s="253" t="s">
        <v>381</v>
      </c>
      <c r="L7" s="254"/>
      <c r="M7" s="254"/>
      <c r="N7" s="254"/>
      <c r="O7" s="255"/>
    </row>
    <row r="8" spans="1:19" ht="17.25" thickBot="1">
      <c r="A8" s="117" t="s">
        <v>24</v>
      </c>
      <c r="B8" s="253"/>
      <c r="C8" s="254"/>
      <c r="D8" s="254"/>
      <c r="E8" s="254"/>
      <c r="F8" s="255"/>
      <c r="G8" s="250" t="s">
        <v>285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7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7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382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8" t="s">
        <v>32</v>
      </c>
      <c r="B11" s="259" t="s">
        <v>383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257"/>
      <c r="I11" s="258"/>
      <c r="J11" s="7" t="s">
        <v>32</v>
      </c>
      <c r="K11" s="259" t="s">
        <v>373</v>
      </c>
      <c r="L11" s="260"/>
      <c r="M11" s="260"/>
      <c r="N11" s="260"/>
      <c r="O11" s="261"/>
      <c r="Q11" s="61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71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62017000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-1.6680144000000001E-2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2021-05-09(일) 오전 00:00</v>
      </c>
      <c r="C15" s="308"/>
      <c r="D15" s="264" t="str">
        <f>TEXT($G$1, "[$-ko-KR]yyyy-mm-dd(ddd) ") &amp; "오후 14:00"</f>
        <v>2021-05-09(일) 오후 14:00</v>
      </c>
      <c r="E15" s="265"/>
      <c r="F15" s="266"/>
      <c r="G15" s="264" t="str">
        <f>TEXT($G$1, "[$-ko-KR]yyyy-mm-dd(ddd) ") &amp; "오후 19:00"</f>
        <v>2021-05-09(일) 오후 19:00</v>
      </c>
      <c r="H15" s="265"/>
      <c r="I15" s="266"/>
      <c r="J15" s="264" t="str">
        <f>TEXT($G$1, "[$-ko-KR]yyyy-mm-dd(ddd) ") &amp; "오후 21:00"</f>
        <v>2021-05-09(일) 오후 21:00</v>
      </c>
      <c r="K15" s="265"/>
      <c r="L15" s="266"/>
      <c r="M15" s="264" t="str">
        <f>TEXT($G$1+1, "[$-ko-KR]yyyy-mm-dd(ddd) ") &amp; "오전 00:00"</f>
        <v>2021-05-10(월)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7"/>
      <c r="R16" s="267"/>
      <c r="S16" s="267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262"/>
      <c r="R17" s="262"/>
      <c r="S17" s="262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262"/>
      <c r="R18" s="262"/>
      <c r="S18" s="262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267"/>
      <c r="R19" s="267"/>
      <c r="S19" s="267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267"/>
      <c r="R20" s="267"/>
      <c r="S20" s="267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267"/>
      <c r="R21" s="267"/>
      <c r="S21" s="267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267"/>
      <c r="R22" s="267"/>
      <c r="S22" s="267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267"/>
      <c r="R23" s="267"/>
      <c r="S23" s="267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267"/>
      <c r="R24" s="267"/>
      <c r="S24" s="267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276"/>
      <c r="R26" s="277"/>
      <c r="S26" s="278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279"/>
      <c r="R27" s="280"/>
      <c r="S27" s="281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282"/>
      <c r="R28" s="283"/>
      <c r="S28" s="284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267"/>
      <c r="R29" s="267"/>
      <c r="S29" s="267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262"/>
      <c r="R30" s="262"/>
      <c r="S30" s="262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262"/>
      <c r="R31" s="262"/>
      <c r="S31" s="262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267"/>
      <c r="R32" s="267"/>
      <c r="S32" s="267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267"/>
      <c r="R33" s="267"/>
      <c r="S33" s="267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267"/>
      <c r="R34" s="267"/>
      <c r="S34" s="267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289"/>
      <c r="R35" s="290"/>
      <c r="S35" s="291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292"/>
      <c r="R36" s="293"/>
      <c r="S36" s="294"/>
    </row>
    <row r="37" spans="1:19" ht="17.25" customHeight="1" thickBot="1">
      <c r="A37" s="131" t="s">
        <v>42</v>
      </c>
      <c r="B37" s="300">
        <v>150000</v>
      </c>
      <c r="C37" s="301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71" t="s">
        <v>298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62017000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-1.6680144000000001E-2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2021-05-09(일) 오전 00:00</v>
      </c>
      <c r="C42" s="305"/>
      <c r="D42" s="264" t="str">
        <f>TEXT($G$1, "[$-ko-KR]yyyy-mm-dd(ddd) ") &amp; "오후 14:00"</f>
        <v>2021-05-09(일) 오후 14:00</v>
      </c>
      <c r="E42" s="265"/>
      <c r="F42" s="266"/>
      <c r="G42" s="264" t="str">
        <f>TEXT($G$1, "[$-ko-KR]yyyy-mm-dd(ddd) ") &amp; "오후 19:00"</f>
        <v>2021-05-09(일) 오후 19:00</v>
      </c>
      <c r="H42" s="265"/>
      <c r="I42" s="266"/>
      <c r="J42" s="264" t="str">
        <f>TEXT($G$1, "[$-ko-KR]yyyy-mm-dd(ddd) ") &amp; "오후 21:00"</f>
        <v>2021-05-09(일) 오후 21:00</v>
      </c>
      <c r="K42" s="265"/>
      <c r="L42" s="266"/>
      <c r="M42" s="264" t="str">
        <f>TEXT($G$1+1, "[$-ko-KR]yyyy-mm-dd(ddd) ") &amp; "오전 00:00"</f>
        <v>2021-05-10(월)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7"/>
      <c r="R43" s="267"/>
      <c r="S43" s="267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262"/>
      <c r="R44" s="262"/>
      <c r="S44" s="262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262"/>
      <c r="R45" s="262"/>
      <c r="S45" s="262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267"/>
      <c r="R46" s="267"/>
      <c r="S46" s="267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267"/>
      <c r="R47" s="267"/>
      <c r="S47" s="267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267"/>
      <c r="R48" s="267"/>
      <c r="S48" s="267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267"/>
      <c r="R49" s="267"/>
      <c r="S49" s="267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267"/>
      <c r="R50" s="267"/>
      <c r="S50" s="267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267"/>
      <c r="R51" s="267"/>
      <c r="S51" s="267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276"/>
      <c r="R53" s="277"/>
      <c r="S53" s="278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279"/>
      <c r="R54" s="280"/>
      <c r="S54" s="281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282"/>
      <c r="R55" s="283"/>
      <c r="S55" s="284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267"/>
      <c r="R56" s="267"/>
      <c r="S56" s="267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262"/>
      <c r="R57" s="262"/>
      <c r="S57" s="262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262"/>
      <c r="R58" s="262"/>
      <c r="S58" s="262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267"/>
      <c r="R59" s="267"/>
      <c r="S59" s="267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267"/>
      <c r="R60" s="267"/>
      <c r="S60" s="267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267"/>
      <c r="R61" s="267"/>
      <c r="S61" s="267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289"/>
      <c r="R62" s="290"/>
      <c r="S62" s="29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92"/>
      <c r="R63" s="293"/>
      <c r="S63" s="294"/>
    </row>
    <row r="64" spans="1:19" ht="17.25" customHeight="1" thickBot="1">
      <c r="A64" s="131" t="s">
        <v>301</v>
      </c>
      <c r="B64" s="300">
        <f>$B$37</f>
        <v>150000</v>
      </c>
      <c r="C64" s="301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71" t="s">
        <v>298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62017000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-1.6680144000000001E-2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2021-05-09(일) 오전 00:00</v>
      </c>
      <c r="C69" s="305"/>
      <c r="D69" s="264" t="str">
        <f>TEXT($G$1, "[$-ko-KR]yyyy-mm-dd(ddd) ") &amp; "오후 14:00"</f>
        <v>2021-05-09(일) 오후 14:00</v>
      </c>
      <c r="E69" s="265"/>
      <c r="F69" s="266"/>
      <c r="G69" s="264" t="str">
        <f>TEXT($G$1, "[$-ko-KR]yyyy-mm-dd(ddd) ") &amp; "오후 19:00"</f>
        <v>2021-05-09(일) 오후 19:00</v>
      </c>
      <c r="H69" s="265"/>
      <c r="I69" s="266"/>
      <c r="J69" s="264" t="str">
        <f>TEXT($G$1, "[$-ko-KR]yyyy-mm-dd(ddd) ") &amp; "오후 21:00"</f>
        <v>2021-05-09(일) 오후 21:00</v>
      </c>
      <c r="K69" s="265"/>
      <c r="L69" s="266"/>
      <c r="M69" s="264" t="str">
        <f>TEXT($G$1+1, "[$-ko-KR]yyyy-mm-dd(ddd) ") &amp; "오전 00:00"</f>
        <v>2021-05-10(월) 오전 00:00</v>
      </c>
      <c r="N69" s="265"/>
      <c r="O69" s="266"/>
      <c r="Q69" s="262"/>
      <c r="R69" s="262"/>
      <c r="S69" s="262"/>
    </row>
    <row r="70" spans="1:19" ht="17.25" thickBot="1">
      <c r="A70" s="30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7"/>
      <c r="R70" s="267"/>
      <c r="S70" s="267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262"/>
      <c r="R71" s="262"/>
      <c r="S71" s="262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262"/>
      <c r="R72" s="262"/>
      <c r="S72" s="262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267"/>
      <c r="R73" s="267"/>
      <c r="S73" s="267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267"/>
      <c r="R74" s="267"/>
      <c r="S74" s="267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267"/>
      <c r="R75" s="267"/>
      <c r="S75" s="267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267"/>
      <c r="R76" s="267"/>
      <c r="S76" s="267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267"/>
      <c r="R77" s="267"/>
      <c r="S77" s="267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267"/>
      <c r="R78" s="267"/>
      <c r="S78" s="267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276"/>
      <c r="R80" s="277"/>
      <c r="S80" s="278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279"/>
      <c r="R81" s="280"/>
      <c r="S81" s="281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282"/>
      <c r="R82" s="283"/>
      <c r="S82" s="284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267"/>
      <c r="R83" s="267"/>
      <c r="S83" s="267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262"/>
      <c r="R84" s="262"/>
      <c r="S84" s="262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262"/>
      <c r="R85" s="262"/>
      <c r="S85" s="262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267"/>
      <c r="R86" s="267"/>
      <c r="S86" s="267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267"/>
      <c r="R87" s="267"/>
      <c r="S87" s="267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267"/>
      <c r="R88" s="267"/>
      <c r="S88" s="267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289"/>
      <c r="R89" s="290"/>
      <c r="S89" s="291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292"/>
      <c r="R90" s="293"/>
      <c r="S90" s="294"/>
    </row>
    <row r="91" spans="1:19" ht="17.25" thickBot="1">
      <c r="A91" s="131" t="s">
        <v>301</v>
      </c>
      <c r="B91" s="300">
        <f>$B$37</f>
        <v>150000</v>
      </c>
      <c r="C91" s="301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71" t="s">
        <v>298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62017000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-1.6680144000000001E-2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2021-05-09(일) 오전 00:00</v>
      </c>
      <c r="C96" s="305"/>
      <c r="D96" s="264" t="str">
        <f>TEXT($G$1, "[$-ko-KR]yyyy-mm-dd(ddd) ") &amp; "오후 14:00"</f>
        <v>2021-05-09(일) 오후 14:00</v>
      </c>
      <c r="E96" s="265"/>
      <c r="F96" s="266"/>
      <c r="G96" s="264" t="str">
        <f>TEXT($G$1, "[$-ko-KR]yyyy-mm-dd(ddd) ") &amp; "오후 19:00"</f>
        <v>2021-05-09(일) 오후 19:00</v>
      </c>
      <c r="H96" s="265"/>
      <c r="I96" s="266"/>
      <c r="J96" s="264" t="str">
        <f>TEXT($G$1, "[$-ko-KR]yyyy-mm-dd(ddd) ") &amp; "오후 21:00"</f>
        <v>2021-05-09(일) 오후 21:00</v>
      </c>
      <c r="K96" s="265"/>
      <c r="L96" s="266"/>
      <c r="M96" s="264" t="str">
        <f>TEXT($G$1+1, "[$-ko-KR]yyyy-mm-dd(ddd) ") &amp; "오전 00:00"</f>
        <v>2021-05-10(월) 오전 00:00</v>
      </c>
      <c r="N96" s="265"/>
      <c r="O96" s="266"/>
      <c r="Q96" s="262"/>
      <c r="R96" s="262"/>
      <c r="S96" s="262"/>
    </row>
    <row r="97" spans="1:19" ht="17.25" thickBot="1">
      <c r="A97" s="30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7"/>
      <c r="R97" s="267"/>
      <c r="S97" s="267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262"/>
      <c r="R98" s="262"/>
      <c r="S98" s="262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262"/>
      <c r="R99" s="262"/>
      <c r="S99" s="262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267"/>
      <c r="R100" s="267"/>
      <c r="S100" s="267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267"/>
      <c r="R101" s="267"/>
      <c r="S101" s="267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267"/>
      <c r="R102" s="267"/>
      <c r="S102" s="267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267"/>
      <c r="R103" s="267"/>
      <c r="S103" s="267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267"/>
      <c r="R104" s="267"/>
      <c r="S104" s="267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267"/>
      <c r="R105" s="267"/>
      <c r="S105" s="267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276"/>
      <c r="R107" s="277"/>
      <c r="S107" s="278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279"/>
      <c r="R108" s="280"/>
      <c r="S108" s="281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282"/>
      <c r="R109" s="283"/>
      <c r="S109" s="284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267"/>
      <c r="R110" s="267"/>
      <c r="S110" s="267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262"/>
      <c r="R111" s="262"/>
      <c r="S111" s="262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262"/>
      <c r="R112" s="262"/>
      <c r="S112" s="262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267"/>
      <c r="R113" s="267"/>
      <c r="S113" s="267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267"/>
      <c r="R114" s="267"/>
      <c r="S114" s="267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267"/>
      <c r="R115" s="267"/>
      <c r="S115" s="267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289"/>
      <c r="R116" s="290"/>
      <c r="S116" s="291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292"/>
      <c r="R117" s="293"/>
      <c r="S117" s="294"/>
    </row>
    <row r="118" spans="1:19" ht="17.25" thickBot="1">
      <c r="A118" s="131" t="s">
        <v>301</v>
      </c>
      <c r="B118" s="300">
        <f>$B$37</f>
        <v>150000</v>
      </c>
      <c r="C118" s="301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295"/>
      <c r="R118" s="296"/>
      <c r="S118" s="297"/>
    </row>
    <row r="120" spans="1:19" ht="17.25" thickBot="1"/>
    <row r="121" spans="1:19" ht="17.25" thickBot="1">
      <c r="A121" s="241" t="s">
        <v>288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71" t="s">
        <v>298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62017000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-1.6680144000000001E-2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2021-05-09(일) 오전 00:00</v>
      </c>
      <c r="C123" s="305"/>
      <c r="D123" s="264" t="str">
        <f>TEXT($G$1, "[$-ko-KR]yyyy-mm-dd(ddd) ") &amp; "오후 14:00"</f>
        <v>2021-05-09(일) 오후 14:00</v>
      </c>
      <c r="E123" s="265"/>
      <c r="F123" s="266"/>
      <c r="G123" s="264" t="str">
        <f>TEXT($G$1, "[$-ko-KR]yyyy-mm-dd(ddd) ") &amp; "오후 19:00"</f>
        <v>2021-05-09(일) 오후 19:00</v>
      </c>
      <c r="H123" s="265"/>
      <c r="I123" s="266"/>
      <c r="J123" s="264" t="str">
        <f>TEXT($G$1, "[$-ko-KR]yyyy-mm-dd(ddd) ") &amp; "오후 21:00"</f>
        <v>2021-05-09(일) 오후 21:00</v>
      </c>
      <c r="K123" s="265"/>
      <c r="L123" s="266"/>
      <c r="M123" s="264" t="str">
        <f>TEXT($G$1+1, "[$-ko-KR]yyyy-mm-dd(ddd) ") &amp; "오전 00:00"</f>
        <v>2021-05-10(월)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7"/>
      <c r="R124" s="267"/>
      <c r="S124" s="267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262"/>
      <c r="R125" s="262"/>
      <c r="S125" s="262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262"/>
      <c r="R126" s="262"/>
      <c r="S126" s="262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267"/>
      <c r="R127" s="267"/>
      <c r="S127" s="267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267"/>
      <c r="R128" s="267"/>
      <c r="S128" s="267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267"/>
      <c r="R129" s="267"/>
      <c r="S129" s="267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267"/>
      <c r="R130" s="267"/>
      <c r="S130" s="267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267"/>
      <c r="R131" s="267"/>
      <c r="S131" s="267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267"/>
      <c r="R132" s="267"/>
      <c r="S132" s="267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276"/>
      <c r="R134" s="277"/>
      <c r="S134" s="278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279"/>
      <c r="R135" s="280"/>
      <c r="S135" s="281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282"/>
      <c r="R136" s="283"/>
      <c r="S136" s="284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267"/>
      <c r="R137" s="267"/>
      <c r="S137" s="267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262"/>
      <c r="R138" s="262"/>
      <c r="S138" s="262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262"/>
      <c r="R139" s="262"/>
      <c r="S139" s="262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267"/>
      <c r="R140" s="267"/>
      <c r="S140" s="267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267"/>
      <c r="R141" s="267"/>
      <c r="S141" s="267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267"/>
      <c r="R142" s="267"/>
      <c r="S142" s="267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289"/>
      <c r="R143" s="290"/>
      <c r="S143" s="29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92"/>
      <c r="R144" s="293"/>
      <c r="S144" s="294"/>
    </row>
    <row r="145" spans="1:19" ht="17.25" thickBot="1">
      <c r="A145" s="131" t="s">
        <v>301</v>
      </c>
      <c r="B145" s="300">
        <f>$B$37</f>
        <v>150000</v>
      </c>
      <c r="C145" s="301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295"/>
      <c r="R145" s="296"/>
      <c r="S145" s="297"/>
    </row>
    <row r="147" spans="1:19" ht="17.25" thickBot="1"/>
    <row r="148" spans="1:19" ht="17.25" thickBot="1">
      <c r="A148" s="241" t="s">
        <v>289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71" t="s">
        <v>298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62017000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-1.6680144000000001E-2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2021-05-09(일) 오전 00:00</v>
      </c>
      <c r="C150" s="305"/>
      <c r="D150" s="264" t="str">
        <f>TEXT($G$1, "[$-ko-KR]yyyy-mm-dd(ddd) ") &amp; "오후 14:00"</f>
        <v>2021-05-09(일) 오후 14:00</v>
      </c>
      <c r="E150" s="265"/>
      <c r="F150" s="266"/>
      <c r="G150" s="264" t="str">
        <f>TEXT($G$1, "[$-ko-KR]yyyy-mm-dd(ddd) ") &amp; "오후 19:00"</f>
        <v>2021-05-09(일) 오후 19:00</v>
      </c>
      <c r="H150" s="265"/>
      <c r="I150" s="266"/>
      <c r="J150" s="264" t="str">
        <f>TEXT($G$1, "[$-ko-KR]yyyy-mm-dd(ddd) ") &amp; "오후 21:00"</f>
        <v>2021-05-09(일) 오후 21:00</v>
      </c>
      <c r="K150" s="265"/>
      <c r="L150" s="266"/>
      <c r="M150" s="264" t="str">
        <f>TEXT($G$1+1, "[$-ko-KR]yyyy-mm-dd(ddd) ") &amp; "오전 00:00"</f>
        <v>2021-05-10(월)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7"/>
      <c r="R151" s="267"/>
      <c r="S151" s="267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262"/>
      <c r="R152" s="262"/>
      <c r="S152" s="262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62"/>
      <c r="R153" s="262"/>
      <c r="S153" s="262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267"/>
      <c r="R154" s="267"/>
      <c r="S154" s="267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267"/>
      <c r="R155" s="267"/>
      <c r="S155" s="267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267"/>
      <c r="R156" s="267"/>
      <c r="S156" s="267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267"/>
      <c r="R157" s="267"/>
      <c r="S157" s="267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267"/>
      <c r="R158" s="267"/>
      <c r="S158" s="267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267"/>
      <c r="R159" s="267"/>
      <c r="S159" s="267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276"/>
      <c r="R161" s="277"/>
      <c r="S161" s="278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279"/>
      <c r="R162" s="280"/>
      <c r="S162" s="281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282"/>
      <c r="R163" s="283"/>
      <c r="S163" s="284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267"/>
      <c r="R164" s="267"/>
      <c r="S164" s="267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262"/>
      <c r="R165" s="262"/>
      <c r="S165" s="262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262"/>
      <c r="R166" s="262"/>
      <c r="S166" s="262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267"/>
      <c r="R167" s="267"/>
      <c r="S167" s="267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267"/>
      <c r="R168" s="267"/>
      <c r="S168" s="267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267"/>
      <c r="R169" s="267"/>
      <c r="S169" s="267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289"/>
      <c r="R170" s="290"/>
      <c r="S170" s="291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292"/>
      <c r="R171" s="293"/>
      <c r="S171" s="294"/>
    </row>
    <row r="172" spans="1:19" ht="17.25" thickBot="1">
      <c r="A172" s="131" t="s">
        <v>301</v>
      </c>
      <c r="B172" s="300">
        <f>$B$37</f>
        <v>150000</v>
      </c>
      <c r="C172" s="301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295"/>
      <c r="R172" s="296"/>
      <c r="S172" s="297"/>
    </row>
    <row r="174" spans="1:19" ht="17.25" thickBot="1"/>
    <row r="175" spans="1:19" ht="17.25" thickBot="1">
      <c r="A175" s="241" t="s">
        <v>285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71" t="s">
        <v>298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62017000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-1.6680144000000001E-2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2021-05-09(일) 오전 00:00</v>
      </c>
      <c r="C177" s="305"/>
      <c r="D177" s="264" t="str">
        <f>TEXT($G$1, "[$-ko-KR]yyyy-mm-dd(ddd) ") &amp; "오후 14:00"</f>
        <v>2021-05-09(일) 오후 14:00</v>
      </c>
      <c r="E177" s="265"/>
      <c r="F177" s="266"/>
      <c r="G177" s="264" t="str">
        <f>TEXT($G$1, "[$-ko-KR]yyyy-mm-dd(ddd) ") &amp; "오후 19:00"</f>
        <v>2021-05-09(일) 오후 19:00</v>
      </c>
      <c r="H177" s="265"/>
      <c r="I177" s="266"/>
      <c r="J177" s="264" t="str">
        <f>TEXT($G$1, "[$-ko-KR]yyyy-mm-dd(ddd) ") &amp; "오후 21:00"</f>
        <v>2021-05-09(일) 오후 21:00</v>
      </c>
      <c r="K177" s="265"/>
      <c r="L177" s="266"/>
      <c r="M177" s="264" t="str">
        <f>TEXT($G$1+1, "[$-ko-KR]yyyy-mm-dd(ddd) ") &amp; "오전 00:00"</f>
        <v>2021-05-10(월)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7"/>
      <c r="R178" s="267"/>
      <c r="S178" s="267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262"/>
      <c r="R179" s="262"/>
      <c r="S179" s="262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262"/>
      <c r="R180" s="262"/>
      <c r="S180" s="262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267"/>
      <c r="R181" s="267"/>
      <c r="S181" s="267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267"/>
      <c r="R182" s="267"/>
      <c r="S182" s="267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267"/>
      <c r="R183" s="267"/>
      <c r="S183" s="267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267"/>
      <c r="R184" s="267"/>
      <c r="S184" s="267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267"/>
      <c r="R185" s="267"/>
      <c r="S185" s="267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267"/>
      <c r="R186" s="267"/>
      <c r="S186" s="267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276"/>
      <c r="R188" s="277"/>
      <c r="S188" s="278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279"/>
      <c r="R189" s="280"/>
      <c r="S189" s="281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282"/>
      <c r="R190" s="283"/>
      <c r="S190" s="284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267"/>
      <c r="R191" s="267"/>
      <c r="S191" s="267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262"/>
      <c r="R192" s="262"/>
      <c r="S192" s="262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262"/>
      <c r="R193" s="262"/>
      <c r="S193" s="262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267"/>
      <c r="R194" s="267"/>
      <c r="S194" s="267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267"/>
      <c r="R195" s="267"/>
      <c r="S195" s="267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267"/>
      <c r="R196" s="267"/>
      <c r="S196" s="267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289"/>
      <c r="R197" s="290"/>
      <c r="S197" s="291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292"/>
      <c r="R198" s="293"/>
      <c r="S198" s="294"/>
    </row>
    <row r="199" spans="1:19" ht="17.25" thickBot="1">
      <c r="A199" s="131" t="s">
        <v>301</v>
      </c>
      <c r="B199" s="300">
        <f>$B$37</f>
        <v>150000</v>
      </c>
      <c r="C199" s="301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47" priority="157">
      <formula>AND($N17 &gt; 0, ISNUMBER($N17))</formula>
    </cfRule>
    <cfRule type="expression" dxfId="1246" priority="158">
      <formula>AND($N17 = 0 * ISNUMBER($N17))</formula>
    </cfRule>
    <cfRule type="expression" dxfId="1245" priority="159">
      <formula>AND($N17 &lt; 0, ISNUMBER($N17))</formula>
    </cfRule>
  </conditionalFormatting>
  <conditionalFormatting sqref="A17:F36">
    <cfRule type="expression" dxfId="1244" priority="166">
      <formula>AND($E17 &gt; 0, ISNUMBER($E17))</formula>
    </cfRule>
    <cfRule type="expression" dxfId="1243" priority="167">
      <formula>AND($E17 = 0 * ISNUMBER($E17))</formula>
    </cfRule>
    <cfRule type="expression" dxfId="1242" priority="168">
      <formula>AND($E17 &lt; 0, ISNUMBER($E17))</formula>
    </cfRule>
  </conditionalFormatting>
  <conditionalFormatting sqref="A17:C36 G17:I36">
    <cfRule type="expression" dxfId="1241" priority="163">
      <formula>AND($H17 &gt; 0, ISNUMBER($H17))</formula>
    </cfRule>
    <cfRule type="expression" dxfId="1240" priority="164">
      <formula>AND($H17 = 0 * ISNUMBER($H17))</formula>
    </cfRule>
    <cfRule type="expression" dxfId="1239" priority="165">
      <formula>AND($H17 &lt; 0, ISNUMBER($H17))</formula>
    </cfRule>
  </conditionalFormatting>
  <conditionalFormatting sqref="A17:C36 J17:L36">
    <cfRule type="expression" dxfId="1238" priority="160">
      <formula>AND($K17 &gt; 0, ISNUMBER($K17))</formula>
    </cfRule>
    <cfRule type="expression" dxfId="1237" priority="161">
      <formula>AND($K17 = 0 * ISNUMBER($K17))</formula>
    </cfRule>
    <cfRule type="expression" dxfId="1236" priority="162">
      <formula>AND($K17 &lt; 0, ISNUMBER($K17))</formula>
    </cfRule>
  </conditionalFormatting>
  <conditionalFormatting sqref="D15:F16 E37:F37">
    <cfRule type="expression" dxfId="1235" priority="154">
      <formula>$E$37 &gt; 0</formula>
    </cfRule>
    <cfRule type="expression" dxfId="1234" priority="155">
      <formula>$E$37 = 0</formula>
    </cfRule>
    <cfRule type="expression" dxfId="1233" priority="156">
      <formula>$E$37 &lt; 0</formula>
    </cfRule>
  </conditionalFormatting>
  <conditionalFormatting sqref="G15:I16 H37:I37">
    <cfRule type="expression" dxfId="1232" priority="151">
      <formula>$H$37 &gt; 0</formula>
    </cfRule>
    <cfRule type="expression" dxfId="1231" priority="152">
      <formula>$H$37 = 0</formula>
    </cfRule>
    <cfRule type="expression" dxfId="1230" priority="153">
      <formula>$H$37 &lt; 0</formula>
    </cfRule>
  </conditionalFormatting>
  <conditionalFormatting sqref="J15:L16 K37:L37">
    <cfRule type="expression" dxfId="1229" priority="148">
      <formula>$K$37 &gt; 0</formula>
    </cfRule>
    <cfRule type="expression" dxfId="1228" priority="149">
      <formula>$K$37 = 0</formula>
    </cfRule>
    <cfRule type="expression" dxfId="1227" priority="150">
      <formula>$K$37 &lt; 0</formula>
    </cfRule>
  </conditionalFormatting>
  <conditionalFormatting sqref="M15:O16 N37:O37">
    <cfRule type="expression" dxfId="1226" priority="145">
      <formula>$N$37 &gt; 0</formula>
    </cfRule>
    <cfRule type="expression" dxfId="1225" priority="146">
      <formula>$N$37 = 0</formula>
    </cfRule>
    <cfRule type="expression" dxfId="1224" priority="147">
      <formula>$N$37 &lt; 0</formula>
    </cfRule>
  </conditionalFormatting>
  <conditionalFormatting sqref="A44:C63 M44:O63">
    <cfRule type="expression" dxfId="1223" priority="133">
      <formula>AND($N44 &gt; 0, ISNUMBER($N44))</formula>
    </cfRule>
    <cfRule type="expression" dxfId="1222" priority="134">
      <formula>AND($N44 = 0 * ISNUMBER($N44))</formula>
    </cfRule>
    <cfRule type="expression" dxfId="1221" priority="135">
      <formula>AND($N44 &lt; 0, ISNUMBER($N44))</formula>
    </cfRule>
  </conditionalFormatting>
  <conditionalFormatting sqref="A44:F63">
    <cfRule type="expression" dxfId="1220" priority="142">
      <formula>AND($E44 &gt; 0, ISNUMBER($E44))</formula>
    </cfRule>
    <cfRule type="expression" dxfId="1219" priority="143">
      <formula>AND($E44 = 0 * ISNUMBER($E44))</formula>
    </cfRule>
    <cfRule type="expression" dxfId="1218" priority="144">
      <formula>AND($E44 &lt; 0, ISNUMBER($E44))</formula>
    </cfRule>
  </conditionalFormatting>
  <conditionalFormatting sqref="A44:C63 G44:I63">
    <cfRule type="expression" dxfId="1217" priority="139">
      <formula>AND($H44 &gt; 0, ISNUMBER($H44))</formula>
    </cfRule>
    <cfRule type="expression" dxfId="1216" priority="140">
      <formula>AND($H44 = 0 * ISNUMBER($H44))</formula>
    </cfRule>
    <cfRule type="expression" dxfId="1215" priority="141">
      <formula>AND($H44 &lt; 0, ISNUMBER($H44))</formula>
    </cfRule>
  </conditionalFormatting>
  <conditionalFormatting sqref="A44:C63 J44:L63">
    <cfRule type="expression" dxfId="1214" priority="136">
      <formula>AND($K44 &gt; 0, ISNUMBER($K44))</formula>
    </cfRule>
    <cfRule type="expression" dxfId="1213" priority="137">
      <formula>AND($K44 = 0 * ISNUMBER($K44))</formula>
    </cfRule>
    <cfRule type="expression" dxfId="1212" priority="138">
      <formula>AND($K44 &lt; 0, ISNUMBER($K44))</formula>
    </cfRule>
  </conditionalFormatting>
  <conditionalFormatting sqref="D42:F43 E64:F64">
    <cfRule type="expression" dxfId="1211" priority="130">
      <formula>$E$64 &gt; 0</formula>
    </cfRule>
    <cfRule type="expression" dxfId="1210" priority="131">
      <formula>$E$64 = 0</formula>
    </cfRule>
    <cfRule type="expression" dxfId="1209" priority="132">
      <formula>$E$64 &lt; 0</formula>
    </cfRule>
  </conditionalFormatting>
  <conditionalFormatting sqref="G42:I43 H64:I64">
    <cfRule type="expression" dxfId="1208" priority="127">
      <formula>$H$64 &gt; 0</formula>
    </cfRule>
    <cfRule type="expression" dxfId="1207" priority="128">
      <formula>$H$64 = 0</formula>
    </cfRule>
    <cfRule type="expression" dxfId="1206" priority="129">
      <formula>$H$64 &lt; 0</formula>
    </cfRule>
  </conditionalFormatting>
  <conditionalFormatting sqref="J42:L43 K64:L64">
    <cfRule type="expression" dxfId="1205" priority="124">
      <formula>$K$64 &gt; 0</formula>
    </cfRule>
    <cfRule type="expression" dxfId="1204" priority="125">
      <formula>$K$64 = 0</formula>
    </cfRule>
    <cfRule type="expression" dxfId="1203" priority="126">
      <formula>$K$64 &lt; 0</formula>
    </cfRule>
  </conditionalFormatting>
  <conditionalFormatting sqref="M42:O43 N64:O64">
    <cfRule type="expression" dxfId="1202" priority="121">
      <formula>$N$64 &gt; 0</formula>
    </cfRule>
    <cfRule type="expression" dxfId="1201" priority="122">
      <formula>$N$64 = 0</formula>
    </cfRule>
    <cfRule type="expression" dxfId="1200" priority="123">
      <formula>$N$64 &lt; 0</formula>
    </cfRule>
  </conditionalFormatting>
  <conditionalFormatting sqref="A71:C90 M71:O90">
    <cfRule type="expression" dxfId="1199" priority="109">
      <formula>AND($N71 &gt; 0, ISNUMBER($N71))</formula>
    </cfRule>
    <cfRule type="expression" dxfId="1198" priority="110">
      <formula>AND($N71 = 0 * ISNUMBER($N71))</formula>
    </cfRule>
    <cfRule type="expression" dxfId="1197" priority="111">
      <formula>AND($N71 &lt; 0, ISNUMBER($N71))</formula>
    </cfRule>
  </conditionalFormatting>
  <conditionalFormatting sqref="A71:F90">
    <cfRule type="expression" dxfId="1196" priority="118">
      <formula>AND($E71 &gt; 0, ISNUMBER($E71))</formula>
    </cfRule>
    <cfRule type="expression" dxfId="1195" priority="119">
      <formula>AND($E71 = 0 * ISNUMBER($E71))</formula>
    </cfRule>
    <cfRule type="expression" dxfId="1194" priority="120">
      <formula>AND($E71 &lt; 0, ISNUMBER($E71))</formula>
    </cfRule>
  </conditionalFormatting>
  <conditionalFormatting sqref="A71:C90 G71:I90">
    <cfRule type="expression" dxfId="1193" priority="115">
      <formula>AND($H71 &gt; 0, ISNUMBER($H71))</formula>
    </cfRule>
    <cfRule type="expression" dxfId="1192" priority="116">
      <formula>AND($H71 = 0 * ISNUMBER($H71))</formula>
    </cfRule>
    <cfRule type="expression" dxfId="1191" priority="117">
      <formula>AND($H71 &lt; 0, ISNUMBER($H71))</formula>
    </cfRule>
  </conditionalFormatting>
  <conditionalFormatting sqref="A71:C90 J71:L90">
    <cfRule type="expression" dxfId="1190" priority="112">
      <formula>AND($K71 &gt; 0, ISNUMBER($K71))</formula>
    </cfRule>
    <cfRule type="expression" dxfId="1189" priority="113">
      <formula>AND($K71 = 0 * ISNUMBER($K71))</formula>
    </cfRule>
    <cfRule type="expression" dxfId="1188" priority="114">
      <formula>AND($K71 &lt; 0, ISNUMBER($K71))</formula>
    </cfRule>
  </conditionalFormatting>
  <conditionalFormatting sqref="D69:F70 E91:F91">
    <cfRule type="expression" dxfId="1187" priority="106">
      <formula>$E$91 &gt; 0</formula>
    </cfRule>
    <cfRule type="expression" dxfId="1186" priority="107">
      <formula>$E$91 = 0</formula>
    </cfRule>
    <cfRule type="expression" dxfId="1185" priority="108">
      <formula>$E$91 &lt; 0</formula>
    </cfRule>
  </conditionalFormatting>
  <conditionalFormatting sqref="G69:I70 H91:I91">
    <cfRule type="expression" dxfId="1184" priority="103">
      <formula>$H$91 &gt; 0</formula>
    </cfRule>
    <cfRule type="expression" dxfId="1183" priority="104">
      <formula>$H$91 = 0</formula>
    </cfRule>
    <cfRule type="expression" dxfId="1182" priority="105">
      <formula>$H$91 &lt; 0</formula>
    </cfRule>
  </conditionalFormatting>
  <conditionalFormatting sqref="J69:L70 K91:L91">
    <cfRule type="expression" dxfId="1181" priority="100">
      <formula>$K$91 &gt; 0</formula>
    </cfRule>
    <cfRule type="expression" dxfId="1180" priority="101">
      <formula>$K$91 = 0</formula>
    </cfRule>
    <cfRule type="expression" dxfId="1179" priority="102">
      <formula>$K$91 &lt; 0</formula>
    </cfRule>
  </conditionalFormatting>
  <conditionalFormatting sqref="M69:O70 N91:O91">
    <cfRule type="expression" dxfId="1178" priority="97">
      <formula>$N$91 &gt; 0</formula>
    </cfRule>
    <cfRule type="expression" dxfId="1177" priority="98">
      <formula>$N$91 = 0</formula>
    </cfRule>
    <cfRule type="expression" dxfId="1176" priority="99">
      <formula>$N$91 &lt; 0</formula>
    </cfRule>
  </conditionalFormatting>
  <conditionalFormatting sqref="A98:C117 M98:O117">
    <cfRule type="expression" dxfId="1175" priority="85">
      <formula>AND($N98 &gt; 0, ISNUMBER($N98))</formula>
    </cfRule>
    <cfRule type="expression" dxfId="1174" priority="86">
      <formula>AND($N98 = 0 * ISNUMBER($N98))</formula>
    </cfRule>
    <cfRule type="expression" dxfId="1173" priority="87">
      <formula>AND($N98 &lt; 0, ISNUMBER($N98))</formula>
    </cfRule>
  </conditionalFormatting>
  <conditionalFormatting sqref="A98:F117">
    <cfRule type="expression" dxfId="1172" priority="94">
      <formula>AND($E98 &gt; 0, ISNUMBER($E98))</formula>
    </cfRule>
    <cfRule type="expression" dxfId="1171" priority="95">
      <formula>AND($E98 = 0 * ISNUMBER($E98))</formula>
    </cfRule>
    <cfRule type="expression" dxfId="1170" priority="96">
      <formula>AND($E98 &lt; 0, ISNUMBER($E98))</formula>
    </cfRule>
  </conditionalFormatting>
  <conditionalFormatting sqref="A98:C117 G98:I117">
    <cfRule type="expression" dxfId="1169" priority="91">
      <formula>AND($H98 &gt; 0, ISNUMBER($H98))</formula>
    </cfRule>
    <cfRule type="expression" dxfId="1168" priority="92">
      <formula>AND($H98 = 0 * ISNUMBER($H98))</formula>
    </cfRule>
    <cfRule type="expression" dxfId="1167" priority="93">
      <formula>AND($H98 &lt; 0, ISNUMBER($H98))</formula>
    </cfRule>
  </conditionalFormatting>
  <conditionalFormatting sqref="A98:C117 J98:L117">
    <cfRule type="expression" dxfId="1166" priority="88">
      <formula>AND($K98 &gt; 0, ISNUMBER($K98))</formula>
    </cfRule>
    <cfRule type="expression" dxfId="1165" priority="89">
      <formula>AND($K98 = 0 * ISNUMBER($K98))</formula>
    </cfRule>
    <cfRule type="expression" dxfId="1164" priority="90">
      <formula>AND($K98 &lt; 0, ISNUMBER($K98))</formula>
    </cfRule>
  </conditionalFormatting>
  <conditionalFormatting sqref="D96:F97 E118:F118">
    <cfRule type="expression" dxfId="1163" priority="82">
      <formula>$E$118 &gt; 0</formula>
    </cfRule>
    <cfRule type="expression" dxfId="1162" priority="83">
      <formula>$E$118 = 0</formula>
    </cfRule>
    <cfRule type="expression" dxfId="1161" priority="84">
      <formula>$E$118 &lt; 0</formula>
    </cfRule>
  </conditionalFormatting>
  <conditionalFormatting sqref="G96:I97 H118:I118">
    <cfRule type="expression" dxfId="1160" priority="79">
      <formula>$H$118 &gt; 0</formula>
    </cfRule>
    <cfRule type="expression" dxfId="1159" priority="80">
      <formula>$H$118 = 0</formula>
    </cfRule>
    <cfRule type="expression" dxfId="1158" priority="81">
      <formula>$H$118 &lt; 0</formula>
    </cfRule>
  </conditionalFormatting>
  <conditionalFormatting sqref="J96:L97 K118:L118">
    <cfRule type="expression" dxfId="1157" priority="76">
      <formula>$K$118 &gt; 0</formula>
    </cfRule>
    <cfRule type="expression" dxfId="1156" priority="77">
      <formula>$K$118 = 0</formula>
    </cfRule>
    <cfRule type="expression" dxfId="1155" priority="78">
      <formula>$K$118 &lt; 0</formula>
    </cfRule>
  </conditionalFormatting>
  <conditionalFormatting sqref="M96:O97 N118:O118">
    <cfRule type="expression" dxfId="1154" priority="73">
      <formula>$N$118 &gt; 0</formula>
    </cfRule>
    <cfRule type="expression" dxfId="1153" priority="74">
      <formula>$N$118 = 0</formula>
    </cfRule>
    <cfRule type="expression" dxfId="1152" priority="75">
      <formula>$N$118 &lt; 0</formula>
    </cfRule>
  </conditionalFormatting>
  <conditionalFormatting sqref="A125:C144 M125:O144">
    <cfRule type="expression" dxfId="1151" priority="61">
      <formula>AND($N125 &gt; 0, ISNUMBER($N125))</formula>
    </cfRule>
    <cfRule type="expression" dxfId="1150" priority="62">
      <formula>AND($N125 = 0 * ISNUMBER($N125))</formula>
    </cfRule>
    <cfRule type="expression" dxfId="1149" priority="63">
      <formula>AND($N125 &lt; 0, ISNUMBER($N125))</formula>
    </cfRule>
  </conditionalFormatting>
  <conditionalFormatting sqref="A125:F144">
    <cfRule type="expression" dxfId="1148" priority="70">
      <formula>AND($E125 &gt; 0, ISNUMBER($E125))</formula>
    </cfRule>
    <cfRule type="expression" dxfId="1147" priority="71">
      <formula>AND($E125 = 0 * ISNUMBER($E125))</formula>
    </cfRule>
    <cfRule type="expression" dxfId="1146" priority="72">
      <formula>AND($E125 &lt; 0, ISNUMBER($E125))</formula>
    </cfRule>
  </conditionalFormatting>
  <conditionalFormatting sqref="A125:C144 G125:I144">
    <cfRule type="expression" dxfId="1145" priority="67">
      <formula>AND($H125 &gt; 0, ISNUMBER($H125))</formula>
    </cfRule>
    <cfRule type="expression" dxfId="1144" priority="68">
      <formula>AND($H125 = 0 * ISNUMBER($H125))</formula>
    </cfRule>
    <cfRule type="expression" dxfId="1143" priority="69">
      <formula>AND($H125 &lt; 0, ISNUMBER($H125))</formula>
    </cfRule>
  </conditionalFormatting>
  <conditionalFormatting sqref="A125:C144 J125:L144">
    <cfRule type="expression" dxfId="1142" priority="64">
      <formula>AND($K125 &gt; 0, ISNUMBER($K125))</formula>
    </cfRule>
    <cfRule type="expression" dxfId="1141" priority="65">
      <formula>AND($K125 = 0 * ISNUMBER($K125))</formula>
    </cfRule>
    <cfRule type="expression" dxfId="1140" priority="66">
      <formula>AND($K125 &lt; 0, ISNUMBER($K125))</formula>
    </cfRule>
  </conditionalFormatting>
  <conditionalFormatting sqref="D123:F124 E145:F145">
    <cfRule type="expression" dxfId="1139" priority="58">
      <formula>$E$145 &gt; 0</formula>
    </cfRule>
    <cfRule type="expression" dxfId="1138" priority="59">
      <formula>$E$145 = 0</formula>
    </cfRule>
    <cfRule type="expression" dxfId="1137" priority="60">
      <formula>$E$145 &lt; 0</formula>
    </cfRule>
  </conditionalFormatting>
  <conditionalFormatting sqref="G123:I124 H145:I145">
    <cfRule type="expression" dxfId="1136" priority="55">
      <formula>$H$145 &gt; 0</formula>
    </cfRule>
    <cfRule type="expression" dxfId="1135" priority="56">
      <formula>$H$145 = 0</formula>
    </cfRule>
    <cfRule type="expression" dxfId="1134" priority="57">
      <formula>$H$145 &lt; 0</formula>
    </cfRule>
  </conditionalFormatting>
  <conditionalFormatting sqref="J123:L124 K145:L145">
    <cfRule type="expression" dxfId="1133" priority="52">
      <formula>$K$145 &gt; 0</formula>
    </cfRule>
    <cfRule type="expression" dxfId="1132" priority="53">
      <formula>$K$145 = 0</formula>
    </cfRule>
    <cfRule type="expression" dxfId="1131" priority="54">
      <formula>$K$145 &lt; 0</formula>
    </cfRule>
  </conditionalFormatting>
  <conditionalFormatting sqref="M123:O124 N145:O145">
    <cfRule type="expression" dxfId="1130" priority="49">
      <formula>$N$145 &gt; 0</formula>
    </cfRule>
    <cfRule type="expression" dxfId="1129" priority="50">
      <formula>$N$145 = 0</formula>
    </cfRule>
    <cfRule type="expression" dxfId="1128" priority="51">
      <formula>$N$145 &lt; 0</formula>
    </cfRule>
  </conditionalFormatting>
  <conditionalFormatting sqref="A152:C171 M152:O171">
    <cfRule type="expression" dxfId="1127" priority="37">
      <formula>AND($N152 &gt; 0, ISNUMBER($N152))</formula>
    </cfRule>
    <cfRule type="expression" dxfId="1126" priority="38">
      <formula>AND($N152 = 0 * ISNUMBER($N152))</formula>
    </cfRule>
    <cfRule type="expression" dxfId="1125" priority="39">
      <formula>AND($N152 &lt; 0, ISNUMBER($N152))</formula>
    </cfRule>
  </conditionalFormatting>
  <conditionalFormatting sqref="A152:F171">
    <cfRule type="expression" dxfId="1124" priority="46">
      <formula>AND($E152 &gt; 0, ISNUMBER($E152))</formula>
    </cfRule>
    <cfRule type="expression" dxfId="1123" priority="47">
      <formula>AND($E152 = 0 * ISNUMBER($E152))</formula>
    </cfRule>
    <cfRule type="expression" dxfId="1122" priority="48">
      <formula>AND($E152 &lt; 0, ISNUMBER($E152))</formula>
    </cfRule>
  </conditionalFormatting>
  <conditionalFormatting sqref="A152:C171 G152:I171">
    <cfRule type="expression" dxfId="1121" priority="43">
      <formula>AND($H152 &gt; 0, ISNUMBER($H152))</formula>
    </cfRule>
    <cfRule type="expression" dxfId="1120" priority="44">
      <formula>AND($H152 = 0 * ISNUMBER($H152))</formula>
    </cfRule>
    <cfRule type="expression" dxfId="1119" priority="45">
      <formula>AND($H152 &lt; 0, ISNUMBER($H152))</formula>
    </cfRule>
  </conditionalFormatting>
  <conditionalFormatting sqref="A152:C171 J152:L171">
    <cfRule type="expression" dxfId="1118" priority="40">
      <formula>AND($K152 &gt; 0, ISNUMBER($K152))</formula>
    </cfRule>
    <cfRule type="expression" dxfId="1117" priority="41">
      <formula>AND($K152 = 0 * ISNUMBER($K152))</formula>
    </cfRule>
    <cfRule type="expression" dxfId="1116" priority="42">
      <formula>AND($K152 &lt; 0, ISNUMBER($K152))</formula>
    </cfRule>
  </conditionalFormatting>
  <conditionalFormatting sqref="D150:F151 E172:F172">
    <cfRule type="expression" dxfId="1115" priority="34">
      <formula>$E$172 &gt; 0</formula>
    </cfRule>
    <cfRule type="expression" dxfId="1114" priority="35">
      <formula>$E$172 = 0</formula>
    </cfRule>
    <cfRule type="expression" dxfId="1113" priority="36">
      <formula>$E$172 &lt; 0</formula>
    </cfRule>
  </conditionalFormatting>
  <conditionalFormatting sqref="G150:I151 H172:I172">
    <cfRule type="expression" dxfId="1112" priority="31">
      <formula>$H$172 &gt; 0</formula>
    </cfRule>
    <cfRule type="expression" dxfId="1111" priority="32">
      <formula>$H$172 = 0</formula>
    </cfRule>
    <cfRule type="expression" dxfId="1110" priority="33">
      <formula>$H$172 &lt; 0</formula>
    </cfRule>
  </conditionalFormatting>
  <conditionalFormatting sqref="J150:L151 K172:L172">
    <cfRule type="expression" dxfId="1109" priority="28">
      <formula>$K$172 &gt; 0</formula>
    </cfRule>
    <cfRule type="expression" dxfId="1108" priority="29">
      <formula>$K$172 = 0</formula>
    </cfRule>
    <cfRule type="expression" dxfId="1107" priority="30">
      <formula>$K$172 &lt; 0</formula>
    </cfRule>
  </conditionalFormatting>
  <conditionalFormatting sqref="M150:O151 N172:O172">
    <cfRule type="expression" dxfId="1106" priority="25">
      <formula>$N$172 &gt; 0</formula>
    </cfRule>
    <cfRule type="expression" dxfId="1105" priority="26">
      <formula>$N$172 = 0</formula>
    </cfRule>
    <cfRule type="expression" dxfId="1104" priority="27">
      <formula>$N$172 &lt; 0</formula>
    </cfRule>
  </conditionalFormatting>
  <conditionalFormatting sqref="A179:C198 M179:O198">
    <cfRule type="expression" dxfId="1103" priority="13">
      <formula>AND($N179 &gt; 0, ISNUMBER($N179))</formula>
    </cfRule>
    <cfRule type="expression" dxfId="1102" priority="14">
      <formula>AND($N179 = 0 * ISNUMBER($N179))</formula>
    </cfRule>
    <cfRule type="expression" dxfId="1101" priority="15">
      <formula>AND($N179 &lt; 0, ISNUMBER($N179))</formula>
    </cfRule>
  </conditionalFormatting>
  <conditionalFormatting sqref="A179:F198">
    <cfRule type="expression" dxfId="1100" priority="22">
      <formula>AND($E179 &gt; 0, ISNUMBER($E179))</formula>
    </cfRule>
    <cfRule type="expression" dxfId="1099" priority="23">
      <formula>AND($E179 = 0 * ISNUMBER($E179))</formula>
    </cfRule>
    <cfRule type="expression" dxfId="1098" priority="24">
      <formula>AND($E179 &lt; 0, ISNUMBER($E179))</formula>
    </cfRule>
  </conditionalFormatting>
  <conditionalFormatting sqref="A179:C198 G179:I198">
    <cfRule type="expression" dxfId="1097" priority="19">
      <formula>AND($H179 &gt; 0, ISNUMBER($H179))</formula>
    </cfRule>
    <cfRule type="expression" dxfId="1096" priority="20">
      <formula>AND($H179 = 0 * ISNUMBER($H179))</formula>
    </cfRule>
    <cfRule type="expression" dxfId="1095" priority="21">
      <formula>AND($H179 &lt; 0, ISNUMBER($H179))</formula>
    </cfRule>
  </conditionalFormatting>
  <conditionalFormatting sqref="A179:C198 J179:L198">
    <cfRule type="expression" dxfId="1094" priority="16">
      <formula>AND($K179 &gt; 0, ISNUMBER($K179))</formula>
    </cfRule>
    <cfRule type="expression" dxfId="1093" priority="17">
      <formula>AND($K179 = 0 * ISNUMBER($K179))</formula>
    </cfRule>
    <cfRule type="expression" dxfId="1092" priority="18">
      <formula>AND($K179 &lt; 0, ISNUMBER($K179))</formula>
    </cfRule>
  </conditionalFormatting>
  <conditionalFormatting sqref="D177:F178 E199:F199">
    <cfRule type="expression" dxfId="1091" priority="10">
      <formula>$E$199 &gt; 0</formula>
    </cfRule>
    <cfRule type="expression" dxfId="1090" priority="11">
      <formula>$E$199 = 0</formula>
    </cfRule>
    <cfRule type="expression" dxfId="1089" priority="12">
      <formula>$E$199 &lt; 0</formula>
    </cfRule>
  </conditionalFormatting>
  <conditionalFormatting sqref="G177:I178 H199:I199">
    <cfRule type="expression" dxfId="1088" priority="7">
      <formula>$H$199 &gt; 0</formula>
    </cfRule>
    <cfRule type="expression" dxfId="1087" priority="8">
      <formula>$H$199 = 0</formula>
    </cfRule>
    <cfRule type="expression" dxfId="1086" priority="9">
      <formula>$H$199 &lt; 0</formula>
    </cfRule>
  </conditionalFormatting>
  <conditionalFormatting sqref="J177:L178 K199:L199">
    <cfRule type="expression" dxfId="1085" priority="4">
      <formula>$K$199 &gt; 0</formula>
    </cfRule>
    <cfRule type="expression" dxfId="1084" priority="5">
      <formula>$K$199 = 0</formula>
    </cfRule>
    <cfRule type="expression" dxfId="1083" priority="6">
      <formula>$K$199 &lt; 0</formula>
    </cfRule>
  </conditionalFormatting>
  <conditionalFormatting sqref="M177:O178 N199:O199">
    <cfRule type="expression" dxfId="1082" priority="1">
      <formula>$N$199 &gt; 0</formula>
    </cfRule>
    <cfRule type="expression" dxfId="1081" priority="2">
      <formula>$N$199 = 0</formula>
    </cfRule>
    <cfRule type="expression" dxfId="10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44326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6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376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7" t="s">
        <v>7</v>
      </c>
      <c r="B3" s="253" t="s">
        <v>384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257"/>
      <c r="I3" s="258"/>
      <c r="J3" s="4" t="s">
        <v>7</v>
      </c>
      <c r="K3" s="253" t="s">
        <v>377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378</v>
      </c>
      <c r="L4" s="254"/>
      <c r="M4" s="254"/>
      <c r="N4" s="254"/>
      <c r="O4" s="255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53" t="s">
        <v>374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257"/>
      <c r="I5" s="258"/>
      <c r="J5" s="4" t="s">
        <v>15</v>
      </c>
      <c r="K5" s="253" t="s">
        <v>379</v>
      </c>
      <c r="L5" s="254"/>
      <c r="M5" s="254"/>
      <c r="N5" s="254"/>
      <c r="O5" s="255"/>
    </row>
    <row r="6" spans="1:19">
      <c r="A6" s="117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380</v>
      </c>
      <c r="L6" s="254"/>
      <c r="M6" s="254"/>
      <c r="N6" s="254"/>
      <c r="O6" s="255"/>
    </row>
    <row r="7" spans="1:19" ht="17.25" thickBot="1">
      <c r="A7" s="117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257"/>
      <c r="I7" s="258"/>
      <c r="J7" s="4" t="s">
        <v>21</v>
      </c>
      <c r="K7" s="253" t="s">
        <v>381</v>
      </c>
      <c r="L7" s="254"/>
      <c r="M7" s="254"/>
      <c r="N7" s="254"/>
      <c r="O7" s="255"/>
    </row>
    <row r="8" spans="1:19" ht="17.25" thickBot="1">
      <c r="A8" s="117" t="s">
        <v>24</v>
      </c>
      <c r="B8" s="253"/>
      <c r="C8" s="254"/>
      <c r="D8" s="254"/>
      <c r="E8" s="254"/>
      <c r="F8" s="255"/>
      <c r="G8" s="250" t="s">
        <v>285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7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7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382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8" t="s">
        <v>32</v>
      </c>
      <c r="B11" s="259" t="s">
        <v>383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257"/>
      <c r="I11" s="258"/>
      <c r="J11" s="7" t="s">
        <v>32</v>
      </c>
      <c r="K11" s="259" t="s">
        <v>373</v>
      </c>
      <c r="L11" s="260"/>
      <c r="M11" s="260"/>
      <c r="N11" s="260"/>
      <c r="O11" s="261"/>
      <c r="Q11" s="61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79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62017000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-1.6680144000000001E-2</v>
      </c>
      <c r="N14" s="272"/>
      <c r="O14" s="273"/>
      <c r="Q14" s="262"/>
      <c r="R14" s="262"/>
      <c r="S14" s="262"/>
    </row>
    <row r="15" spans="1:19" ht="17.25" customHeight="1" thickBot="1">
      <c r="A15" s="185" t="s">
        <v>39</v>
      </c>
      <c r="B15" s="304" t="str">
        <f>TEXT($G$1, "[$-ko-KR]yyyy-mm-dd(ddd) ") &amp; "오전 00:00"</f>
        <v>2021-05-10(월) 오전 00:00</v>
      </c>
      <c r="C15" s="305"/>
      <c r="D15" s="264" t="str">
        <f>TEXT($G$1, "[$-ko-KR]yyyy-mm-dd(ddd) ") &amp; "오후 14:00"</f>
        <v>2021-05-10(월) 오후 14:00</v>
      </c>
      <c r="E15" s="265"/>
      <c r="F15" s="266"/>
      <c r="G15" s="264" t="str">
        <f>TEXT($G$1, "[$-ko-KR]yyyy-mm-dd(ddd) ") &amp; "오후 19:00"</f>
        <v>2021-05-10(월) 오후 19:00</v>
      </c>
      <c r="H15" s="265"/>
      <c r="I15" s="266"/>
      <c r="J15" s="264" t="str">
        <f>TEXT($G$1, "[$-ko-KR]yyyy-mm-dd(ddd) ") &amp; "오후 21:00"</f>
        <v>2021-05-10(월) 오후 21:00</v>
      </c>
      <c r="K15" s="265"/>
      <c r="L15" s="266"/>
      <c r="M15" s="264" t="str">
        <f>TEXT($G$1+1, "[$-ko-KR]yyyy-mm-dd(ddd) ") &amp; "오전 00:00"</f>
        <v>2021-05-11(화) 오전 00:00</v>
      </c>
      <c r="N15" s="265"/>
      <c r="O15" s="266"/>
      <c r="Q15" s="262"/>
      <c r="R15" s="262"/>
      <c r="S15" s="262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7"/>
      <c r="R16" s="267"/>
      <c r="S16" s="267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262"/>
      <c r="R17" s="262"/>
      <c r="S17" s="262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262"/>
      <c r="R18" s="262"/>
      <c r="S18" s="262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267"/>
      <c r="R19" s="267"/>
      <c r="S19" s="267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267"/>
      <c r="R20" s="267"/>
      <c r="S20" s="267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267"/>
      <c r="R21" s="267"/>
      <c r="S21" s="267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267"/>
      <c r="R22" s="267"/>
      <c r="S22" s="267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267"/>
      <c r="R23" s="267"/>
      <c r="S23" s="267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267"/>
      <c r="R24" s="267"/>
      <c r="S24" s="267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276"/>
      <c r="R26" s="277"/>
      <c r="S26" s="278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279"/>
      <c r="R27" s="280"/>
      <c r="S27" s="281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282"/>
      <c r="R28" s="283"/>
      <c r="S28" s="284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267"/>
      <c r="R29" s="267"/>
      <c r="S29" s="267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262"/>
      <c r="R30" s="262"/>
      <c r="S30" s="262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262"/>
      <c r="R31" s="262"/>
      <c r="S31" s="262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267"/>
      <c r="R32" s="267"/>
      <c r="S32" s="267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267"/>
      <c r="R33" s="267"/>
      <c r="S33" s="267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267"/>
      <c r="R34" s="267"/>
      <c r="S34" s="267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289"/>
      <c r="R35" s="290"/>
      <c r="S35" s="291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292"/>
      <c r="R36" s="293"/>
      <c r="S36" s="294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75" t="s">
        <v>298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62017000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-1.6680144000000001E-2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2021-05-10(월) 오전 00:00</v>
      </c>
      <c r="C42" s="305"/>
      <c r="D42" s="264" t="str">
        <f>TEXT($G$1, "[$-ko-KR]yyyy-mm-dd(ddd) ") &amp; "오후 14:00"</f>
        <v>2021-05-10(월) 오후 14:00</v>
      </c>
      <c r="E42" s="265"/>
      <c r="F42" s="266"/>
      <c r="G42" s="264" t="str">
        <f>TEXT($G$1, "[$-ko-KR]yyyy-mm-dd(ddd) ") &amp; "오후 19:00"</f>
        <v>2021-05-10(월) 오후 19:00</v>
      </c>
      <c r="H42" s="265"/>
      <c r="I42" s="266"/>
      <c r="J42" s="264" t="str">
        <f>TEXT($G$1, "[$-ko-KR]yyyy-mm-dd(ddd) ") &amp; "오후 21:00"</f>
        <v>2021-05-10(월) 오후 21:00</v>
      </c>
      <c r="K42" s="265"/>
      <c r="L42" s="266"/>
      <c r="M42" s="264" t="str">
        <f>TEXT($G$1+1, "[$-ko-KR]yyyy-mm-dd(ddd) ") &amp; "오전 00:00"</f>
        <v>2021-05-11(화)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7"/>
      <c r="R43" s="267"/>
      <c r="S43" s="267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262"/>
      <c r="R44" s="262"/>
      <c r="S44" s="262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62"/>
      <c r="R45" s="262"/>
      <c r="S45" s="262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267"/>
      <c r="R46" s="267"/>
      <c r="S46" s="267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267"/>
      <c r="R47" s="267"/>
      <c r="S47" s="267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267"/>
      <c r="R48" s="267"/>
      <c r="S48" s="267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267"/>
      <c r="R49" s="267"/>
      <c r="S49" s="267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267"/>
      <c r="R50" s="267"/>
      <c r="S50" s="267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267"/>
      <c r="R51" s="267"/>
      <c r="S51" s="267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276"/>
      <c r="R53" s="277"/>
      <c r="S53" s="278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279"/>
      <c r="R54" s="280"/>
      <c r="S54" s="281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282"/>
      <c r="R55" s="283"/>
      <c r="S55" s="284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267"/>
      <c r="R56" s="267"/>
      <c r="S56" s="267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262"/>
      <c r="R57" s="262"/>
      <c r="S57" s="262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262"/>
      <c r="R58" s="262"/>
      <c r="S58" s="262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267"/>
      <c r="R59" s="267"/>
      <c r="S59" s="267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67"/>
      <c r="R60" s="267"/>
      <c r="S60" s="267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267"/>
      <c r="R61" s="267"/>
      <c r="S61" s="267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289"/>
      <c r="R62" s="290"/>
      <c r="S62" s="291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92"/>
      <c r="R63" s="293"/>
      <c r="S63" s="294"/>
    </row>
    <row r="64" spans="1:19" ht="17.25" customHeight="1" thickBot="1">
      <c r="A64" s="131" t="s">
        <v>301</v>
      </c>
      <c r="B64" s="300">
        <f>$B$37</f>
        <v>150000</v>
      </c>
      <c r="C64" s="301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75" t="s">
        <v>298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62017000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-1.6680144000000001E-2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2021-05-10(월) 오전 00:00</v>
      </c>
      <c r="C69" s="305"/>
      <c r="D69" s="264" t="str">
        <f>TEXT($G$1, "[$-ko-KR]yyyy-mm-dd(ddd) ") &amp; "오후 14:00"</f>
        <v>2021-05-10(월) 오후 14:00</v>
      </c>
      <c r="E69" s="265"/>
      <c r="F69" s="266"/>
      <c r="G69" s="264" t="str">
        <f>TEXT($G$1, "[$-ko-KR]yyyy-mm-dd(ddd) ") &amp; "오후 19:00"</f>
        <v>2021-05-10(월) 오후 19:00</v>
      </c>
      <c r="H69" s="265"/>
      <c r="I69" s="266"/>
      <c r="J69" s="264" t="str">
        <f>TEXT($G$1, "[$-ko-KR]yyyy-mm-dd(ddd) ") &amp; "오후 21:00"</f>
        <v>2021-05-10(월) 오후 21:00</v>
      </c>
      <c r="K69" s="265"/>
      <c r="L69" s="266"/>
      <c r="M69" s="264" t="str">
        <f>TEXT($G$1+1, "[$-ko-KR]yyyy-mm-dd(ddd) ") &amp; "오전 00:00"</f>
        <v>2021-05-11(화) 오전 00:00</v>
      </c>
      <c r="N69" s="265"/>
      <c r="O69" s="266"/>
      <c r="Q69" s="262"/>
      <c r="R69" s="262"/>
      <c r="S69" s="262"/>
    </row>
    <row r="70" spans="1:19" ht="17.25" thickBot="1">
      <c r="A70" s="30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7"/>
      <c r="R70" s="267"/>
      <c r="S70" s="267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262"/>
      <c r="R71" s="262"/>
      <c r="S71" s="262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262"/>
      <c r="R72" s="262"/>
      <c r="S72" s="262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267"/>
      <c r="R73" s="267"/>
      <c r="S73" s="267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267"/>
      <c r="R74" s="267"/>
      <c r="S74" s="267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267"/>
      <c r="R75" s="267"/>
      <c r="S75" s="267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267"/>
      <c r="R76" s="267"/>
      <c r="S76" s="267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267"/>
      <c r="R77" s="267"/>
      <c r="S77" s="267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267"/>
      <c r="R78" s="267"/>
      <c r="S78" s="267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276"/>
      <c r="R80" s="277"/>
      <c r="S80" s="278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279"/>
      <c r="R81" s="280"/>
      <c r="S81" s="281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282"/>
      <c r="R82" s="283"/>
      <c r="S82" s="284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267"/>
      <c r="R83" s="267"/>
      <c r="S83" s="267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262"/>
      <c r="R84" s="262"/>
      <c r="S84" s="262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262"/>
      <c r="R85" s="262"/>
      <c r="S85" s="262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267"/>
      <c r="R86" s="267"/>
      <c r="S86" s="267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267"/>
      <c r="R87" s="267"/>
      <c r="S87" s="267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267"/>
      <c r="R88" s="267"/>
      <c r="S88" s="267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289"/>
      <c r="R89" s="290"/>
      <c r="S89" s="291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292"/>
      <c r="R90" s="293"/>
      <c r="S90" s="294"/>
    </row>
    <row r="91" spans="1:19" ht="17.25" thickBot="1">
      <c r="A91" s="131" t="s">
        <v>301</v>
      </c>
      <c r="B91" s="300">
        <f>$B$37</f>
        <v>150000</v>
      </c>
      <c r="C91" s="301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75" t="s">
        <v>298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62017000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-1.6680144000000001E-2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2021-05-10(월) 오전 00:00</v>
      </c>
      <c r="C96" s="305"/>
      <c r="D96" s="264" t="str">
        <f>TEXT($G$1, "[$-ko-KR]yyyy-mm-dd(ddd) ") &amp; "오후 14:00"</f>
        <v>2021-05-10(월) 오후 14:00</v>
      </c>
      <c r="E96" s="265"/>
      <c r="F96" s="266"/>
      <c r="G96" s="264" t="str">
        <f>TEXT($G$1, "[$-ko-KR]yyyy-mm-dd(ddd) ") &amp; "오후 19:00"</f>
        <v>2021-05-10(월) 오후 19:00</v>
      </c>
      <c r="H96" s="265"/>
      <c r="I96" s="266"/>
      <c r="J96" s="264" t="str">
        <f>TEXT($G$1, "[$-ko-KR]yyyy-mm-dd(ddd) ") &amp; "오후 21:00"</f>
        <v>2021-05-10(월) 오후 21:00</v>
      </c>
      <c r="K96" s="265"/>
      <c r="L96" s="266"/>
      <c r="M96" s="264" t="str">
        <f>TEXT($G$1+1, "[$-ko-KR]yyyy-mm-dd(ddd) ") &amp; "오전 00:00"</f>
        <v>2021-05-11(화) 오전 00:00</v>
      </c>
      <c r="N96" s="265"/>
      <c r="O96" s="266"/>
      <c r="Q96" s="262"/>
      <c r="R96" s="262"/>
      <c r="S96" s="262"/>
    </row>
    <row r="97" spans="1:19" ht="17.25" thickBot="1">
      <c r="A97" s="30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7"/>
      <c r="R97" s="267"/>
      <c r="S97" s="267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262"/>
      <c r="R98" s="262"/>
      <c r="S98" s="262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262"/>
      <c r="R99" s="262"/>
      <c r="S99" s="262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267"/>
      <c r="R100" s="267"/>
      <c r="S100" s="267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267"/>
      <c r="R101" s="267"/>
      <c r="S101" s="267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267"/>
      <c r="R102" s="267"/>
      <c r="S102" s="267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267"/>
      <c r="R103" s="267"/>
      <c r="S103" s="267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267"/>
      <c r="R104" s="267"/>
      <c r="S104" s="267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267"/>
      <c r="R105" s="267"/>
      <c r="S105" s="267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276"/>
      <c r="R107" s="277"/>
      <c r="S107" s="278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279"/>
      <c r="R108" s="280"/>
      <c r="S108" s="281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282"/>
      <c r="R109" s="283"/>
      <c r="S109" s="284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267"/>
      <c r="R110" s="267"/>
      <c r="S110" s="267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262"/>
      <c r="R111" s="262"/>
      <c r="S111" s="262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262"/>
      <c r="R112" s="262"/>
      <c r="S112" s="262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267"/>
      <c r="R113" s="267"/>
      <c r="S113" s="267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267"/>
      <c r="R114" s="267"/>
      <c r="S114" s="267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267"/>
      <c r="R115" s="267"/>
      <c r="S115" s="267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289"/>
      <c r="R116" s="290"/>
      <c r="S116" s="291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292"/>
      <c r="R117" s="293"/>
      <c r="S117" s="294"/>
    </row>
    <row r="118" spans="1:19" ht="17.25" thickBot="1">
      <c r="A118" s="131" t="s">
        <v>301</v>
      </c>
      <c r="B118" s="300">
        <f>$B$37</f>
        <v>150000</v>
      </c>
      <c r="C118" s="301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295"/>
      <c r="R118" s="296"/>
      <c r="S118" s="297"/>
    </row>
    <row r="120" spans="1:19" ht="17.25" thickBot="1"/>
    <row r="121" spans="1:19" ht="17.25" thickBot="1">
      <c r="A121" s="241" t="s">
        <v>288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75" t="s">
        <v>298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62017000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-1.6680144000000001E-2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2021-05-10(월) 오전 00:00</v>
      </c>
      <c r="C123" s="305"/>
      <c r="D123" s="264" t="str">
        <f>TEXT($G$1, "[$-ko-KR]yyyy-mm-dd(ddd) ") &amp; "오후 14:00"</f>
        <v>2021-05-10(월) 오후 14:00</v>
      </c>
      <c r="E123" s="265"/>
      <c r="F123" s="266"/>
      <c r="G123" s="264" t="str">
        <f>TEXT($G$1, "[$-ko-KR]yyyy-mm-dd(ddd) ") &amp; "오후 19:00"</f>
        <v>2021-05-10(월) 오후 19:00</v>
      </c>
      <c r="H123" s="265"/>
      <c r="I123" s="266"/>
      <c r="J123" s="264" t="str">
        <f>TEXT($G$1, "[$-ko-KR]yyyy-mm-dd(ddd) ") &amp; "오후 21:00"</f>
        <v>2021-05-10(월) 오후 21:00</v>
      </c>
      <c r="K123" s="265"/>
      <c r="L123" s="266"/>
      <c r="M123" s="264" t="str">
        <f>TEXT($G$1+1, "[$-ko-KR]yyyy-mm-dd(ddd) ") &amp; "오전 00:00"</f>
        <v>2021-05-11(화)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7"/>
      <c r="R124" s="267"/>
      <c r="S124" s="267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262"/>
      <c r="R125" s="262"/>
      <c r="S125" s="262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62"/>
      <c r="R126" s="262"/>
      <c r="S126" s="262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267"/>
      <c r="R127" s="267"/>
      <c r="S127" s="267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267"/>
      <c r="R128" s="267"/>
      <c r="S128" s="267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267"/>
      <c r="R129" s="267"/>
      <c r="S129" s="267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267"/>
      <c r="R130" s="267"/>
      <c r="S130" s="267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267"/>
      <c r="R131" s="267"/>
      <c r="S131" s="267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267"/>
      <c r="R132" s="267"/>
      <c r="S132" s="267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276"/>
      <c r="R134" s="277"/>
      <c r="S134" s="278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279"/>
      <c r="R135" s="280"/>
      <c r="S135" s="281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282"/>
      <c r="R136" s="283"/>
      <c r="S136" s="284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267"/>
      <c r="R137" s="267"/>
      <c r="S137" s="267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262"/>
      <c r="R138" s="262"/>
      <c r="S138" s="262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262"/>
      <c r="R139" s="262"/>
      <c r="S139" s="262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267"/>
      <c r="R140" s="267"/>
      <c r="S140" s="267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67"/>
      <c r="R141" s="267"/>
      <c r="S141" s="267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267"/>
      <c r="R142" s="267"/>
      <c r="S142" s="267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289"/>
      <c r="R143" s="290"/>
      <c r="S143" s="291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92"/>
      <c r="R144" s="293"/>
      <c r="S144" s="294"/>
    </row>
    <row r="145" spans="1:19" ht="17.25" thickBot="1">
      <c r="A145" s="131" t="s">
        <v>301</v>
      </c>
      <c r="B145" s="300">
        <f>$B$37</f>
        <v>150000</v>
      </c>
      <c r="C145" s="301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295"/>
      <c r="R145" s="296"/>
      <c r="S145" s="297"/>
    </row>
    <row r="147" spans="1:19" ht="17.25" thickBot="1"/>
    <row r="148" spans="1:19" ht="17.25" thickBot="1">
      <c r="A148" s="241" t="s">
        <v>289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75" t="s">
        <v>298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62017000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-1.6680144000000001E-2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2021-05-10(월) 오전 00:00</v>
      </c>
      <c r="C150" s="305"/>
      <c r="D150" s="264" t="str">
        <f>TEXT($G$1, "[$-ko-KR]yyyy-mm-dd(ddd) ") &amp; "오후 14:00"</f>
        <v>2021-05-10(월) 오후 14:00</v>
      </c>
      <c r="E150" s="265"/>
      <c r="F150" s="266"/>
      <c r="G150" s="264" t="str">
        <f>TEXT($G$1, "[$-ko-KR]yyyy-mm-dd(ddd) ") &amp; "오후 19:00"</f>
        <v>2021-05-10(월) 오후 19:00</v>
      </c>
      <c r="H150" s="265"/>
      <c r="I150" s="266"/>
      <c r="J150" s="264" t="str">
        <f>TEXT($G$1, "[$-ko-KR]yyyy-mm-dd(ddd) ") &amp; "오후 21:00"</f>
        <v>2021-05-10(월) 오후 21:00</v>
      </c>
      <c r="K150" s="265"/>
      <c r="L150" s="266"/>
      <c r="M150" s="264" t="str">
        <f>TEXT($G$1+1, "[$-ko-KR]yyyy-mm-dd(ddd) ") &amp; "오전 00:00"</f>
        <v>2021-05-11(화)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7"/>
      <c r="R151" s="267"/>
      <c r="S151" s="267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262"/>
      <c r="R152" s="262"/>
      <c r="S152" s="262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262"/>
      <c r="R153" s="262"/>
      <c r="S153" s="262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267"/>
      <c r="R154" s="267"/>
      <c r="S154" s="267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267"/>
      <c r="R155" s="267"/>
      <c r="S155" s="267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267"/>
      <c r="R156" s="267"/>
      <c r="S156" s="267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267"/>
      <c r="R157" s="267"/>
      <c r="S157" s="267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267"/>
      <c r="R158" s="267"/>
      <c r="S158" s="267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267"/>
      <c r="R159" s="267"/>
      <c r="S159" s="267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276"/>
      <c r="R161" s="277"/>
      <c r="S161" s="278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279"/>
      <c r="R162" s="280"/>
      <c r="S162" s="281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282"/>
      <c r="R163" s="283"/>
      <c r="S163" s="284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267"/>
      <c r="R164" s="267"/>
      <c r="S164" s="267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262"/>
      <c r="R165" s="262"/>
      <c r="S165" s="262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262"/>
      <c r="R166" s="262"/>
      <c r="S166" s="262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267"/>
      <c r="R167" s="267"/>
      <c r="S167" s="267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267"/>
      <c r="R168" s="267"/>
      <c r="S168" s="267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267"/>
      <c r="R169" s="267"/>
      <c r="S169" s="267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289"/>
      <c r="R170" s="290"/>
      <c r="S170" s="291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292"/>
      <c r="R171" s="293"/>
      <c r="S171" s="294"/>
    </row>
    <row r="172" spans="1:19" ht="17.25" thickBot="1">
      <c r="A172" s="131" t="s">
        <v>301</v>
      </c>
      <c r="B172" s="300">
        <f>$B$37</f>
        <v>150000</v>
      </c>
      <c r="C172" s="301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295"/>
      <c r="R172" s="296"/>
      <c r="S172" s="297"/>
    </row>
    <row r="174" spans="1:19" ht="17.25" thickBot="1"/>
    <row r="175" spans="1:19" ht="17.25" thickBot="1">
      <c r="A175" s="241" t="s">
        <v>285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75" t="s">
        <v>298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62017000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-1.6680144000000001E-2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2021-05-10(월) 오전 00:00</v>
      </c>
      <c r="C177" s="305"/>
      <c r="D177" s="264" t="str">
        <f>TEXT($G$1, "[$-ko-KR]yyyy-mm-dd(ddd) ") &amp; "오후 14:00"</f>
        <v>2021-05-10(월) 오후 14:00</v>
      </c>
      <c r="E177" s="265"/>
      <c r="F177" s="266"/>
      <c r="G177" s="264" t="str">
        <f>TEXT($G$1, "[$-ko-KR]yyyy-mm-dd(ddd) ") &amp; "오후 19:00"</f>
        <v>2021-05-10(월) 오후 19:00</v>
      </c>
      <c r="H177" s="265"/>
      <c r="I177" s="266"/>
      <c r="J177" s="264" t="str">
        <f>TEXT($G$1, "[$-ko-KR]yyyy-mm-dd(ddd) ") &amp; "오후 21:00"</f>
        <v>2021-05-10(월) 오후 21:00</v>
      </c>
      <c r="K177" s="265"/>
      <c r="L177" s="266"/>
      <c r="M177" s="264" t="str">
        <f>TEXT($G$1+1, "[$-ko-KR]yyyy-mm-dd(ddd) ") &amp; "오전 00:00"</f>
        <v>2021-05-11(화)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7"/>
      <c r="R178" s="267"/>
      <c r="S178" s="267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262"/>
      <c r="R179" s="262"/>
      <c r="S179" s="262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262"/>
      <c r="R180" s="262"/>
      <c r="S180" s="262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267"/>
      <c r="R181" s="267"/>
      <c r="S181" s="267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267"/>
      <c r="R182" s="267"/>
      <c r="S182" s="267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267"/>
      <c r="R183" s="267"/>
      <c r="S183" s="267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267"/>
      <c r="R184" s="267"/>
      <c r="S184" s="267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267"/>
      <c r="R185" s="267"/>
      <c r="S185" s="267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267"/>
      <c r="R186" s="267"/>
      <c r="S186" s="267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276"/>
      <c r="R188" s="277"/>
      <c r="S188" s="278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279"/>
      <c r="R189" s="280"/>
      <c r="S189" s="281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282"/>
      <c r="R190" s="283"/>
      <c r="S190" s="284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267"/>
      <c r="R191" s="267"/>
      <c r="S191" s="267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262"/>
      <c r="R192" s="262"/>
      <c r="S192" s="262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262"/>
      <c r="R193" s="262"/>
      <c r="S193" s="262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267"/>
      <c r="R194" s="267"/>
      <c r="S194" s="267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267"/>
      <c r="R195" s="267"/>
      <c r="S195" s="267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267"/>
      <c r="R196" s="267"/>
      <c r="S196" s="267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289"/>
      <c r="R197" s="290"/>
      <c r="S197" s="291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292"/>
      <c r="R198" s="293"/>
      <c r="S198" s="294"/>
    </row>
    <row r="199" spans="1:19" ht="17.25" thickBot="1">
      <c r="A199" s="131" t="s">
        <v>301</v>
      </c>
      <c r="B199" s="300">
        <f>$B$37</f>
        <v>150000</v>
      </c>
      <c r="C199" s="301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295"/>
      <c r="R199" s="296"/>
      <c r="S199" s="297"/>
    </row>
  </sheetData>
  <mergeCells count="264"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K8:O8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69" priority="157">
      <formula>AND($N17 &gt; 0, ISNUMBER($N17))</formula>
    </cfRule>
    <cfRule type="expression" dxfId="1068" priority="158">
      <formula>AND($N17 = 0 * ISNUMBER($N17))</formula>
    </cfRule>
    <cfRule type="expression" dxfId="1067" priority="159">
      <formula>AND($N17 &lt; 0, ISNUMBER($N17))</formula>
    </cfRule>
  </conditionalFormatting>
  <conditionalFormatting sqref="A17:F36">
    <cfRule type="expression" dxfId="1066" priority="166">
      <formula>AND($E17 &gt; 0, ISNUMBER($E17))</formula>
    </cfRule>
    <cfRule type="expression" dxfId="1065" priority="167">
      <formula>AND($E17 = 0 * ISNUMBER($E17))</formula>
    </cfRule>
    <cfRule type="expression" dxfId="1064" priority="168">
      <formula>AND($E17 &lt; 0, ISNUMBER($E17))</formula>
    </cfRule>
  </conditionalFormatting>
  <conditionalFormatting sqref="A17:C36 G17:I36">
    <cfRule type="expression" dxfId="1063" priority="163">
      <formula>AND($H17 &gt; 0, ISNUMBER($H17))</formula>
    </cfRule>
    <cfRule type="expression" dxfId="1062" priority="164">
      <formula>AND($H17 = 0 * ISNUMBER($H17))</formula>
    </cfRule>
    <cfRule type="expression" dxfId="1061" priority="165">
      <formula>AND($H17 &lt; 0, ISNUMBER($H17))</formula>
    </cfRule>
  </conditionalFormatting>
  <conditionalFormatting sqref="A17:C36 J17:L36">
    <cfRule type="expression" dxfId="1060" priority="160">
      <formula>AND($K17 &gt; 0, ISNUMBER($K17))</formula>
    </cfRule>
    <cfRule type="expression" dxfId="1059" priority="161">
      <formula>AND($K17 = 0 * ISNUMBER($K17))</formula>
    </cfRule>
    <cfRule type="expression" dxfId="1058" priority="162">
      <formula>AND($K17 &lt; 0, ISNUMBER($K17))</formula>
    </cfRule>
  </conditionalFormatting>
  <conditionalFormatting sqref="D16:F16 E37:F37 D15">
    <cfRule type="expression" dxfId="1057" priority="154">
      <formula>$E$37 &gt; 0</formula>
    </cfRule>
    <cfRule type="expression" dxfId="1056" priority="155">
      <formula>$E$37 = 0</formula>
    </cfRule>
    <cfRule type="expression" dxfId="1055" priority="156">
      <formula>$E$37 &lt; 0</formula>
    </cfRule>
  </conditionalFormatting>
  <conditionalFormatting sqref="G16:I16 H37:I37 G15">
    <cfRule type="expression" dxfId="1054" priority="151">
      <formula>$H$37 &gt; 0</formula>
    </cfRule>
    <cfRule type="expression" dxfId="1053" priority="152">
      <formula>$H$37 = 0</formula>
    </cfRule>
    <cfRule type="expression" dxfId="1052" priority="153">
      <formula>$H$37 &lt; 0</formula>
    </cfRule>
  </conditionalFormatting>
  <conditionalFormatting sqref="J16:L16 K37:L37 J15">
    <cfRule type="expression" dxfId="1051" priority="148">
      <formula>$K$37 &gt; 0</formula>
    </cfRule>
    <cfRule type="expression" dxfId="1050" priority="149">
      <formula>$K$37 = 0</formula>
    </cfRule>
    <cfRule type="expression" dxfId="1049" priority="150">
      <formula>$K$37 &lt; 0</formula>
    </cfRule>
  </conditionalFormatting>
  <conditionalFormatting sqref="M16:O16 N37:O37 M15">
    <cfRule type="expression" dxfId="1048" priority="145">
      <formula>$N$37 &gt; 0</formula>
    </cfRule>
    <cfRule type="expression" dxfId="1047" priority="146">
      <formula>$N$37 = 0</formula>
    </cfRule>
    <cfRule type="expression" dxfId="1046" priority="147">
      <formula>$N$37 &lt; 0</formula>
    </cfRule>
  </conditionalFormatting>
  <conditionalFormatting sqref="A44:C63 M44:O63">
    <cfRule type="expression" dxfId="1045" priority="133">
      <formula>AND($N44 &gt; 0, ISNUMBER($N44))</formula>
    </cfRule>
    <cfRule type="expression" dxfId="1044" priority="134">
      <formula>AND($N44 = 0 * ISNUMBER($N44))</formula>
    </cfRule>
    <cfRule type="expression" dxfId="1043" priority="135">
      <formula>AND($N44 &lt; 0, ISNUMBER($N44))</formula>
    </cfRule>
  </conditionalFormatting>
  <conditionalFormatting sqref="A44:F63">
    <cfRule type="expression" dxfId="1042" priority="142">
      <formula>AND($E44 &gt; 0, ISNUMBER($E44))</formula>
    </cfRule>
    <cfRule type="expression" dxfId="1041" priority="143">
      <formula>AND($E44 = 0 * ISNUMBER($E44))</formula>
    </cfRule>
    <cfRule type="expression" dxfId="1040" priority="144">
      <formula>AND($E44 &lt; 0, ISNUMBER($E44))</formula>
    </cfRule>
  </conditionalFormatting>
  <conditionalFormatting sqref="A44:C63 G44:I63">
    <cfRule type="expression" dxfId="1039" priority="139">
      <formula>AND($H44 &gt; 0, ISNUMBER($H44))</formula>
    </cfRule>
    <cfRule type="expression" dxfId="1038" priority="140">
      <formula>AND($H44 = 0 * ISNUMBER($H44))</formula>
    </cfRule>
    <cfRule type="expression" dxfId="1037" priority="141">
      <formula>AND($H44 &lt; 0, ISNUMBER($H44))</formula>
    </cfRule>
  </conditionalFormatting>
  <conditionalFormatting sqref="A44:C63 J44:L63">
    <cfRule type="expression" dxfId="1036" priority="136">
      <formula>AND($K44 &gt; 0, ISNUMBER($K44))</formula>
    </cfRule>
    <cfRule type="expression" dxfId="1035" priority="137">
      <formula>AND($K44 = 0 * ISNUMBER($K44))</formula>
    </cfRule>
    <cfRule type="expression" dxfId="1034" priority="138">
      <formula>AND($K44 &lt; 0, ISNUMBER($K44))</formula>
    </cfRule>
  </conditionalFormatting>
  <conditionalFormatting sqref="D42:F43 E64:F64">
    <cfRule type="expression" dxfId="1033" priority="130">
      <formula>$E$64 &gt; 0</formula>
    </cfRule>
    <cfRule type="expression" dxfId="1032" priority="131">
      <formula>$E$64 = 0</formula>
    </cfRule>
    <cfRule type="expression" dxfId="1031" priority="132">
      <formula>$E$64 &lt; 0</formula>
    </cfRule>
  </conditionalFormatting>
  <conditionalFormatting sqref="G42:I43 H64:I64">
    <cfRule type="expression" dxfId="1030" priority="127">
      <formula>$H$64 &gt; 0</formula>
    </cfRule>
    <cfRule type="expression" dxfId="1029" priority="128">
      <formula>$H$64 = 0</formula>
    </cfRule>
    <cfRule type="expression" dxfId="1028" priority="129">
      <formula>$H$64 &lt; 0</formula>
    </cfRule>
  </conditionalFormatting>
  <conditionalFormatting sqref="J42:L43 K64:L64">
    <cfRule type="expression" dxfId="1027" priority="124">
      <formula>$K$64 &gt; 0</formula>
    </cfRule>
    <cfRule type="expression" dxfId="1026" priority="125">
      <formula>$K$64 = 0</formula>
    </cfRule>
    <cfRule type="expression" dxfId="1025" priority="126">
      <formula>$K$64 &lt; 0</formula>
    </cfRule>
  </conditionalFormatting>
  <conditionalFormatting sqref="M42:O43 N64:O64">
    <cfRule type="expression" dxfId="1024" priority="121">
      <formula>$N$64 &gt; 0</formula>
    </cfRule>
    <cfRule type="expression" dxfId="1023" priority="122">
      <formula>$N$64 = 0</formula>
    </cfRule>
    <cfRule type="expression" dxfId="1022" priority="123">
      <formula>$N$64 &lt; 0</formula>
    </cfRule>
  </conditionalFormatting>
  <conditionalFormatting sqref="A71:C90 M71:O90">
    <cfRule type="expression" dxfId="1021" priority="109">
      <formula>AND($N71 &gt; 0, ISNUMBER($N71))</formula>
    </cfRule>
    <cfRule type="expression" dxfId="1020" priority="110">
      <formula>AND($N71 = 0 * ISNUMBER($N71))</formula>
    </cfRule>
    <cfRule type="expression" dxfId="1019" priority="111">
      <formula>AND($N71 &lt; 0, ISNUMBER($N71))</formula>
    </cfRule>
  </conditionalFormatting>
  <conditionalFormatting sqref="A71:F90">
    <cfRule type="expression" dxfId="1018" priority="118">
      <formula>AND($E71 &gt; 0, ISNUMBER($E71))</formula>
    </cfRule>
    <cfRule type="expression" dxfId="1017" priority="119">
      <formula>AND($E71 = 0 * ISNUMBER($E71))</formula>
    </cfRule>
    <cfRule type="expression" dxfId="1016" priority="120">
      <formula>AND($E71 &lt; 0, ISNUMBER($E71))</formula>
    </cfRule>
  </conditionalFormatting>
  <conditionalFormatting sqref="A71:C90 G71:I90">
    <cfRule type="expression" dxfId="1015" priority="115">
      <formula>AND($H71 &gt; 0, ISNUMBER($H71))</formula>
    </cfRule>
    <cfRule type="expression" dxfId="1014" priority="116">
      <formula>AND($H71 = 0 * ISNUMBER($H71))</formula>
    </cfRule>
    <cfRule type="expression" dxfId="1013" priority="117">
      <formula>AND($H71 &lt; 0, ISNUMBER($H71))</formula>
    </cfRule>
  </conditionalFormatting>
  <conditionalFormatting sqref="A71:C90 J71:L90">
    <cfRule type="expression" dxfId="1012" priority="112">
      <formula>AND($K71 &gt; 0, ISNUMBER($K71))</formula>
    </cfRule>
    <cfRule type="expression" dxfId="1011" priority="113">
      <formula>AND($K71 = 0 * ISNUMBER($K71))</formula>
    </cfRule>
    <cfRule type="expression" dxfId="1010" priority="114">
      <formula>AND($K71 &lt; 0, ISNUMBER($K71))</formula>
    </cfRule>
  </conditionalFormatting>
  <conditionalFormatting sqref="D69:F70 E91:F91">
    <cfRule type="expression" dxfId="1009" priority="106">
      <formula>$E$91 &gt; 0</formula>
    </cfRule>
    <cfRule type="expression" dxfId="1008" priority="107">
      <formula>$E$91 = 0</formula>
    </cfRule>
    <cfRule type="expression" dxfId="1007" priority="108">
      <formula>$E$91 &lt; 0</formula>
    </cfRule>
  </conditionalFormatting>
  <conditionalFormatting sqref="G69:I70 H91:I91">
    <cfRule type="expression" dxfId="1006" priority="103">
      <formula>$H$91 &gt; 0</formula>
    </cfRule>
    <cfRule type="expression" dxfId="1005" priority="104">
      <formula>$H$91 = 0</formula>
    </cfRule>
    <cfRule type="expression" dxfId="1004" priority="105">
      <formula>$H$91 &lt; 0</formula>
    </cfRule>
  </conditionalFormatting>
  <conditionalFormatting sqref="J69:L70 K91:L91">
    <cfRule type="expression" dxfId="1003" priority="100">
      <formula>$K$91 &gt; 0</formula>
    </cfRule>
    <cfRule type="expression" dxfId="1002" priority="101">
      <formula>$K$91 = 0</formula>
    </cfRule>
    <cfRule type="expression" dxfId="1001" priority="102">
      <formula>$K$91 &lt; 0</formula>
    </cfRule>
  </conditionalFormatting>
  <conditionalFormatting sqref="M69:O70 N91:O91">
    <cfRule type="expression" dxfId="1000" priority="97">
      <formula>$N$91 &gt; 0</formula>
    </cfRule>
    <cfRule type="expression" dxfId="999" priority="98">
      <formula>$N$91 = 0</formula>
    </cfRule>
    <cfRule type="expression" dxfId="998" priority="99">
      <formula>$N$91 &lt; 0</formula>
    </cfRule>
  </conditionalFormatting>
  <conditionalFormatting sqref="A98:C117 M98:O117">
    <cfRule type="expression" dxfId="997" priority="85">
      <formula>AND($N98 &gt; 0, ISNUMBER($N98))</formula>
    </cfRule>
    <cfRule type="expression" dxfId="996" priority="86">
      <formula>AND($N98 = 0 * ISNUMBER($N98))</formula>
    </cfRule>
    <cfRule type="expression" dxfId="995" priority="87">
      <formula>AND($N98 &lt; 0, ISNUMBER($N98))</formula>
    </cfRule>
  </conditionalFormatting>
  <conditionalFormatting sqref="A98:F117">
    <cfRule type="expression" dxfId="994" priority="94">
      <formula>AND($E98 &gt; 0, ISNUMBER($E98))</formula>
    </cfRule>
    <cfRule type="expression" dxfId="993" priority="95">
      <formula>AND($E98 = 0 * ISNUMBER($E98))</formula>
    </cfRule>
    <cfRule type="expression" dxfId="992" priority="96">
      <formula>AND($E98 &lt; 0, ISNUMBER($E98))</formula>
    </cfRule>
  </conditionalFormatting>
  <conditionalFormatting sqref="A98:C117 G98:I117">
    <cfRule type="expression" dxfId="991" priority="91">
      <formula>AND($H98 &gt; 0, ISNUMBER($H98))</formula>
    </cfRule>
    <cfRule type="expression" dxfId="990" priority="92">
      <formula>AND($H98 = 0 * ISNUMBER($H98))</formula>
    </cfRule>
    <cfRule type="expression" dxfId="989" priority="93">
      <formula>AND($H98 &lt; 0, ISNUMBER($H98))</formula>
    </cfRule>
  </conditionalFormatting>
  <conditionalFormatting sqref="A98:C117 J98:L117">
    <cfRule type="expression" dxfId="988" priority="88">
      <formula>AND($K98 &gt; 0, ISNUMBER($K98))</formula>
    </cfRule>
    <cfRule type="expression" dxfId="987" priority="89">
      <formula>AND($K98 = 0 * ISNUMBER($K98))</formula>
    </cfRule>
    <cfRule type="expression" dxfId="986" priority="90">
      <formula>AND($K98 &lt; 0, ISNUMBER($K98))</formula>
    </cfRule>
  </conditionalFormatting>
  <conditionalFormatting sqref="D96:F97 E118:F118">
    <cfRule type="expression" dxfId="985" priority="82">
      <formula>$E$118 &gt; 0</formula>
    </cfRule>
    <cfRule type="expression" dxfId="984" priority="83">
      <formula>$E$118 = 0</formula>
    </cfRule>
    <cfRule type="expression" dxfId="983" priority="84">
      <formula>$E$118 &lt; 0</formula>
    </cfRule>
  </conditionalFormatting>
  <conditionalFormatting sqref="G96:I97 H118:I118">
    <cfRule type="expression" dxfId="982" priority="79">
      <formula>$H$118 &gt; 0</formula>
    </cfRule>
    <cfRule type="expression" dxfId="981" priority="80">
      <formula>$H$118 = 0</formula>
    </cfRule>
    <cfRule type="expression" dxfId="980" priority="81">
      <formula>$H$118 &lt; 0</formula>
    </cfRule>
  </conditionalFormatting>
  <conditionalFormatting sqref="J96:L97 K118:L118">
    <cfRule type="expression" dxfId="979" priority="76">
      <formula>$K$118 &gt; 0</formula>
    </cfRule>
    <cfRule type="expression" dxfId="978" priority="77">
      <formula>$K$118 = 0</formula>
    </cfRule>
    <cfRule type="expression" dxfId="977" priority="78">
      <formula>$K$118 &lt; 0</formula>
    </cfRule>
  </conditionalFormatting>
  <conditionalFormatting sqref="M96:O97 N118:O118">
    <cfRule type="expression" dxfId="976" priority="73">
      <formula>$N$118 &gt; 0</formula>
    </cfRule>
    <cfRule type="expression" dxfId="975" priority="74">
      <formula>$N$118 = 0</formula>
    </cfRule>
    <cfRule type="expression" dxfId="974" priority="75">
      <formula>$N$118 &lt; 0</formula>
    </cfRule>
  </conditionalFormatting>
  <conditionalFormatting sqref="A125:C144 M125:O144">
    <cfRule type="expression" dxfId="973" priority="61">
      <formula>AND($N125 &gt; 0, ISNUMBER($N125))</formula>
    </cfRule>
    <cfRule type="expression" dxfId="972" priority="62">
      <formula>AND($N125 = 0 * ISNUMBER($N125))</formula>
    </cfRule>
    <cfRule type="expression" dxfId="971" priority="63">
      <formula>AND($N125 &lt; 0, ISNUMBER($N125))</formula>
    </cfRule>
  </conditionalFormatting>
  <conditionalFormatting sqref="A125:F144">
    <cfRule type="expression" dxfId="970" priority="70">
      <formula>AND($E125 &gt; 0, ISNUMBER($E125))</formula>
    </cfRule>
    <cfRule type="expression" dxfId="969" priority="71">
      <formula>AND($E125 = 0 * ISNUMBER($E125))</formula>
    </cfRule>
    <cfRule type="expression" dxfId="968" priority="72">
      <formula>AND($E125 &lt; 0, ISNUMBER($E125))</formula>
    </cfRule>
  </conditionalFormatting>
  <conditionalFormatting sqref="A125:C144 G125:I144">
    <cfRule type="expression" dxfId="967" priority="67">
      <formula>AND($H125 &gt; 0, ISNUMBER($H125))</formula>
    </cfRule>
    <cfRule type="expression" dxfId="966" priority="68">
      <formula>AND($H125 = 0 * ISNUMBER($H125))</formula>
    </cfRule>
    <cfRule type="expression" dxfId="965" priority="69">
      <formula>AND($H125 &lt; 0, ISNUMBER($H125))</formula>
    </cfRule>
  </conditionalFormatting>
  <conditionalFormatting sqref="A125:C144 J125:L144">
    <cfRule type="expression" dxfId="964" priority="64">
      <formula>AND($K125 &gt; 0, ISNUMBER($K125))</formula>
    </cfRule>
    <cfRule type="expression" dxfId="963" priority="65">
      <formula>AND($K125 = 0 * ISNUMBER($K125))</formula>
    </cfRule>
    <cfRule type="expression" dxfId="962" priority="66">
      <formula>AND($K125 &lt; 0, ISNUMBER($K125))</formula>
    </cfRule>
  </conditionalFormatting>
  <conditionalFormatting sqref="D123:F124 E145:F145">
    <cfRule type="expression" dxfId="961" priority="58">
      <formula>$E$145 &gt; 0</formula>
    </cfRule>
    <cfRule type="expression" dxfId="960" priority="59">
      <formula>$E$145 = 0</formula>
    </cfRule>
    <cfRule type="expression" dxfId="959" priority="60">
      <formula>$E$145 &lt; 0</formula>
    </cfRule>
  </conditionalFormatting>
  <conditionalFormatting sqref="G123:I124 H145:I145">
    <cfRule type="expression" dxfId="958" priority="55">
      <formula>$H$145 &gt; 0</formula>
    </cfRule>
    <cfRule type="expression" dxfId="957" priority="56">
      <formula>$H$145 = 0</formula>
    </cfRule>
    <cfRule type="expression" dxfId="956" priority="57">
      <formula>$H$145 &lt; 0</formula>
    </cfRule>
  </conditionalFormatting>
  <conditionalFormatting sqref="J123:L124 K145:L145">
    <cfRule type="expression" dxfId="955" priority="52">
      <formula>$K$145 &gt; 0</formula>
    </cfRule>
    <cfRule type="expression" dxfId="954" priority="53">
      <formula>$K$145 = 0</formula>
    </cfRule>
    <cfRule type="expression" dxfId="953" priority="54">
      <formula>$K$145 &lt; 0</formula>
    </cfRule>
  </conditionalFormatting>
  <conditionalFormatting sqref="M123:O124 N145:O145">
    <cfRule type="expression" dxfId="952" priority="49">
      <formula>$N$145 &gt; 0</formula>
    </cfRule>
    <cfRule type="expression" dxfId="951" priority="50">
      <formula>$N$145 = 0</formula>
    </cfRule>
    <cfRule type="expression" dxfId="950" priority="51">
      <formula>$N$145 &lt; 0</formula>
    </cfRule>
  </conditionalFormatting>
  <conditionalFormatting sqref="A152:C171 M152:O171">
    <cfRule type="expression" dxfId="949" priority="37">
      <formula>AND($N152 &gt; 0, ISNUMBER($N152))</formula>
    </cfRule>
    <cfRule type="expression" dxfId="948" priority="38">
      <formula>AND($N152 = 0 * ISNUMBER($N152))</formula>
    </cfRule>
    <cfRule type="expression" dxfId="947" priority="39">
      <formula>AND($N152 &lt; 0, ISNUMBER($N152))</formula>
    </cfRule>
  </conditionalFormatting>
  <conditionalFormatting sqref="A152:F171">
    <cfRule type="expression" dxfId="946" priority="46">
      <formula>AND($E152 &gt; 0, ISNUMBER($E152))</formula>
    </cfRule>
    <cfRule type="expression" dxfId="945" priority="47">
      <formula>AND($E152 = 0 * ISNUMBER($E152))</formula>
    </cfRule>
    <cfRule type="expression" dxfId="944" priority="48">
      <formula>AND($E152 &lt; 0, ISNUMBER($E152))</formula>
    </cfRule>
  </conditionalFormatting>
  <conditionalFormatting sqref="A152:C171 G152:I171">
    <cfRule type="expression" dxfId="943" priority="43">
      <formula>AND($H152 &gt; 0, ISNUMBER($H152))</formula>
    </cfRule>
    <cfRule type="expression" dxfId="942" priority="44">
      <formula>AND($H152 = 0 * ISNUMBER($H152))</formula>
    </cfRule>
    <cfRule type="expression" dxfId="941" priority="45">
      <formula>AND($H152 &lt; 0, ISNUMBER($H152))</formula>
    </cfRule>
  </conditionalFormatting>
  <conditionalFormatting sqref="A152:C171 J152:L171">
    <cfRule type="expression" dxfId="940" priority="40">
      <formula>AND($K152 &gt; 0, ISNUMBER($K152))</formula>
    </cfRule>
    <cfRule type="expression" dxfId="939" priority="41">
      <formula>AND($K152 = 0 * ISNUMBER($K152))</formula>
    </cfRule>
    <cfRule type="expression" dxfId="938" priority="42">
      <formula>AND($K152 &lt; 0, ISNUMBER($K152))</formula>
    </cfRule>
  </conditionalFormatting>
  <conditionalFormatting sqref="D150:F151 E172:F172">
    <cfRule type="expression" dxfId="937" priority="34">
      <formula>$E$172 &gt; 0</formula>
    </cfRule>
    <cfRule type="expression" dxfId="936" priority="35">
      <formula>$E$172 = 0</formula>
    </cfRule>
    <cfRule type="expression" dxfId="935" priority="36">
      <formula>$E$172 &lt; 0</formula>
    </cfRule>
  </conditionalFormatting>
  <conditionalFormatting sqref="G150:I151 H172:I172">
    <cfRule type="expression" dxfId="934" priority="31">
      <formula>$H$172 &gt; 0</formula>
    </cfRule>
    <cfRule type="expression" dxfId="933" priority="32">
      <formula>$H$172 = 0</formula>
    </cfRule>
    <cfRule type="expression" dxfId="932" priority="33">
      <formula>$H$172 &lt; 0</formula>
    </cfRule>
  </conditionalFormatting>
  <conditionalFormatting sqref="J150:L151 K172:L172">
    <cfRule type="expression" dxfId="931" priority="28">
      <formula>$K$172 &gt; 0</formula>
    </cfRule>
    <cfRule type="expression" dxfId="930" priority="29">
      <formula>$K$172 = 0</formula>
    </cfRule>
    <cfRule type="expression" dxfId="929" priority="30">
      <formula>$K$172 &lt; 0</formula>
    </cfRule>
  </conditionalFormatting>
  <conditionalFormatting sqref="M150:O151 N172:O172">
    <cfRule type="expression" dxfId="928" priority="25">
      <formula>$N$172 &gt; 0</formula>
    </cfRule>
    <cfRule type="expression" dxfId="927" priority="26">
      <formula>$N$172 = 0</formula>
    </cfRule>
    <cfRule type="expression" dxfId="926" priority="27">
      <formula>$N$172 &lt; 0</formula>
    </cfRule>
  </conditionalFormatting>
  <conditionalFormatting sqref="A179:C198 M179:O198">
    <cfRule type="expression" dxfId="925" priority="13">
      <formula>AND($N179 &gt; 0, ISNUMBER($N179))</formula>
    </cfRule>
    <cfRule type="expression" dxfId="924" priority="14">
      <formula>AND($N179 = 0 * ISNUMBER($N179))</formula>
    </cfRule>
    <cfRule type="expression" dxfId="923" priority="15">
      <formula>AND($N179 &lt; 0, ISNUMBER($N179))</formula>
    </cfRule>
  </conditionalFormatting>
  <conditionalFormatting sqref="A179:F198">
    <cfRule type="expression" dxfId="922" priority="22">
      <formula>AND($E179 &gt; 0, ISNUMBER($E179))</formula>
    </cfRule>
    <cfRule type="expression" dxfId="921" priority="23">
      <formula>AND($E179 = 0 * ISNUMBER($E179))</formula>
    </cfRule>
    <cfRule type="expression" dxfId="920" priority="24">
      <formula>AND($E179 &lt; 0, ISNUMBER($E179))</formula>
    </cfRule>
  </conditionalFormatting>
  <conditionalFormatting sqref="A179:C198 G179:I198">
    <cfRule type="expression" dxfId="919" priority="19">
      <formula>AND($H179 &gt; 0, ISNUMBER($H179))</formula>
    </cfRule>
    <cfRule type="expression" dxfId="918" priority="20">
      <formula>AND($H179 = 0 * ISNUMBER($H179))</formula>
    </cfRule>
    <cfRule type="expression" dxfId="917" priority="21">
      <formula>AND($H179 &lt; 0, ISNUMBER($H179))</formula>
    </cfRule>
  </conditionalFormatting>
  <conditionalFormatting sqref="A179:C198 J179:L198">
    <cfRule type="expression" dxfId="916" priority="16">
      <formula>AND($K179 &gt; 0, ISNUMBER($K179))</formula>
    </cfRule>
    <cfRule type="expression" dxfId="915" priority="17">
      <formula>AND($K179 = 0 * ISNUMBER($K179))</formula>
    </cfRule>
    <cfRule type="expression" dxfId="914" priority="18">
      <formula>AND($K179 &lt; 0, ISNUMBER($K179))</formula>
    </cfRule>
  </conditionalFormatting>
  <conditionalFormatting sqref="D177:F178 E199:F199">
    <cfRule type="expression" dxfId="913" priority="10">
      <formula>$E$199 &gt; 0</formula>
    </cfRule>
    <cfRule type="expression" dxfId="912" priority="11">
      <formula>$E$199 = 0</formula>
    </cfRule>
    <cfRule type="expression" dxfId="911" priority="12">
      <formula>$E$199 &lt; 0</formula>
    </cfRule>
  </conditionalFormatting>
  <conditionalFormatting sqref="G177:I178 H199:I199">
    <cfRule type="expression" dxfId="910" priority="7">
      <formula>$H$199 &gt; 0</formula>
    </cfRule>
    <cfRule type="expression" dxfId="909" priority="8">
      <formula>$H$199 = 0</formula>
    </cfRule>
    <cfRule type="expression" dxfId="908" priority="9">
      <formula>$H$199 &lt; 0</formula>
    </cfRule>
  </conditionalFormatting>
  <conditionalFormatting sqref="J177:L178 K199:L199">
    <cfRule type="expression" dxfId="907" priority="4">
      <formula>$K$199 &gt; 0</formula>
    </cfRule>
    <cfRule type="expression" dxfId="906" priority="5">
      <formula>$K$199 = 0</formula>
    </cfRule>
    <cfRule type="expression" dxfId="905" priority="6">
      <formula>$K$199 &lt; 0</formula>
    </cfRule>
  </conditionalFormatting>
  <conditionalFormatting sqref="M177:O178 N199:O199">
    <cfRule type="expression" dxfId="904" priority="1">
      <formula>$N$199 &gt; 0</formula>
    </cfRule>
    <cfRule type="expression" dxfId="903" priority="2">
      <formula>$N$199 = 0</formula>
    </cfRule>
    <cfRule type="expression" dxfId="9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9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44327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6" t="s">
        <v>3</v>
      </c>
      <c r="B2" s="247" t="s">
        <v>8</v>
      </c>
      <c r="C2" s="248"/>
      <c r="D2" s="248"/>
      <c r="E2" s="248"/>
      <c r="F2" s="249"/>
      <c r="G2" s="250" t="s">
        <v>46</v>
      </c>
      <c r="H2" s="251"/>
      <c r="I2" s="252"/>
      <c r="J2" s="1" t="s">
        <v>3</v>
      </c>
      <c r="K2" s="247" t="s">
        <v>376</v>
      </c>
      <c r="L2" s="248"/>
      <c r="M2" s="248"/>
      <c r="N2" s="248"/>
      <c r="O2" s="249"/>
      <c r="Q2" s="2" t="s">
        <v>6</v>
      </c>
      <c r="R2" s="3">
        <v>0.375</v>
      </c>
    </row>
    <row r="3" spans="1:19" ht="17.25" customHeight="1" thickBot="1">
      <c r="A3" s="117" t="s">
        <v>7</v>
      </c>
      <c r="B3" s="253" t="s">
        <v>384</v>
      </c>
      <c r="C3" s="254"/>
      <c r="D3" s="254"/>
      <c r="E3" s="254"/>
      <c r="F3" s="255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-202,884 KRW (-6.76%)</v>
      </c>
      <c r="H3" s="257"/>
      <c r="I3" s="258"/>
      <c r="J3" s="4" t="s">
        <v>7</v>
      </c>
      <c r="K3" s="253" t="s">
        <v>377</v>
      </c>
      <c r="L3" s="254"/>
      <c r="M3" s="254"/>
      <c r="N3" s="254"/>
      <c r="O3" s="255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53" t="s">
        <v>16</v>
      </c>
      <c r="C4" s="254"/>
      <c r="D4" s="254"/>
      <c r="E4" s="254"/>
      <c r="F4" s="255"/>
      <c r="G4" s="250" t="s">
        <v>44</v>
      </c>
      <c r="H4" s="251"/>
      <c r="I4" s="252"/>
      <c r="J4" s="4" t="s">
        <v>11</v>
      </c>
      <c r="K4" s="253" t="s">
        <v>378</v>
      </c>
      <c r="L4" s="254"/>
      <c r="M4" s="254"/>
      <c r="N4" s="254"/>
      <c r="O4" s="255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53" t="s">
        <v>374</v>
      </c>
      <c r="C5" s="254"/>
      <c r="D5" s="254"/>
      <c r="E5" s="254"/>
      <c r="F5" s="255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96,726 KRW (3.39%)</v>
      </c>
      <c r="H5" s="257"/>
      <c r="I5" s="258"/>
      <c r="J5" s="4" t="s">
        <v>15</v>
      </c>
      <c r="K5" s="253" t="s">
        <v>379</v>
      </c>
      <c r="L5" s="254"/>
      <c r="M5" s="254"/>
      <c r="N5" s="254"/>
      <c r="O5" s="255"/>
    </row>
    <row r="6" spans="1:19">
      <c r="A6" s="117" t="s">
        <v>18</v>
      </c>
      <c r="B6" s="253"/>
      <c r="C6" s="254"/>
      <c r="D6" s="254"/>
      <c r="E6" s="254"/>
      <c r="F6" s="255"/>
      <c r="G6" s="250" t="s">
        <v>45</v>
      </c>
      <c r="H6" s="251"/>
      <c r="I6" s="252"/>
      <c r="J6" s="4" t="s">
        <v>18</v>
      </c>
      <c r="K6" s="253" t="s">
        <v>380</v>
      </c>
      <c r="L6" s="254"/>
      <c r="M6" s="254"/>
      <c r="N6" s="254"/>
      <c r="O6" s="255"/>
    </row>
    <row r="7" spans="1:19" ht="17.25" thickBot="1">
      <c r="A7" s="117" t="s">
        <v>21</v>
      </c>
      <c r="B7" s="253"/>
      <c r="C7" s="254"/>
      <c r="D7" s="254"/>
      <c r="E7" s="254"/>
      <c r="F7" s="255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-133,304 KRW (-4.44%)</v>
      </c>
      <c r="H7" s="257"/>
      <c r="I7" s="258"/>
      <c r="J7" s="4" t="s">
        <v>21</v>
      </c>
      <c r="K7" s="253" t="s">
        <v>381</v>
      </c>
      <c r="L7" s="254"/>
      <c r="M7" s="254"/>
      <c r="N7" s="254"/>
      <c r="O7" s="255"/>
    </row>
    <row r="8" spans="1:19" ht="17.25" thickBot="1">
      <c r="A8" s="117" t="s">
        <v>24</v>
      </c>
      <c r="B8" s="253"/>
      <c r="C8" s="254"/>
      <c r="D8" s="254"/>
      <c r="E8" s="254"/>
      <c r="F8" s="255"/>
      <c r="G8" s="250" t="s">
        <v>285</v>
      </c>
      <c r="H8" s="251"/>
      <c r="I8" s="252"/>
      <c r="J8" s="4" t="s">
        <v>24</v>
      </c>
      <c r="K8" s="253"/>
      <c r="L8" s="254"/>
      <c r="M8" s="254"/>
      <c r="N8" s="254"/>
      <c r="O8" s="255"/>
      <c r="Q8" s="241" t="s">
        <v>27</v>
      </c>
      <c r="R8" s="243"/>
    </row>
    <row r="9" spans="1:19" ht="17.25" thickBot="1">
      <c r="A9" s="117" t="s">
        <v>28</v>
      </c>
      <c r="B9" s="253"/>
      <c r="C9" s="254"/>
      <c r="D9" s="254"/>
      <c r="E9" s="254"/>
      <c r="F9" s="255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-150,537 KRW (-5.02%)</v>
      </c>
      <c r="H9" s="257"/>
      <c r="I9" s="258"/>
      <c r="J9" s="4" t="s">
        <v>28</v>
      </c>
      <c r="K9" s="253"/>
      <c r="L9" s="254"/>
      <c r="M9" s="254"/>
      <c r="N9" s="254"/>
      <c r="O9" s="255"/>
      <c r="Q9" s="2" t="s">
        <v>29</v>
      </c>
      <c r="R9" s="6">
        <v>10</v>
      </c>
    </row>
    <row r="10" spans="1:19">
      <c r="A10" s="117" t="s">
        <v>30</v>
      </c>
      <c r="B10" s="253"/>
      <c r="C10" s="254"/>
      <c r="D10" s="254"/>
      <c r="E10" s="254"/>
      <c r="F10" s="255"/>
      <c r="G10" s="250" t="s">
        <v>47</v>
      </c>
      <c r="H10" s="251"/>
      <c r="I10" s="252"/>
      <c r="J10" s="4" t="s">
        <v>30</v>
      </c>
      <c r="K10" s="253" t="s">
        <v>382</v>
      </c>
      <c r="L10" s="254"/>
      <c r="M10" s="254"/>
      <c r="N10" s="254"/>
      <c r="O10" s="255"/>
      <c r="Q10" s="2" t="s">
        <v>31</v>
      </c>
      <c r="R10" s="6">
        <v>100</v>
      </c>
    </row>
    <row r="11" spans="1:19" ht="17.25" thickBot="1">
      <c r="A11" s="118" t="s">
        <v>32</v>
      </c>
      <c r="B11" s="259" t="s">
        <v>383</v>
      </c>
      <c r="C11" s="260"/>
      <c r="D11" s="260"/>
      <c r="E11" s="260"/>
      <c r="F11" s="26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-91,451 KRW (-3.05%)</v>
      </c>
      <c r="H11" s="257"/>
      <c r="I11" s="258"/>
      <c r="J11" s="7" t="s">
        <v>32</v>
      </c>
      <c r="K11" s="259" t="s">
        <v>373</v>
      </c>
      <c r="L11" s="260"/>
      <c r="M11" s="260"/>
      <c r="N11" s="260"/>
      <c r="O11" s="261"/>
      <c r="Q11" s="61" t="s">
        <v>33</v>
      </c>
      <c r="R11" s="8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186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62017000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-1.6680144000000001E-2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2021-05-11(화) 오전 00:00</v>
      </c>
      <c r="C15" s="308"/>
      <c r="D15" s="264" t="str">
        <f>TEXT($G$1, "[$-ko-KR]yyyy-mm-dd(ddd) ") &amp; "오후 14:00"</f>
        <v>2021-05-11(화) 오후 14:00</v>
      </c>
      <c r="E15" s="265"/>
      <c r="F15" s="266"/>
      <c r="G15" s="264" t="str">
        <f>TEXT($G$1, "[$-ko-KR]yyyy-mm-dd(ddd) ") &amp; "오후 19:00"</f>
        <v>2021-05-11(화) 오후 19:00</v>
      </c>
      <c r="H15" s="265"/>
      <c r="I15" s="266"/>
      <c r="J15" s="264" t="str">
        <f>TEXT($G$1, "[$-ko-KR]yyyy-mm-dd(ddd) ") &amp; "오후 21:00"</f>
        <v>2021-05-11(화) 오후 21:00</v>
      </c>
      <c r="K15" s="265"/>
      <c r="L15" s="266"/>
      <c r="M15" s="264" t="str">
        <f>TEXT($G$1+1, "[$-ko-KR]yyyy-mm-dd(ddd) ") &amp; "오전 00:00"</f>
        <v>2021-05-12(수) 오전 00:00</v>
      </c>
      <c r="N15" s="265"/>
      <c r="O15" s="266"/>
      <c r="Q15" s="262"/>
      <c r="R15" s="262"/>
      <c r="S15" s="262"/>
    </row>
    <row r="16" spans="1:19" ht="17.25" customHeight="1" thickBot="1">
      <c r="A16" s="30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7"/>
      <c r="R16" s="267"/>
      <c r="S16" s="267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>
        <f>IF(NOT(ISBLANK(_xlfn.IFNA(VLOOKUP($A17, $A$40:$O$199, 4, FALSE), ))), _xlfn.IFNA(VLOOKUP($A17, $A$40:$O$199, 4, FALSE), ), "")</f>
        <v>323</v>
      </c>
      <c r="E17" s="14">
        <f>IF(NOT(ISBLANK(_xlfn.IFNA(VLOOKUP($A17, $A$40:$O$199, 5, FALSE), ))), _xlfn.IFNA(VLOOKUP($A17, $A$40:$O$199, 5, FALSE), ), "")</f>
        <v>-5.2785923753665691E-2</v>
      </c>
      <c r="F17" s="16">
        <f>IF(NOT(ISBLANK(_xlfn.IFNA(VLOOKUP($A17, $A$40:$O$199, 6, FALSE), ))), _xlfn.IFNA(VLOOKUP($A17, $A$40:$O$199, 6, FALSE), ), "")</f>
        <v>-7917.8885630498535</v>
      </c>
      <c r="G17" s="29">
        <f>IF(NOT(ISBLANK(_xlfn.IFNA(VLOOKUP($A17, $A$40:$O$199, 7, FALSE), ))), _xlfn.IFNA(VLOOKUP($A17, $A$40:$O$199, 7, FALSE), ), "")</f>
        <v>332</v>
      </c>
      <c r="H17" s="14">
        <f>IF(NOT(ISBLANK(_xlfn.IFNA(VLOOKUP($A17, $A$40:$O$199, 8, FALSE), ))), _xlfn.IFNA(VLOOKUP($A17, $A$40:$O$199, 8, FALSE), ), "")</f>
        <v>-2.6392961876832845E-2</v>
      </c>
      <c r="I17" s="96">
        <f>IF(NOT(ISBLANK(_xlfn.IFNA(VLOOKUP($A17, $A$40:$O$199, 9, FALSE), ))), _xlfn.IFNA(VLOOKUP($A17, $A$40:$O$199, 9, FALSE), ), "")</f>
        <v>-3958.9442815249267</v>
      </c>
      <c r="J17" s="13">
        <f>IF(NOT(ISBLANK(_xlfn.IFNA(VLOOKUP($A17, $A$40:$O$199, 10, FALSE), ))), _xlfn.IFNA(VLOOKUP($A17, $A$40:$O$199, 10, FALSE), ), "")</f>
        <v>340</v>
      </c>
      <c r="K17" s="14">
        <f>IF(NOT(ISBLANK(_xlfn.IFNA(VLOOKUP($A17, $A$40:$O$199, 11, FALSE), ))), _xlfn.IFNA(VLOOKUP($A17, $A$40:$O$199, 11, FALSE), ), "")</f>
        <v>-2.9325513196480938E-3</v>
      </c>
      <c r="L17" s="16">
        <f>IF(NOT(ISBLANK(_xlfn.IFNA(VLOOKUP($A17, $A$40:$O$199, 12, FALSE), ))), _xlfn.IFNA(VLOOKUP($A17, $A$40:$O$199, 12, FALSE), ), "")</f>
        <v>-439.88269794721407</v>
      </c>
      <c r="M17" s="29">
        <f>IF(NOT(ISBLANK(_xlfn.IFNA(VLOOKUP($A17, $A$40:$O$199, 13, FALSE), ))), _xlfn.IFNA(VLOOKUP($A17, $A$40:$O$199, 13, FALSE), ), "")</f>
        <v>334</v>
      </c>
      <c r="N17" s="14">
        <f>IF(NOT(ISBLANK(_xlfn.IFNA(VLOOKUP($A17, $A$40:$O$199, 14, FALSE), ))), _xlfn.IFNA(VLOOKUP($A17, $A$40:$O$199, 14, FALSE), ), "")</f>
        <v>-2.0527859237536656E-2</v>
      </c>
      <c r="O17" s="16">
        <f>IF(NOT(ISBLANK(_xlfn.IFNA(VLOOKUP($A17, $A$40:$O$199, 15, FALSE), ))), _xlfn.IFNA(VLOOKUP($A17, $A$40:$O$199, 15, FALSE), ), "")</f>
        <v>-3079.1788856304984</v>
      </c>
      <c r="Q17" s="262"/>
      <c r="R17" s="262"/>
      <c r="S17" s="262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>
        <f t="shared" ref="D18:D36" si="2">IF(NOT(ISBLANK(_xlfn.IFNA(VLOOKUP($A18, $A$40:$O$199, 4, FALSE), ))), _xlfn.IFNA(VLOOKUP($A18, $A$40:$O$199, 4, FALSE), ), "")</f>
        <v>192</v>
      </c>
      <c r="E18" s="32">
        <f t="shared" ref="E18:E36" si="3">IF(NOT(ISBLANK(_xlfn.IFNA(VLOOKUP($A18, $A$40:$O$199, 5, FALSE), ))), _xlfn.IFNA(VLOOKUP($A18, $A$40:$O$199, 5, FALSE), ), "")</f>
        <v>-3.5175879396984924E-2</v>
      </c>
      <c r="F18" s="18">
        <f t="shared" ref="F18:F36" si="4">IF(NOT(ISBLANK(_xlfn.IFNA(VLOOKUP($A18, $A$40:$O$199, 6, FALSE), ))), _xlfn.IFNA(VLOOKUP($A18, $A$40:$O$199, 6, FALSE), ), "")</f>
        <v>-5276.3819095477384</v>
      </c>
      <c r="G18" s="31">
        <f t="shared" ref="G18:G36" si="5">IF(NOT(ISBLANK(_xlfn.IFNA(VLOOKUP($A18, $A$40:$O$199, 7, FALSE), ))), _xlfn.IFNA(VLOOKUP($A18, $A$40:$O$199, 7, FALSE), ), "")</f>
        <v>196</v>
      </c>
      <c r="H18" s="32">
        <f t="shared" ref="H18:H36" si="6">IF(NOT(ISBLANK(_xlfn.IFNA(VLOOKUP($A18, $A$40:$O$199, 8, FALSE), ))), _xlfn.IFNA(VLOOKUP($A18, $A$40:$O$199, 8, FALSE), ), "")</f>
        <v>-1.507537688442211E-2</v>
      </c>
      <c r="I18" s="97">
        <f t="shared" ref="I18:I36" si="7">IF(NOT(ISBLANK(_xlfn.IFNA(VLOOKUP($A18, $A$40:$O$199, 9, FALSE), ))), _xlfn.IFNA(VLOOKUP($A18, $A$40:$O$199, 9, FALSE), ), "")</f>
        <v>-2261.3065326633164</v>
      </c>
      <c r="J18" s="15">
        <f t="shared" ref="J18:J36" si="8">IF(NOT(ISBLANK(_xlfn.IFNA(VLOOKUP($A18, $A$40:$O$199, 10, FALSE), ))), _xlfn.IFNA(VLOOKUP($A18, $A$40:$O$199, 10, FALSE), ), "")</f>
        <v>202</v>
      </c>
      <c r="K18" s="32">
        <f t="shared" ref="K18:K36" si="9">IF(NOT(ISBLANK(_xlfn.IFNA(VLOOKUP($A18, $A$40:$O$199, 11, FALSE), ))), _xlfn.IFNA(VLOOKUP($A18, $A$40:$O$199, 11, FALSE), ), "")</f>
        <v>1.507537688442211E-2</v>
      </c>
      <c r="L18" s="18">
        <f t="shared" ref="L18:L36" si="10">IF(NOT(ISBLANK(_xlfn.IFNA(VLOOKUP($A18, $A$40:$O$199, 12, FALSE), ))), _xlfn.IFNA(VLOOKUP($A18, $A$40:$O$199, 12, FALSE), ), "")</f>
        <v>2261.3065326633164</v>
      </c>
      <c r="M18" s="31">
        <f t="shared" ref="M18:M36" si="11">IF(NOT(ISBLANK(_xlfn.IFNA(VLOOKUP($A18, $A$40:$O$199, 13, FALSE), ))), _xlfn.IFNA(VLOOKUP($A18, $A$40:$O$199, 13, FALSE), ), "")</f>
        <v>201</v>
      </c>
      <c r="N18" s="32">
        <f t="shared" ref="N18:N36" si="12">IF(NOT(ISBLANK(_xlfn.IFNA(VLOOKUP($A18, $A$40:$O$199, 14, FALSE), ))), _xlfn.IFNA(VLOOKUP($A18, $A$40:$O$199, 14, FALSE), ), "")</f>
        <v>1.0050251256281407E-2</v>
      </c>
      <c r="O18" s="18">
        <f t="shared" ref="O18:O36" si="13">IF(NOT(ISBLANK(_xlfn.IFNA(VLOOKUP($A18, $A$40:$O$199, 15, FALSE), ))), _xlfn.IFNA(VLOOKUP($A18, $A$40:$O$199, 15, FALSE), ), "")</f>
        <v>1507.537688442211</v>
      </c>
      <c r="Q18" s="262"/>
      <c r="R18" s="262"/>
      <c r="S18" s="262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>
        <f t="shared" si="2"/>
        <v>183</v>
      </c>
      <c r="E19" s="32">
        <f t="shared" si="3"/>
        <v>-6.1538461538461542E-2</v>
      </c>
      <c r="F19" s="18">
        <f t="shared" si="4"/>
        <v>-9230.7692307692305</v>
      </c>
      <c r="G19" s="31">
        <f t="shared" si="5"/>
        <v>189</v>
      </c>
      <c r="H19" s="32">
        <f t="shared" si="6"/>
        <v>-3.0769230769230771E-2</v>
      </c>
      <c r="I19" s="97">
        <f t="shared" si="7"/>
        <v>-4615.3846153846152</v>
      </c>
      <c r="J19" s="15">
        <f t="shared" si="8"/>
        <v>194</v>
      </c>
      <c r="K19" s="32">
        <f t="shared" si="9"/>
        <v>-5.1282051282051282E-3</v>
      </c>
      <c r="L19" s="18">
        <f t="shared" si="10"/>
        <v>-769.23076923076928</v>
      </c>
      <c r="M19" s="31">
        <f t="shared" si="11"/>
        <v>189</v>
      </c>
      <c r="N19" s="32">
        <f t="shared" si="12"/>
        <v>-3.0769230769230771E-2</v>
      </c>
      <c r="O19" s="18">
        <f t="shared" si="13"/>
        <v>-4615.3846153846152</v>
      </c>
      <c r="Q19" s="267"/>
      <c r="R19" s="267"/>
      <c r="S19" s="267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>
        <f t="shared" si="2"/>
        <v>155</v>
      </c>
      <c r="E20" s="32">
        <f t="shared" si="3"/>
        <v>-3.125E-2</v>
      </c>
      <c r="F20" s="18">
        <f t="shared" si="4"/>
        <v>-4687.5</v>
      </c>
      <c r="G20" s="31">
        <f t="shared" si="5"/>
        <v>159</v>
      </c>
      <c r="H20" s="32">
        <f t="shared" si="6"/>
        <v>-6.2500000000000003E-3</v>
      </c>
      <c r="I20" s="97">
        <f t="shared" si="7"/>
        <v>-937.5</v>
      </c>
      <c r="J20" s="15">
        <f t="shared" si="8"/>
        <v>162</v>
      </c>
      <c r="K20" s="32">
        <f t="shared" si="9"/>
        <v>1.2500000000000001E-2</v>
      </c>
      <c r="L20" s="18">
        <f t="shared" si="10"/>
        <v>1875</v>
      </c>
      <c r="M20" s="31">
        <f t="shared" si="11"/>
        <v>164</v>
      </c>
      <c r="N20" s="32">
        <f t="shared" si="12"/>
        <v>2.5000000000000001E-2</v>
      </c>
      <c r="O20" s="18">
        <f t="shared" si="13"/>
        <v>3750</v>
      </c>
      <c r="Q20" s="267"/>
      <c r="R20" s="267"/>
      <c r="S20" s="267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>
        <f t="shared" si="2"/>
        <v>494</v>
      </c>
      <c r="E21" s="21">
        <f t="shared" si="3"/>
        <v>-8.0074487895716945E-2</v>
      </c>
      <c r="F21" s="22">
        <f t="shared" si="4"/>
        <v>-12011.173184357542</v>
      </c>
      <c r="G21" s="30">
        <f t="shared" si="5"/>
        <v>517</v>
      </c>
      <c r="H21" s="21">
        <f t="shared" si="6"/>
        <v>-3.7243947858473E-2</v>
      </c>
      <c r="I21" s="101">
        <f t="shared" si="7"/>
        <v>-5586.5921787709503</v>
      </c>
      <c r="J21" s="20">
        <f t="shared" si="8"/>
        <v>518</v>
      </c>
      <c r="K21" s="21">
        <f t="shared" si="9"/>
        <v>-3.5381750465549346E-2</v>
      </c>
      <c r="L21" s="22">
        <f t="shared" si="10"/>
        <v>-5307.2625698324018</v>
      </c>
      <c r="M21" s="30">
        <f t="shared" si="11"/>
        <v>517</v>
      </c>
      <c r="N21" s="21">
        <f t="shared" si="12"/>
        <v>-3.7243947858473E-2</v>
      </c>
      <c r="O21" s="22">
        <f t="shared" si="13"/>
        <v>-5586.5921787709503</v>
      </c>
      <c r="Q21" s="267"/>
      <c r="R21" s="267"/>
      <c r="S21" s="267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>
        <f t="shared" si="2"/>
        <v>241</v>
      </c>
      <c r="E22" s="103">
        <f t="shared" si="3"/>
        <v>-4.7430830039525688E-2</v>
      </c>
      <c r="F22" s="104">
        <f t="shared" si="4"/>
        <v>-7114.6245059288531</v>
      </c>
      <c r="G22" s="105">
        <f t="shared" si="5"/>
        <v>247</v>
      </c>
      <c r="H22" s="103">
        <f t="shared" si="6"/>
        <v>-2.3715415019762844E-2</v>
      </c>
      <c r="I22" s="106">
        <f t="shared" si="7"/>
        <v>-3557.3122529644265</v>
      </c>
      <c r="J22" s="102">
        <f t="shared" si="8"/>
        <v>257</v>
      </c>
      <c r="K22" s="103">
        <f t="shared" si="9"/>
        <v>1.5810276679841896E-2</v>
      </c>
      <c r="L22" s="104">
        <f t="shared" si="10"/>
        <v>2371.5415019762845</v>
      </c>
      <c r="M22" s="105">
        <f t="shared" si="11"/>
        <v>252</v>
      </c>
      <c r="N22" s="103">
        <f t="shared" si="12"/>
        <v>-3.952569169960474E-3</v>
      </c>
      <c r="O22" s="104">
        <f t="shared" si="13"/>
        <v>-592.88537549407113</v>
      </c>
      <c r="Q22" s="267"/>
      <c r="R22" s="267"/>
      <c r="S22" s="267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>
        <f t="shared" si="2"/>
        <v>222</v>
      </c>
      <c r="E23" s="32">
        <f t="shared" si="3"/>
        <v>-9.0163934426229511E-2</v>
      </c>
      <c r="F23" s="18">
        <f t="shared" si="4"/>
        <v>-13524.590163934427</v>
      </c>
      <c r="G23" s="31">
        <f t="shared" si="5"/>
        <v>231</v>
      </c>
      <c r="H23" s="32">
        <f t="shared" si="6"/>
        <v>-5.3278688524590161E-2</v>
      </c>
      <c r="I23" s="97">
        <f t="shared" si="7"/>
        <v>-7991.8032786885242</v>
      </c>
      <c r="J23" s="15">
        <f t="shared" si="8"/>
        <v>238</v>
      </c>
      <c r="K23" s="32">
        <f t="shared" si="9"/>
        <v>-2.4590163934426229E-2</v>
      </c>
      <c r="L23" s="18">
        <f t="shared" si="10"/>
        <v>-3688.5245901639341</v>
      </c>
      <c r="M23" s="31">
        <f t="shared" si="11"/>
        <v>236</v>
      </c>
      <c r="N23" s="32">
        <f t="shared" si="12"/>
        <v>-3.2786885245901641E-2</v>
      </c>
      <c r="O23" s="18">
        <f t="shared" si="13"/>
        <v>-4918.0327868852464</v>
      </c>
      <c r="Q23" s="267"/>
      <c r="R23" s="267"/>
      <c r="S23" s="267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>
        <f t="shared" si="2"/>
        <v>435</v>
      </c>
      <c r="E24" s="32">
        <f t="shared" si="3"/>
        <v>-8.2278481012658222E-2</v>
      </c>
      <c r="F24" s="18">
        <f t="shared" si="4"/>
        <v>-12341.772151898733</v>
      </c>
      <c r="G24" s="31">
        <f t="shared" si="5"/>
        <v>447</v>
      </c>
      <c r="H24" s="32">
        <f t="shared" si="6"/>
        <v>-5.6962025316455694E-2</v>
      </c>
      <c r="I24" s="97">
        <f t="shared" si="7"/>
        <v>-8544.3037974683539</v>
      </c>
      <c r="J24" s="15">
        <f t="shared" si="8"/>
        <v>455</v>
      </c>
      <c r="K24" s="32">
        <f t="shared" si="9"/>
        <v>-4.0084388185654012E-2</v>
      </c>
      <c r="L24" s="18">
        <f t="shared" si="10"/>
        <v>-6012.6582278481019</v>
      </c>
      <c r="M24" s="31">
        <f t="shared" si="11"/>
        <v>461</v>
      </c>
      <c r="N24" s="32">
        <f t="shared" si="12"/>
        <v>-2.7426160337552744E-2</v>
      </c>
      <c r="O24" s="18">
        <f t="shared" si="13"/>
        <v>-4113.9240506329115</v>
      </c>
      <c r="Q24" s="267"/>
      <c r="R24" s="267"/>
      <c r="S24" s="267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>
        <f t="shared" si="2"/>
        <v>162</v>
      </c>
      <c r="E25" s="32">
        <f t="shared" si="3"/>
        <v>-6.358381502890173E-2</v>
      </c>
      <c r="F25" s="18">
        <f t="shared" si="4"/>
        <v>-9537.5722543352604</v>
      </c>
      <c r="G25" s="31">
        <f t="shared" si="5"/>
        <v>168</v>
      </c>
      <c r="H25" s="32">
        <f t="shared" si="6"/>
        <v>-2.8901734104046242E-2</v>
      </c>
      <c r="I25" s="97">
        <f t="shared" si="7"/>
        <v>-4335.2601156069368</v>
      </c>
      <c r="J25" s="15">
        <f t="shared" si="8"/>
        <v>173</v>
      </c>
      <c r="K25" s="32">
        <f t="shared" si="9"/>
        <v>0</v>
      </c>
      <c r="L25" s="18">
        <f t="shared" si="10"/>
        <v>0</v>
      </c>
      <c r="M25" s="31">
        <f t="shared" si="11"/>
        <v>169</v>
      </c>
      <c r="N25" s="32">
        <f t="shared" si="12"/>
        <v>-2.3121387283236993E-2</v>
      </c>
      <c r="O25" s="18">
        <f t="shared" si="13"/>
        <v>-3468.2080924855491</v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>
        <f t="shared" si="2"/>
        <v>340</v>
      </c>
      <c r="E26" s="25">
        <f t="shared" si="3"/>
        <v>-6.5934065934065936E-2</v>
      </c>
      <c r="F26" s="100">
        <f t="shared" si="4"/>
        <v>-9890.1098901098903</v>
      </c>
      <c r="G26" s="98">
        <f t="shared" si="5"/>
        <v>364</v>
      </c>
      <c r="H26" s="25">
        <f t="shared" si="6"/>
        <v>0</v>
      </c>
      <c r="I26" s="99">
        <f t="shared" si="7"/>
        <v>0</v>
      </c>
      <c r="J26" s="24">
        <f t="shared" si="8"/>
        <v>366</v>
      </c>
      <c r="K26" s="25">
        <f t="shared" si="9"/>
        <v>5.4945054945054949E-3</v>
      </c>
      <c r="L26" s="100">
        <f t="shared" si="10"/>
        <v>824.17582417582423</v>
      </c>
      <c r="M26" s="98">
        <f t="shared" si="11"/>
        <v>359</v>
      </c>
      <c r="N26" s="25">
        <f t="shared" si="12"/>
        <v>-1.3736263736263736E-2</v>
      </c>
      <c r="O26" s="100">
        <f t="shared" si="13"/>
        <v>-2060.4395604395604</v>
      </c>
      <c r="Q26" s="276"/>
      <c r="R26" s="277"/>
      <c r="S26" s="278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>
        <f t="shared" si="2"/>
        <v>155</v>
      </c>
      <c r="E27" s="14">
        <f t="shared" si="3"/>
        <v>-8.2840236686390539E-2</v>
      </c>
      <c r="F27" s="16">
        <f t="shared" si="4"/>
        <v>-12426.035502958581</v>
      </c>
      <c r="G27" s="29">
        <f t="shared" si="5"/>
        <v>162</v>
      </c>
      <c r="H27" s="14">
        <f t="shared" si="6"/>
        <v>-4.142011834319527E-2</v>
      </c>
      <c r="I27" s="96">
        <f t="shared" si="7"/>
        <v>-6213.0177514792904</v>
      </c>
      <c r="J27" s="13">
        <f t="shared" si="8"/>
        <v>162</v>
      </c>
      <c r="K27" s="14">
        <f t="shared" si="9"/>
        <v>-4.142011834319527E-2</v>
      </c>
      <c r="L27" s="16">
        <f t="shared" si="10"/>
        <v>-6213.0177514792904</v>
      </c>
      <c r="M27" s="29">
        <f t="shared" si="11"/>
        <v>163</v>
      </c>
      <c r="N27" s="14">
        <f t="shared" si="12"/>
        <v>-3.5502958579881658E-2</v>
      </c>
      <c r="O27" s="16">
        <f t="shared" si="13"/>
        <v>-5325.4437869822486</v>
      </c>
      <c r="Q27" s="279"/>
      <c r="R27" s="280"/>
      <c r="S27" s="281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>
        <f t="shared" si="2"/>
        <v>634</v>
      </c>
      <c r="E28" s="32">
        <f t="shared" si="3"/>
        <v>-4.3740573152337855E-2</v>
      </c>
      <c r="F28" s="18">
        <f t="shared" si="4"/>
        <v>-6561.0859728506784</v>
      </c>
      <c r="G28" s="31">
        <f t="shared" si="5"/>
        <v>652</v>
      </c>
      <c r="H28" s="32">
        <f t="shared" si="6"/>
        <v>-1.6591251885369532E-2</v>
      </c>
      <c r="I28" s="97">
        <f t="shared" si="7"/>
        <v>-2488.6877828054298</v>
      </c>
      <c r="J28" s="15">
        <f t="shared" si="8"/>
        <v>652</v>
      </c>
      <c r="K28" s="32">
        <f t="shared" si="9"/>
        <v>-1.6591251885369532E-2</v>
      </c>
      <c r="L28" s="18">
        <f t="shared" si="10"/>
        <v>-2488.6877828054298</v>
      </c>
      <c r="M28" s="31">
        <f t="shared" si="11"/>
        <v>665</v>
      </c>
      <c r="N28" s="32">
        <f t="shared" si="12"/>
        <v>3.0165912518853697E-3</v>
      </c>
      <c r="O28" s="18">
        <f t="shared" si="13"/>
        <v>452.48868778280547</v>
      </c>
      <c r="Q28" s="282"/>
      <c r="R28" s="283"/>
      <c r="S28" s="284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>
        <f t="shared" si="2"/>
        <v>582</v>
      </c>
      <c r="E29" s="32">
        <f t="shared" si="3"/>
        <v>-8.6342229199372053E-2</v>
      </c>
      <c r="F29" s="18">
        <f t="shared" si="4"/>
        <v>-12951.334379905808</v>
      </c>
      <c r="G29" s="31">
        <f t="shared" si="5"/>
        <v>612</v>
      </c>
      <c r="H29" s="32">
        <f t="shared" si="6"/>
        <v>-3.924646781789639E-2</v>
      </c>
      <c r="I29" s="97">
        <f t="shared" si="7"/>
        <v>-5886.9701726844587</v>
      </c>
      <c r="J29" s="15">
        <f t="shared" si="8"/>
        <v>613</v>
      </c>
      <c r="K29" s="32">
        <f t="shared" si="9"/>
        <v>-3.7676609105180531E-2</v>
      </c>
      <c r="L29" s="18">
        <f t="shared" si="10"/>
        <v>-5651.4913657770794</v>
      </c>
      <c r="M29" s="31">
        <f t="shared" si="11"/>
        <v>608</v>
      </c>
      <c r="N29" s="32">
        <f t="shared" si="12"/>
        <v>-4.5525902668759811E-2</v>
      </c>
      <c r="O29" s="18">
        <f t="shared" si="13"/>
        <v>-6828.8854003139713</v>
      </c>
      <c r="Q29" s="267"/>
      <c r="R29" s="267"/>
      <c r="S29" s="267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>
        <f t="shared" si="2"/>
        <v>253</v>
      </c>
      <c r="E30" s="32">
        <f t="shared" si="3"/>
        <v>-7.3260073260073263E-2</v>
      </c>
      <c r="F30" s="18">
        <f t="shared" si="4"/>
        <v>-10989.010989010989</v>
      </c>
      <c r="G30" s="31">
        <f t="shared" si="5"/>
        <v>263</v>
      </c>
      <c r="H30" s="32">
        <f t="shared" si="6"/>
        <v>-3.6630036630036632E-2</v>
      </c>
      <c r="I30" s="97">
        <f t="shared" si="7"/>
        <v>-5494.5054945054944</v>
      </c>
      <c r="J30" s="15">
        <f t="shared" si="8"/>
        <v>258</v>
      </c>
      <c r="K30" s="32">
        <f t="shared" si="9"/>
        <v>-5.4945054945054944E-2</v>
      </c>
      <c r="L30" s="18">
        <f t="shared" si="10"/>
        <v>-8241.7582417582416</v>
      </c>
      <c r="M30" s="31">
        <f t="shared" si="11"/>
        <v>254</v>
      </c>
      <c r="N30" s="32">
        <f t="shared" si="12"/>
        <v>-6.95970695970696E-2</v>
      </c>
      <c r="O30" s="18">
        <f t="shared" si="13"/>
        <v>-10439.56043956044</v>
      </c>
      <c r="Q30" s="262"/>
      <c r="R30" s="262"/>
      <c r="S30" s="262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>
        <f t="shared" si="2"/>
        <v>435</v>
      </c>
      <c r="E31" s="21">
        <f t="shared" si="3"/>
        <v>-0.12121212121212122</v>
      </c>
      <c r="F31" s="22">
        <f t="shared" si="4"/>
        <v>-18181.818181818184</v>
      </c>
      <c r="G31" s="30">
        <f t="shared" si="5"/>
        <v>453</v>
      </c>
      <c r="H31" s="21">
        <f t="shared" si="6"/>
        <v>-8.4848484848484854E-2</v>
      </c>
      <c r="I31" s="101">
        <f t="shared" si="7"/>
        <v>-12727.272727272728</v>
      </c>
      <c r="J31" s="20">
        <f t="shared" si="8"/>
        <v>456</v>
      </c>
      <c r="K31" s="21">
        <f t="shared" si="9"/>
        <v>-7.8787878787878782E-2</v>
      </c>
      <c r="L31" s="22">
        <f t="shared" si="10"/>
        <v>-11818.181818181818</v>
      </c>
      <c r="M31" s="30">
        <f t="shared" si="11"/>
        <v>460</v>
      </c>
      <c r="N31" s="21">
        <f t="shared" si="12"/>
        <v>-7.0707070707070704E-2</v>
      </c>
      <c r="O31" s="22">
        <f t="shared" si="13"/>
        <v>-10606.060606060606</v>
      </c>
      <c r="Q31" s="262"/>
      <c r="R31" s="262"/>
      <c r="S31" s="262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>
        <f t="shared" si="2"/>
        <v>637</v>
      </c>
      <c r="E32" s="103">
        <f t="shared" si="3"/>
        <v>-7.0072992700729933E-2</v>
      </c>
      <c r="F32" s="104">
        <f t="shared" si="4"/>
        <v>-10510.94890510949</v>
      </c>
      <c r="G32" s="105">
        <f t="shared" si="5"/>
        <v>647</v>
      </c>
      <c r="H32" s="103">
        <f t="shared" si="6"/>
        <v>-5.5474452554744529E-2</v>
      </c>
      <c r="I32" s="106">
        <f t="shared" si="7"/>
        <v>-8321.1678832116795</v>
      </c>
      <c r="J32" s="102">
        <f t="shared" si="8"/>
        <v>643</v>
      </c>
      <c r="K32" s="103">
        <f t="shared" si="9"/>
        <v>-6.1313868613138686E-2</v>
      </c>
      <c r="L32" s="104">
        <f t="shared" si="10"/>
        <v>-9197.0802919708021</v>
      </c>
      <c r="M32" s="105">
        <f t="shared" si="11"/>
        <v>636</v>
      </c>
      <c r="N32" s="103">
        <f t="shared" si="12"/>
        <v>-7.153284671532846E-2</v>
      </c>
      <c r="O32" s="104">
        <f t="shared" si="13"/>
        <v>-10729.927007299269</v>
      </c>
      <c r="Q32" s="267"/>
      <c r="R32" s="267"/>
      <c r="S32" s="267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>
        <f t="shared" si="2"/>
        <v>423</v>
      </c>
      <c r="E33" s="32">
        <f t="shared" si="3"/>
        <v>-0.06</v>
      </c>
      <c r="F33" s="18">
        <f t="shared" si="4"/>
        <v>-9000</v>
      </c>
      <c r="G33" s="31">
        <f t="shared" si="5"/>
        <v>436</v>
      </c>
      <c r="H33" s="32">
        <f t="shared" si="6"/>
        <v>-3.111111111111111E-2</v>
      </c>
      <c r="I33" s="97">
        <f t="shared" si="7"/>
        <v>-4666.666666666667</v>
      </c>
      <c r="J33" s="15">
        <f t="shared" si="8"/>
        <v>435</v>
      </c>
      <c r="K33" s="32">
        <f t="shared" si="9"/>
        <v>-3.3333333333333333E-2</v>
      </c>
      <c r="L33" s="18">
        <f t="shared" si="10"/>
        <v>-5000</v>
      </c>
      <c r="M33" s="31">
        <f t="shared" si="11"/>
        <v>432</v>
      </c>
      <c r="N33" s="32">
        <f t="shared" si="12"/>
        <v>-0.04</v>
      </c>
      <c r="O33" s="18">
        <f t="shared" si="13"/>
        <v>-6000</v>
      </c>
      <c r="Q33" s="267"/>
      <c r="R33" s="267"/>
      <c r="S33" s="267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>
        <f t="shared" si="2"/>
        <v>475</v>
      </c>
      <c r="E34" s="32">
        <f t="shared" si="3"/>
        <v>-0.10881801125703565</v>
      </c>
      <c r="F34" s="18">
        <f t="shared" si="4"/>
        <v>-16322.701688555348</v>
      </c>
      <c r="G34" s="31">
        <f t="shared" si="5"/>
        <v>492</v>
      </c>
      <c r="H34" s="32">
        <f t="shared" si="6"/>
        <v>-7.6923076923076927E-2</v>
      </c>
      <c r="I34" s="97">
        <f t="shared" si="7"/>
        <v>-11538.461538461539</v>
      </c>
      <c r="J34" s="15">
        <f t="shared" si="8"/>
        <v>488</v>
      </c>
      <c r="K34" s="32">
        <f t="shared" si="9"/>
        <v>-8.4427767354596617E-2</v>
      </c>
      <c r="L34" s="18">
        <f t="shared" si="10"/>
        <v>-12664.165103189493</v>
      </c>
      <c r="M34" s="31">
        <f t="shared" si="11"/>
        <v>489</v>
      </c>
      <c r="N34" s="32">
        <f t="shared" si="12"/>
        <v>-8.2551594746716694E-2</v>
      </c>
      <c r="O34" s="18">
        <f t="shared" si="13"/>
        <v>-12382.739212007504</v>
      </c>
      <c r="Q34" s="267"/>
      <c r="R34" s="267"/>
      <c r="S34" s="267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>
        <f t="shared" si="2"/>
        <v>160</v>
      </c>
      <c r="E35" s="32">
        <f t="shared" si="3"/>
        <v>-6.9767441860465115E-2</v>
      </c>
      <c r="F35" s="18">
        <f t="shared" si="4"/>
        <v>-10465.116279069767</v>
      </c>
      <c r="G35" s="31">
        <f t="shared" si="5"/>
        <v>167</v>
      </c>
      <c r="H35" s="32">
        <f t="shared" si="6"/>
        <v>-2.9069767441860465E-2</v>
      </c>
      <c r="I35" s="97">
        <f t="shared" si="7"/>
        <v>-4360.4651162790697</v>
      </c>
      <c r="J35" s="15">
        <f t="shared" si="8"/>
        <v>169</v>
      </c>
      <c r="K35" s="32">
        <f t="shared" si="9"/>
        <v>-1.7441860465116279E-2</v>
      </c>
      <c r="L35" s="18">
        <f t="shared" si="10"/>
        <v>-2616.2790697674418</v>
      </c>
      <c r="M35" s="31">
        <f t="shared" si="11"/>
        <v>169</v>
      </c>
      <c r="N35" s="32">
        <f t="shared" si="12"/>
        <v>-1.7441860465116279E-2</v>
      </c>
      <c r="O35" s="18">
        <f t="shared" si="13"/>
        <v>-2616.2790697674418</v>
      </c>
      <c r="Q35" s="289"/>
      <c r="R35" s="290"/>
      <c r="S35" s="291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>
        <f t="shared" si="2"/>
        <v>598</v>
      </c>
      <c r="E36" s="25">
        <f t="shared" si="3"/>
        <v>-5.3797468354430382E-2</v>
      </c>
      <c r="F36" s="100">
        <f t="shared" si="4"/>
        <v>-8069.6202531645577</v>
      </c>
      <c r="G36" s="98">
        <f t="shared" si="5"/>
        <v>639</v>
      </c>
      <c r="H36" s="25">
        <f t="shared" si="6"/>
        <v>1.1075949367088608E-2</v>
      </c>
      <c r="I36" s="99">
        <f t="shared" si="7"/>
        <v>1661.3924050632911</v>
      </c>
      <c r="J36" s="24">
        <f t="shared" si="8"/>
        <v>615</v>
      </c>
      <c r="K36" s="25">
        <f t="shared" si="9"/>
        <v>-2.6898734177215191E-2</v>
      </c>
      <c r="L36" s="100">
        <f t="shared" si="10"/>
        <v>-4034.8101265822788</v>
      </c>
      <c r="M36" s="98">
        <f t="shared" si="11"/>
        <v>616</v>
      </c>
      <c r="N36" s="25">
        <f t="shared" si="12"/>
        <v>-2.5316455696202531E-2</v>
      </c>
      <c r="O36" s="100">
        <f t="shared" si="13"/>
        <v>-3797.4683544303798</v>
      </c>
      <c r="Q36" s="292"/>
      <c r="R36" s="293"/>
      <c r="S36" s="294"/>
    </row>
    <row r="37" spans="1:19" ht="17.25" customHeight="1" thickBot="1">
      <c r="A37" s="131" t="s">
        <v>42</v>
      </c>
      <c r="B37" s="300">
        <v>150000</v>
      </c>
      <c r="C37" s="301"/>
      <c r="D37" s="26" t="s">
        <v>43</v>
      </c>
      <c r="E37" s="27">
        <f>IF(COUNT(E17:E36), SUM(E17:E36) / COUNT(E17:E36), 0)</f>
        <v>-6.9003351335458304E-2</v>
      </c>
      <c r="F37" s="28">
        <f>SUM(F17:F36)</f>
        <v>-207010.05400637494</v>
      </c>
      <c r="G37" s="26" t="s">
        <v>43</v>
      </c>
      <c r="H37" s="27">
        <f>IF(COUNT(H17:H36), SUM(H17:H36) / COUNT(H17:H36), 0)</f>
        <v>-3.3941409927125035E-2</v>
      </c>
      <c r="I37" s="28">
        <f>SUM(I17:I36)</f>
        <v>-101824.22978137511</v>
      </c>
      <c r="J37" s="26" t="s">
        <v>43</v>
      </c>
      <c r="K37" s="27">
        <f>IF(COUNT(K17:K36), SUM(K17:K36) / COUNT(K17:K36), 0)</f>
        <v>-2.5603668849239626E-2</v>
      </c>
      <c r="L37" s="28">
        <f>SUM(L17:L36)</f>
        <v>-76811.006547718862</v>
      </c>
      <c r="M37" s="26" t="s">
        <v>43</v>
      </c>
      <c r="N37" s="27">
        <f>IF(COUNT(N17:N36), SUM(N17:N36) / COUNT(N17:N36), 0)</f>
        <v>-3.0483661015306751E-2</v>
      </c>
      <c r="O37" s="28">
        <f>SUM(O17:O36)</f>
        <v>-91450.983045920249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186" t="s">
        <v>298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62017000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-1.6680144000000001E-2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2021-05-11(화) 오전 00:00</v>
      </c>
      <c r="C42" s="305"/>
      <c r="D42" s="264" t="str">
        <f>TEXT($G$1, "[$-ko-KR]yyyy-mm-dd(ddd) ") &amp; "오후 14:00"</f>
        <v>2021-05-11(화) 오후 14:00</v>
      </c>
      <c r="E42" s="265"/>
      <c r="F42" s="266"/>
      <c r="G42" s="264" t="str">
        <f>TEXT($G$1, "[$-ko-KR]yyyy-mm-dd(ddd) ") &amp; "오후 19:00"</f>
        <v>2021-05-11(화) 오후 19:00</v>
      </c>
      <c r="H42" s="265"/>
      <c r="I42" s="266"/>
      <c r="J42" s="264" t="str">
        <f>TEXT($G$1, "[$-ko-KR]yyyy-mm-dd(ddd) ") &amp; "오후 21:00"</f>
        <v>2021-05-11(화) 오후 21:00</v>
      </c>
      <c r="K42" s="265"/>
      <c r="L42" s="266"/>
      <c r="M42" s="264" t="str">
        <f>TEXT($G$1+1, "[$-ko-KR]yyyy-mm-dd(ddd) ") &amp; "오전 00:00"</f>
        <v>2021-05-12(수) 오전 00:00</v>
      </c>
      <c r="N42" s="265"/>
      <c r="O42" s="266"/>
      <c r="Q42" s="262"/>
      <c r="R42" s="262"/>
      <c r="S42" s="262"/>
    </row>
    <row r="43" spans="1:19" ht="17.25" customHeight="1" thickBot="1">
      <c r="A43" s="30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7"/>
      <c r="R43" s="267"/>
      <c r="S43" s="267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>
        <v>17.3</v>
      </c>
      <c r="E44" s="14">
        <f>IF(ISNUMBER(D44), (D44 - $B44) / $B44, "")</f>
        <v>-4.9450549450549372E-2</v>
      </c>
      <c r="F44" s="16">
        <f>IF(ISNUMBER(D44), $B64 * E44, "")</f>
        <v>-7417.5824175824055</v>
      </c>
      <c r="G44" s="29">
        <v>17.8</v>
      </c>
      <c r="H44" s="14">
        <f>IF(ISNUMBER(G44), (G44 - $B44) / $B44, "")</f>
        <v>-2.19780219780219E-2</v>
      </c>
      <c r="I44" s="96">
        <f>IF(ISNUMBER(G44), $B64 * H44, "")</f>
        <v>-3296.7032967032851</v>
      </c>
      <c r="J44" s="13">
        <v>18</v>
      </c>
      <c r="K44" s="14">
        <f>IF(ISNUMBER(J44), (J44 - $B44) / $B44, "")</f>
        <v>-1.098901098901095E-2</v>
      </c>
      <c r="L44" s="16">
        <f>IF(ISNUMBER(J44), $B64 * K44, "")</f>
        <v>-1648.3516483516426</v>
      </c>
      <c r="M44" s="29">
        <v>18</v>
      </c>
      <c r="N44" s="14">
        <f>IF(ISNUMBER(M44), (M44 - $B44) / $B44, "")</f>
        <v>-1.098901098901095E-2</v>
      </c>
      <c r="O44" s="16">
        <f>IF(ISNUMBER(M44), $B64 * N44, "")</f>
        <v>-1648.3516483516426</v>
      </c>
      <c r="Q44" s="262"/>
      <c r="R44" s="262"/>
      <c r="S44" s="262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>
        <v>17.2</v>
      </c>
      <c r="E45" s="32">
        <f t="shared" ref="E45:E48" si="14">IF(ISNUMBER(D45), (D45 - $B45) / $B45, "")</f>
        <v>-3.9106145251396614E-2</v>
      </c>
      <c r="F45" s="18">
        <f>IF(ISNUMBER(D45), $B64 * E45, "")</f>
        <v>-5865.9217877094925</v>
      </c>
      <c r="G45" s="31">
        <v>18</v>
      </c>
      <c r="H45" s="32">
        <f t="shared" ref="H45:H48" si="15">IF(ISNUMBER(G45), (G45 - $B45) / $B45, "")</f>
        <v>5.5865921787710297E-3</v>
      </c>
      <c r="I45" s="97">
        <f>IF(ISNUMBER(G45), $B64 * H45, "")</f>
        <v>837.98882681565442</v>
      </c>
      <c r="J45" s="15">
        <v>18.3</v>
      </c>
      <c r="K45" s="32">
        <f t="shared" ref="K45:K48" si="16">IF(ISNUMBER(J45), (J45 - $B45) / $B45, "")</f>
        <v>2.2346368715083921E-2</v>
      </c>
      <c r="L45" s="18">
        <f>IF(ISNUMBER(J45), $B64 * K45, "")</f>
        <v>3351.9553072625881</v>
      </c>
      <c r="M45" s="31">
        <v>18.100000000000001</v>
      </c>
      <c r="N45" s="32">
        <f t="shared" ref="N45:N48" si="17">IF(ISNUMBER(M45), (M45 - $B45) / $B45, "")</f>
        <v>1.1173184357542059E-2</v>
      </c>
      <c r="O45" s="18">
        <f>IF(ISNUMBER(M45), $B64 * N45, "")</f>
        <v>1675.9776536313088</v>
      </c>
      <c r="Q45" s="262"/>
      <c r="R45" s="262"/>
      <c r="S45" s="262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>
        <v>22.7</v>
      </c>
      <c r="E46" s="32">
        <f t="shared" si="14"/>
        <v>-2.9914529914529885E-2</v>
      </c>
      <c r="F46" s="18">
        <f>IF(ISNUMBER(D46), $B64 * E46, "")</f>
        <v>-4487.1794871794827</v>
      </c>
      <c r="G46" s="31">
        <v>24</v>
      </c>
      <c r="H46" s="32">
        <f t="shared" si="15"/>
        <v>2.5641025641025703E-2</v>
      </c>
      <c r="I46" s="97">
        <f>IF(ISNUMBER(G46), $B64 * H46, "")</f>
        <v>3846.1538461538553</v>
      </c>
      <c r="J46" s="15">
        <v>24.4</v>
      </c>
      <c r="K46" s="32">
        <f t="shared" si="16"/>
        <v>4.2735042735042736E-2</v>
      </c>
      <c r="L46" s="18">
        <f>IF(ISNUMBER(J46), $B64 * K46, "")</f>
        <v>6410.2564102564102</v>
      </c>
      <c r="M46" s="31">
        <v>23.9</v>
      </c>
      <c r="N46" s="32">
        <f t="shared" si="17"/>
        <v>2.1367521367521368E-2</v>
      </c>
      <c r="O46" s="18">
        <f>IF(ISNUMBER(M46), $B64 * N46, "")</f>
        <v>3205.1282051282051</v>
      </c>
      <c r="Q46" s="267"/>
      <c r="R46" s="267"/>
      <c r="S46" s="267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>
        <v>18.5</v>
      </c>
      <c r="E47" s="32">
        <f t="shared" si="14"/>
        <v>-3.6458333333333301E-2</v>
      </c>
      <c r="F47" s="18">
        <f>IF(ISNUMBER(D47), $B64 * E47, "")</f>
        <v>-5468.7499999999955</v>
      </c>
      <c r="G47" s="31">
        <v>19.2</v>
      </c>
      <c r="H47" s="32">
        <f t="shared" si="15"/>
        <v>0</v>
      </c>
      <c r="I47" s="97">
        <f>IF(ISNUMBER(G47), $B64 * H47, "")</f>
        <v>0</v>
      </c>
      <c r="J47" s="15">
        <v>19.7</v>
      </c>
      <c r="K47" s="32">
        <f t="shared" si="16"/>
        <v>2.6041666666666668E-2</v>
      </c>
      <c r="L47" s="18">
        <f>IF(ISNUMBER(J47), $B64 * K47, "")</f>
        <v>3906.25</v>
      </c>
      <c r="M47" s="31">
        <v>19.3</v>
      </c>
      <c r="N47" s="32">
        <f t="shared" si="17"/>
        <v>5.2083333333334076E-3</v>
      </c>
      <c r="O47" s="18">
        <f>IF(ISNUMBER(M47), $B64 * N47, "")</f>
        <v>781.25000000001114</v>
      </c>
      <c r="Q47" s="267"/>
      <c r="R47" s="267"/>
      <c r="S47" s="267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>
        <v>69.900000000000006</v>
      </c>
      <c r="E48" s="21">
        <f t="shared" si="14"/>
        <v>-8.7467362924281838E-2</v>
      </c>
      <c r="F48" s="22">
        <f>IF(ISNUMBER(D48), $B64 * E48, "")</f>
        <v>-13120.104438642276</v>
      </c>
      <c r="G48" s="30">
        <v>71.5</v>
      </c>
      <c r="H48" s="21">
        <f t="shared" si="15"/>
        <v>-6.6579634464751888E-2</v>
      </c>
      <c r="I48" s="101">
        <f>IF(ISNUMBER(G48), $B64 * H48, "")</f>
        <v>-9986.9451697127824</v>
      </c>
      <c r="J48" s="20">
        <v>72.3</v>
      </c>
      <c r="K48" s="21">
        <f t="shared" si="16"/>
        <v>-5.6135770234986913E-2</v>
      </c>
      <c r="L48" s="22">
        <f>IF(ISNUMBER(J48), $B64 * K48, "")</f>
        <v>-8420.3655352480364</v>
      </c>
      <c r="M48" s="30">
        <v>71.3</v>
      </c>
      <c r="N48" s="21">
        <f t="shared" si="17"/>
        <v>-6.9190600522193182E-2</v>
      </c>
      <c r="O48" s="22">
        <f>IF(ISNUMBER(M48), $B64 * N48, "")</f>
        <v>-10378.590078328978</v>
      </c>
      <c r="Q48" s="267"/>
      <c r="R48" s="267"/>
      <c r="S48" s="267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>
        <v>24.9</v>
      </c>
      <c r="E49" s="103">
        <f>IF(ISNUMBER(D49), (D49 - $B49) / $B49, "")</f>
        <v>-6.0377358490566094E-2</v>
      </c>
      <c r="F49" s="104">
        <f>IF(ISNUMBER(D49), $B64 * E49, "")</f>
        <v>-9056.603773584915</v>
      </c>
      <c r="G49" s="105">
        <v>26.5</v>
      </c>
      <c r="H49" s="103">
        <f>IF(ISNUMBER(G49), (G49 - $B49) / $B49, "")</f>
        <v>0</v>
      </c>
      <c r="I49" s="106">
        <f>IF(ISNUMBER(G49), $B64 * H49, "")</f>
        <v>0</v>
      </c>
      <c r="J49" s="102">
        <v>26.7</v>
      </c>
      <c r="K49" s="103">
        <f>IF(ISNUMBER(J49), (J49 - $B49) / $B49, "")</f>
        <v>7.5471698113207279E-3</v>
      </c>
      <c r="L49" s="104">
        <f>IF(ISNUMBER(J49), $B64 * K49, "")</f>
        <v>1132.0754716981091</v>
      </c>
      <c r="M49" s="105">
        <v>26.8</v>
      </c>
      <c r="N49" s="103">
        <f>IF(ISNUMBER(M49), (M49 - $B49) / $B49, "")</f>
        <v>1.1320754716981159E-2</v>
      </c>
      <c r="O49" s="104">
        <f>IF(ISNUMBER(M49), $B64 * N49, "")</f>
        <v>1698.1132075471739</v>
      </c>
      <c r="Q49" s="267"/>
      <c r="R49" s="267"/>
      <c r="S49" s="267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>
        <v>52.7</v>
      </c>
      <c r="E50" s="32">
        <f t="shared" ref="E50:E53" si="18">IF(ISNUMBER(D50), (D50 - $B50) / $B50, "")</f>
        <v>-8.6655112651646438E-2</v>
      </c>
      <c r="F50" s="18">
        <f>IF(ISNUMBER(D50), $B64 * E50, "")</f>
        <v>-12998.266897746966</v>
      </c>
      <c r="G50" s="31">
        <v>61.5</v>
      </c>
      <c r="H50" s="32">
        <f t="shared" ref="H50:H53" si="19">IF(ISNUMBER(G50), (G50 - $B50) / $B50, "")</f>
        <v>6.5857885615251244E-2</v>
      </c>
      <c r="I50" s="97">
        <f>IF(ISNUMBER(G50), $B64 * H50, "")</f>
        <v>9878.6828422876861</v>
      </c>
      <c r="J50" s="15">
        <v>59.3</v>
      </c>
      <c r="K50" s="32">
        <f t="shared" ref="K50:K53" si="20">IF(ISNUMBER(J50), (J50 - $B50) / $B50, "")</f>
        <v>2.7729636048526764E-2</v>
      </c>
      <c r="L50" s="18">
        <f>IF(ISNUMBER(J50), $B64 * K50, "")</f>
        <v>4159.4454072790149</v>
      </c>
      <c r="M50" s="31">
        <v>57.7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67"/>
      <c r="R50" s="267"/>
      <c r="S50" s="267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>
        <v>75.7</v>
      </c>
      <c r="E51" s="32">
        <f t="shared" si="18"/>
        <v>-5.0188205771643665E-2</v>
      </c>
      <c r="F51" s="18">
        <f>IF(ISNUMBER(D51), $B64 * E51, "")</f>
        <v>-7528.2308657465501</v>
      </c>
      <c r="G51" s="31">
        <v>81.2</v>
      </c>
      <c r="H51" s="32">
        <f t="shared" si="19"/>
        <v>1.8820577164366373E-2</v>
      </c>
      <c r="I51" s="97">
        <f>IF(ISNUMBER(G51), $B64 * H51, "")</f>
        <v>2823.0865746549557</v>
      </c>
      <c r="J51" s="15">
        <v>85.5</v>
      </c>
      <c r="K51" s="32">
        <f t="shared" si="20"/>
        <v>7.2772898368883274E-2</v>
      </c>
      <c r="L51" s="18">
        <f>IF(ISNUMBER(J51), $B64 * K51, "")</f>
        <v>10915.934755332491</v>
      </c>
      <c r="M51" s="31">
        <v>88.5</v>
      </c>
      <c r="N51" s="32">
        <f t="shared" si="21"/>
        <v>0.11041405269761602</v>
      </c>
      <c r="O51" s="18">
        <f>IF(ISNUMBER(M51), $B64 * N51, "")</f>
        <v>16562.107904642402</v>
      </c>
      <c r="Q51" s="267"/>
      <c r="R51" s="267"/>
      <c r="S51" s="267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>
        <v>34.200000000000003</v>
      </c>
      <c r="E52" s="32">
        <f t="shared" si="18"/>
        <v>-6.811989100817438E-2</v>
      </c>
      <c r="F52" s="18">
        <f>IF(ISNUMBER(D52), $B64 * E52, "")</f>
        <v>-10217.983651226157</v>
      </c>
      <c r="G52" s="31">
        <v>36.9</v>
      </c>
      <c r="H52" s="32">
        <f t="shared" si="19"/>
        <v>5.4495912806538345E-3</v>
      </c>
      <c r="I52" s="97">
        <f>IF(ISNUMBER(G52), $B64 * H52, "")</f>
        <v>817.43869209807519</v>
      </c>
      <c r="J52" s="15">
        <v>35.9</v>
      </c>
      <c r="K52" s="32">
        <f t="shared" si="20"/>
        <v>-2.1798365122615918E-2</v>
      </c>
      <c r="L52" s="18">
        <f>IF(ISNUMBER(J52), $B64 * K52, "")</f>
        <v>-3269.7547683923876</v>
      </c>
      <c r="M52" s="31">
        <v>35.9</v>
      </c>
      <c r="N52" s="32">
        <f t="shared" si="21"/>
        <v>-2.1798365122615918E-2</v>
      </c>
      <c r="O52" s="18">
        <f>IF(ISNUMBER(M52), $B64 * N52, "")</f>
        <v>-3269.7547683923876</v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>
        <v>24.9</v>
      </c>
      <c r="E53" s="25">
        <f t="shared" si="18"/>
        <v>-5.3231939163498179E-2</v>
      </c>
      <c r="F53" s="100">
        <f>IF(ISNUMBER(D53), $B64 * E53, "")</f>
        <v>-7984.7908745247269</v>
      </c>
      <c r="G53" s="98">
        <v>26.3</v>
      </c>
      <c r="H53" s="25">
        <f t="shared" si="19"/>
        <v>0</v>
      </c>
      <c r="I53" s="99">
        <f>IF(ISNUMBER(G53), $B64 * H53, "")</f>
        <v>0</v>
      </c>
      <c r="J53" s="24">
        <v>26.4</v>
      </c>
      <c r="K53" s="25">
        <f t="shared" si="20"/>
        <v>3.8022813688212117E-3</v>
      </c>
      <c r="L53" s="100">
        <f>IF(ISNUMBER(J53), $B64 * K53, "")</f>
        <v>570.3422053231817</v>
      </c>
      <c r="M53" s="98">
        <v>26.3</v>
      </c>
      <c r="N53" s="25">
        <f t="shared" si="21"/>
        <v>0</v>
      </c>
      <c r="O53" s="100">
        <f>IF(ISNUMBER(M53), $B64 * N53, "")</f>
        <v>0</v>
      </c>
      <c r="Q53" s="276"/>
      <c r="R53" s="277"/>
      <c r="S53" s="278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>
        <v>23.1</v>
      </c>
      <c r="E54" s="14">
        <f>IF(ISNUMBER(D54), (D54 - $B54) / $B54, "")</f>
        <v>-2.9411764705882321E-2</v>
      </c>
      <c r="F54" s="16">
        <f>IF(ISNUMBER(D54), $B64 * E54, "")</f>
        <v>-4411.7647058823486</v>
      </c>
      <c r="G54" s="29">
        <v>23.7</v>
      </c>
      <c r="H54" s="14">
        <f>IF(ISNUMBER(G54), (G54 - $B54) / $B54, "")</f>
        <v>-4.2016806722689672E-3</v>
      </c>
      <c r="I54" s="96">
        <f>IF(ISNUMBER(G54), $B64 * H54, "")</f>
        <v>-630.25210084034507</v>
      </c>
      <c r="J54" s="13">
        <v>24</v>
      </c>
      <c r="K54" s="14">
        <f>IF(ISNUMBER(J54), (J54 - $B54) / $B54, "")</f>
        <v>8.4033613445377853E-3</v>
      </c>
      <c r="L54" s="16">
        <f>IF(ISNUMBER(J54), $B64 * K54, "")</f>
        <v>1260.5042016806678</v>
      </c>
      <c r="M54" s="29">
        <v>23.8</v>
      </c>
      <c r="N54" s="14">
        <f>IF(ISNUMBER(M54), (M54 - $B54) / $B54, "")</f>
        <v>0</v>
      </c>
      <c r="O54" s="16">
        <f>IF(ISNUMBER(M54), $B64 * N54, "")</f>
        <v>0</v>
      </c>
      <c r="Q54" s="279"/>
      <c r="R54" s="280"/>
      <c r="S54" s="281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>
        <v>81.8</v>
      </c>
      <c r="E55" s="32">
        <f t="shared" ref="E55:E58" si="22">IF(ISNUMBER(D55), (D55 - $B55) / $B55, "")</f>
        <v>-5.9770114942528769E-2</v>
      </c>
      <c r="F55" s="18">
        <f>IF(ISNUMBER(D55), $B64 * E55, "")</f>
        <v>-8965.5172413793152</v>
      </c>
      <c r="G55" s="31">
        <v>89.3</v>
      </c>
      <c r="H55" s="32">
        <f t="shared" ref="H55:H58" si="23">IF(ISNUMBER(G55), (G55 - $B55) / $B55, "")</f>
        <v>2.6436781609195371E-2</v>
      </c>
      <c r="I55" s="97">
        <f>IF(ISNUMBER(G55), $B64 * H55, "")</f>
        <v>3965.5172413793057</v>
      </c>
      <c r="J55" s="15">
        <v>93.3</v>
      </c>
      <c r="K55" s="32">
        <f t="shared" ref="K55:K58" si="24">IF(ISNUMBER(J55), (J55 - $B55) / $B55, "")</f>
        <v>7.241379310344824E-2</v>
      </c>
      <c r="L55" s="18">
        <f>IF(ISNUMBER(J55), $B64 * K55, "")</f>
        <v>10862.068965517235</v>
      </c>
      <c r="M55" s="31">
        <v>89.4</v>
      </c>
      <c r="N55" s="32">
        <f t="shared" ref="N55:N58" si="25">IF(ISNUMBER(M55), (M55 - $B55) / $B55, "")</f>
        <v>2.758620689655179E-2</v>
      </c>
      <c r="O55" s="18">
        <f>IF(ISNUMBER(M55), $B64 * N55, "")</f>
        <v>4137.9310344827682</v>
      </c>
      <c r="Q55" s="282"/>
      <c r="R55" s="283"/>
      <c r="S55" s="284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>
        <v>19.100000000000001</v>
      </c>
      <c r="E56" s="32">
        <f t="shared" si="22"/>
        <v>-5.91133004926108E-2</v>
      </c>
      <c r="F56" s="18">
        <f>IF(ISNUMBER(D56), $B64 * E56, "")</f>
        <v>-8866.9950738916195</v>
      </c>
      <c r="G56" s="31">
        <v>21.1</v>
      </c>
      <c r="H56" s="32">
        <f t="shared" si="23"/>
        <v>3.9408866995073927E-2</v>
      </c>
      <c r="I56" s="97">
        <f>IF(ISNUMBER(G56), $B64 * H56, "")</f>
        <v>5911.3300492610888</v>
      </c>
      <c r="J56" s="15">
        <v>22.8</v>
      </c>
      <c r="K56" s="32">
        <f t="shared" si="24"/>
        <v>0.12315270935960591</v>
      </c>
      <c r="L56" s="18">
        <f>IF(ISNUMBER(J56), $B64 * K56, "")</f>
        <v>18472.906403940888</v>
      </c>
      <c r="M56" s="31">
        <v>22.1</v>
      </c>
      <c r="N56" s="32">
        <f t="shared" si="25"/>
        <v>8.8669950738916287E-2</v>
      </c>
      <c r="O56" s="18">
        <f>IF(ISNUMBER(M56), $B64 * N56, "")</f>
        <v>13300.492610837444</v>
      </c>
      <c r="Q56" s="267"/>
      <c r="R56" s="267"/>
      <c r="S56" s="267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>
        <v>65.5</v>
      </c>
      <c r="E57" s="32">
        <f t="shared" si="22"/>
        <v>3.1496062992125984E-2</v>
      </c>
      <c r="F57" s="18">
        <f>IF(ISNUMBER(D57), $B64 * E57, "")</f>
        <v>4724.4094488188975</v>
      </c>
      <c r="G57" s="31">
        <v>85.8</v>
      </c>
      <c r="H57" s="32">
        <f t="shared" si="23"/>
        <v>0.35118110236220468</v>
      </c>
      <c r="I57" s="97">
        <f>IF(ISNUMBER(G57), $B64 * H57, "")</f>
        <v>52677.165354330704</v>
      </c>
      <c r="J57" s="15">
        <v>95.8</v>
      </c>
      <c r="K57" s="32">
        <f t="shared" si="24"/>
        <v>0.50866141732283465</v>
      </c>
      <c r="L57" s="18">
        <f>IF(ISNUMBER(J57), $B64 * K57, "")</f>
        <v>76299.212598425191</v>
      </c>
      <c r="M57" s="31">
        <v>99.4</v>
      </c>
      <c r="N57" s="32">
        <f t="shared" si="25"/>
        <v>0.56535433070866148</v>
      </c>
      <c r="O57" s="18">
        <f>IF(ISNUMBER(M57), $B64 * N57, "")</f>
        <v>84803.149606299223</v>
      </c>
      <c r="Q57" s="262"/>
      <c r="R57" s="262"/>
      <c r="S57" s="262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>
        <v>89.9</v>
      </c>
      <c r="E58" s="21">
        <f t="shared" si="22"/>
        <v>-9.9118942731276603E-3</v>
      </c>
      <c r="F58" s="22">
        <f>IF(ISNUMBER(D58), $B64 * E58, "")</f>
        <v>-1486.7841409691491</v>
      </c>
      <c r="G58" s="30">
        <v>92</v>
      </c>
      <c r="H58" s="21">
        <f t="shared" si="23"/>
        <v>1.3215859030837036E-2</v>
      </c>
      <c r="I58" s="101">
        <f>IF(ISNUMBER(G58), $B64 * H58, "")</f>
        <v>1982.3788546255555</v>
      </c>
      <c r="J58" s="20">
        <v>91.8</v>
      </c>
      <c r="K58" s="21">
        <f t="shared" si="24"/>
        <v>1.1013215859030838E-2</v>
      </c>
      <c r="L58" s="22">
        <f>IF(ISNUMBER(J58), $B64 * K58, "")</f>
        <v>1651.9823788546257</v>
      </c>
      <c r="M58" s="30">
        <v>92.3</v>
      </c>
      <c r="N58" s="21">
        <f t="shared" si="25"/>
        <v>1.6519823788546256E-2</v>
      </c>
      <c r="O58" s="22">
        <f>IF(ISNUMBER(M58), $B64 * N58, "")</f>
        <v>2477.9735682819382</v>
      </c>
      <c r="Q58" s="262"/>
      <c r="R58" s="262"/>
      <c r="S58" s="262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>
        <v>18.899999999999999</v>
      </c>
      <c r="E59" s="103">
        <f>IF(ISNUMBER(D59), (D59 - $B59) / $B59, "")</f>
        <v>-5.970149253731357E-2</v>
      </c>
      <c r="F59" s="104">
        <f>IF(ISNUMBER(D59), $B64 * E59, "")</f>
        <v>-8955.2238805970355</v>
      </c>
      <c r="G59" s="105">
        <v>20</v>
      </c>
      <c r="H59" s="103">
        <f>IF(ISNUMBER(G59), (G59 - $B59) / $B59, "")</f>
        <v>-4.9751243781095229E-3</v>
      </c>
      <c r="I59" s="106">
        <f>IF(ISNUMBER(G59), $B64 * H59, "")</f>
        <v>-746.26865671642838</v>
      </c>
      <c r="J59" s="102">
        <v>20.2</v>
      </c>
      <c r="K59" s="103">
        <f>IF(ISNUMBER(J59), (J59 - $B59) / $B59, "")</f>
        <v>4.975124378109346E-3</v>
      </c>
      <c r="L59" s="104">
        <f>IF(ISNUMBER(J59), $B64 * K59, "")</f>
        <v>746.26865671640189</v>
      </c>
      <c r="M59" s="105">
        <v>20</v>
      </c>
      <c r="N59" s="103">
        <f>IF(ISNUMBER(M59), (M59 - $B59) / $B59, "")</f>
        <v>-4.9751243781095229E-3</v>
      </c>
      <c r="O59" s="104">
        <f>IF(ISNUMBER(M59), $B64 * N59, "")</f>
        <v>-746.26865671642838</v>
      </c>
      <c r="Q59" s="267"/>
      <c r="R59" s="267"/>
      <c r="S59" s="267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>
        <v>42.9</v>
      </c>
      <c r="E60" s="32">
        <f t="shared" ref="E60:E63" si="26">IF(ISNUMBER(D60), (D60 - $B60) / $B60, "")</f>
        <v>-7.5431034482758619E-2</v>
      </c>
      <c r="F60" s="18">
        <f>IF(ISNUMBER(D60), $B64 * E60, "")</f>
        <v>-11314.655172413793</v>
      </c>
      <c r="G60" s="31">
        <v>45</v>
      </c>
      <c r="H60" s="32">
        <f t="shared" ref="H60:H63" si="27">IF(ISNUMBER(G60), (G60 - $B60) / $B60, "")</f>
        <v>-3.0172413793103418E-2</v>
      </c>
      <c r="I60" s="97">
        <f>IF(ISNUMBER(G60), $B64 * H60, "")</f>
        <v>-4525.8620689655127</v>
      </c>
      <c r="J60" s="15">
        <v>44.7</v>
      </c>
      <c r="K60" s="32">
        <f t="shared" ref="K60:K63" si="28">IF(ISNUMBER(J60), (J60 - $B60) / $B60, "")</f>
        <v>-3.6637931034482665E-2</v>
      </c>
      <c r="L60" s="18">
        <f>IF(ISNUMBER(J60), $B64 * K60, "")</f>
        <v>-5495.6896551723994</v>
      </c>
      <c r="M60" s="31">
        <v>44.9</v>
      </c>
      <c r="N60" s="32">
        <f t="shared" ref="N60:N63" si="29">IF(ISNUMBER(M60), (M60 - $B60) / $B60, "")</f>
        <v>-3.2327586206896554E-2</v>
      </c>
      <c r="O60" s="18">
        <f>IF(ISNUMBER(M60), $B64 * N60, "")</f>
        <v>-4849.1379310344828</v>
      </c>
      <c r="Q60" s="267"/>
      <c r="R60" s="267"/>
      <c r="S60" s="267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>
        <v>18</v>
      </c>
      <c r="E61" s="32">
        <f t="shared" si="26"/>
        <v>-7.6923076923076927E-2</v>
      </c>
      <c r="F61" s="18">
        <f>IF(ISNUMBER(D61), $B64 * E61, "")</f>
        <v>-11538.461538461539</v>
      </c>
      <c r="G61" s="31">
        <v>19</v>
      </c>
      <c r="H61" s="32">
        <f t="shared" si="27"/>
        <v>-2.564102564102564E-2</v>
      </c>
      <c r="I61" s="97">
        <f>IF(ISNUMBER(G61), $B64 * H61, "")</f>
        <v>-3846.1538461538462</v>
      </c>
      <c r="J61" s="15">
        <v>19.100000000000001</v>
      </c>
      <c r="K61" s="32">
        <f t="shared" si="28"/>
        <v>-2.051282051282044E-2</v>
      </c>
      <c r="L61" s="18">
        <f>IF(ISNUMBER(J61), $B64 * K61, "")</f>
        <v>-3076.9230769230662</v>
      </c>
      <c r="M61" s="31">
        <v>18.899999999999999</v>
      </c>
      <c r="N61" s="32">
        <f t="shared" si="29"/>
        <v>-3.0769230769230844E-2</v>
      </c>
      <c r="O61" s="18">
        <f>IF(ISNUMBER(M61), $B64 * N61, "")</f>
        <v>-4615.3846153846262</v>
      </c>
      <c r="Q61" s="267"/>
      <c r="R61" s="267"/>
      <c r="S61" s="267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>
        <v>8.17</v>
      </c>
      <c r="E62" s="32">
        <f t="shared" si="26"/>
        <v>-5.6581986143187088E-2</v>
      </c>
      <c r="F62" s="18">
        <f>IF(ISNUMBER(D62), $B64 * E62, "")</f>
        <v>-8487.2979214780626</v>
      </c>
      <c r="G62" s="31">
        <v>8.3000000000000007</v>
      </c>
      <c r="H62" s="32">
        <f t="shared" si="27"/>
        <v>-4.1570438799076147E-2</v>
      </c>
      <c r="I62" s="97">
        <f>IF(ISNUMBER(G62), $B64 * H62, "")</f>
        <v>-6235.5658198614219</v>
      </c>
      <c r="J62" s="15">
        <v>8.2799999999999994</v>
      </c>
      <c r="K62" s="32">
        <f t="shared" si="28"/>
        <v>-4.3879907621247202E-2</v>
      </c>
      <c r="L62" s="18">
        <f>IF(ISNUMBER(J62), $B64 * K62, "")</f>
        <v>-6581.9861431870804</v>
      </c>
      <c r="M62" s="31">
        <v>8.2899999999999991</v>
      </c>
      <c r="N62" s="32">
        <f t="shared" si="29"/>
        <v>-4.2725173210161775E-2</v>
      </c>
      <c r="O62" s="18">
        <f>IF(ISNUMBER(M62), $B64 * N62, "")</f>
        <v>-6408.7759815242662</v>
      </c>
      <c r="Q62" s="289"/>
      <c r="R62" s="290"/>
      <c r="S62" s="291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92"/>
      <c r="R63" s="293"/>
      <c r="S63" s="294"/>
    </row>
    <row r="64" spans="1:19" ht="17.25" customHeight="1" thickBot="1">
      <c r="A64" s="131" t="s">
        <v>301</v>
      </c>
      <c r="B64" s="300">
        <f>$B$37</f>
        <v>150000</v>
      </c>
      <c r="C64" s="301"/>
      <c r="D64" s="26" t="s">
        <v>302</v>
      </c>
      <c r="E64" s="27">
        <f>IF(COUNT(E44:E63), SUM(E44:E63) / COUNT(E44:E63), 0)</f>
        <v>-5.0332527866735768E-2</v>
      </c>
      <c r="F64" s="28">
        <f>SUM(F44:F63)</f>
        <v>-143447.70442019694</v>
      </c>
      <c r="G64" s="26" t="s">
        <v>302</v>
      </c>
      <c r="H64" s="27">
        <f>IF(COUNT(H44:H63), SUM(H44:H63) / COUNT(H44:H63), 0)</f>
        <v>1.8762102218474824E-2</v>
      </c>
      <c r="I64" s="28">
        <f>SUM(I44:I63)</f>
        <v>53471.991322653252</v>
      </c>
      <c r="J64" s="26" t="s">
        <v>302</v>
      </c>
      <c r="K64" s="27">
        <f>IF(COUNT(K44:K63), SUM(K44:K63) / COUNT(K44:K63), 0)</f>
        <v>3.9033730503513053E-2</v>
      </c>
      <c r="L64" s="28">
        <f>SUM(L44:L63)</f>
        <v>111246.13193501218</v>
      </c>
      <c r="M64" s="26" t="s">
        <v>302</v>
      </c>
      <c r="N64" s="27">
        <f>IF(COUNT(N44:N63), SUM(N44:N63) / COUNT(N44:N63), 0)</f>
        <v>3.3938898284602684E-2</v>
      </c>
      <c r="O64" s="28">
        <f>SUM(O44:O63)</f>
        <v>96725.860111117683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186" t="s">
        <v>298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62017000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-1.6680144000000001E-2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2021-05-11(화) 오전 00:00</v>
      </c>
      <c r="C69" s="305"/>
      <c r="D69" s="264" t="str">
        <f>TEXT($G$1, "[$-ko-KR]yyyy-mm-dd(ddd) ") &amp; "오후 14:00"</f>
        <v>2021-05-11(화) 오후 14:00</v>
      </c>
      <c r="E69" s="265"/>
      <c r="F69" s="266"/>
      <c r="G69" s="264" t="str">
        <f>TEXT($G$1, "[$-ko-KR]yyyy-mm-dd(ddd) ") &amp; "오후 19:00"</f>
        <v>2021-05-11(화) 오후 19:00</v>
      </c>
      <c r="H69" s="265"/>
      <c r="I69" s="266"/>
      <c r="J69" s="264" t="str">
        <f>TEXT($G$1, "[$-ko-KR]yyyy-mm-dd(ddd) ") &amp; "오후 21:00"</f>
        <v>2021-05-11(화) 오후 21:00</v>
      </c>
      <c r="K69" s="265"/>
      <c r="L69" s="266"/>
      <c r="M69" s="264" t="str">
        <f>TEXT($G$1+1, "[$-ko-KR]yyyy-mm-dd(ddd) ") &amp; "오전 00:00"</f>
        <v>2021-05-12(수) 오전 00:00</v>
      </c>
      <c r="N69" s="265"/>
      <c r="O69" s="266"/>
      <c r="Q69" s="262"/>
      <c r="R69" s="262"/>
      <c r="S69" s="262"/>
    </row>
    <row r="70" spans="1:19" ht="17.25" thickBot="1">
      <c r="A70" s="30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7"/>
      <c r="R70" s="267"/>
      <c r="S70" s="267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>
        <v>800</v>
      </c>
      <c r="E71" s="14">
        <f>IF(ISNUMBER(D71), (D71 - $B71) / $B71, "")</f>
        <v>-0.1111111111111111</v>
      </c>
      <c r="F71" s="16">
        <f>IF(ISNUMBER(D71), $B91 * E71, "")</f>
        <v>-16666.666666666664</v>
      </c>
      <c r="G71" s="29">
        <v>802</v>
      </c>
      <c r="H71" s="14">
        <f>IF(ISNUMBER(G71), (G71 - $B71) / $B71, "")</f>
        <v>-0.10888888888888888</v>
      </c>
      <c r="I71" s="96">
        <f>IF(ISNUMBER(G71), $B91 * H71, "")</f>
        <v>-16333.333333333332</v>
      </c>
      <c r="J71" s="13">
        <v>798</v>
      </c>
      <c r="K71" s="14">
        <f>IF(ISNUMBER(J71), (J71 - $B71) / $B71, "")</f>
        <v>-0.11333333333333333</v>
      </c>
      <c r="L71" s="16">
        <f>IF(ISNUMBER(J71), $B91 * K71, "")</f>
        <v>-17000</v>
      </c>
      <c r="M71" s="29">
        <v>813</v>
      </c>
      <c r="N71" s="14">
        <f>IF(ISNUMBER(M71), (M71 - $B71) / $B71, "")</f>
        <v>-9.6666666666666665E-2</v>
      </c>
      <c r="O71" s="16">
        <f>IF(ISNUMBER(M71), $B91 * N71, "")</f>
        <v>-14500</v>
      </c>
      <c r="Q71" s="262"/>
      <c r="R71" s="262"/>
      <c r="S71" s="262"/>
    </row>
    <row r="72" spans="1:19" ht="17.25" thickBot="1">
      <c r="A72" s="124" t="s">
        <v>260</v>
      </c>
      <c r="B72" s="125">
        <v>128</v>
      </c>
      <c r="C72" s="73">
        <v>0.1034482759</v>
      </c>
      <c r="D72" s="15">
        <v>120</v>
      </c>
      <c r="E72" s="32">
        <f t="shared" ref="E72:E75" si="30">IF(ISNUMBER(D72), (D72 - $B72) / $B72, "")</f>
        <v>-6.25E-2</v>
      </c>
      <c r="F72" s="18">
        <f>IF(ISNUMBER(D72), $B91 * E72, "")</f>
        <v>-9375</v>
      </c>
      <c r="G72" s="31">
        <v>121</v>
      </c>
      <c r="H72" s="32">
        <f t="shared" ref="H72:H75" si="31">IF(ISNUMBER(G72), (G72 - $B72) / $B72, "")</f>
        <v>-5.46875E-2</v>
      </c>
      <c r="I72" s="97">
        <f>IF(ISNUMBER(G72), $B91 * H72, "")</f>
        <v>-8203.125</v>
      </c>
      <c r="J72" s="15">
        <v>126</v>
      </c>
      <c r="K72" s="32">
        <f t="shared" ref="K72:K75" si="32">IF(ISNUMBER(J72), (J72 - $B72) / $B72, "")</f>
        <v>-1.5625E-2</v>
      </c>
      <c r="L72" s="18">
        <f>IF(ISNUMBER(J72), $B91 * K72, "")</f>
        <v>-2343.75</v>
      </c>
      <c r="M72" s="31">
        <v>128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62"/>
      <c r="R72" s="262"/>
      <c r="S72" s="262"/>
    </row>
    <row r="73" spans="1:19" ht="17.25" thickBot="1">
      <c r="A73" s="124" t="s">
        <v>168</v>
      </c>
      <c r="B73" s="125">
        <v>255</v>
      </c>
      <c r="C73" s="73">
        <v>6.25E-2</v>
      </c>
      <c r="D73" s="15">
        <v>221</v>
      </c>
      <c r="E73" s="32">
        <f t="shared" si="30"/>
        <v>-0.13333333333333333</v>
      </c>
      <c r="F73" s="18">
        <f>IF(ISNUMBER(D73), $B91 * E73, "")</f>
        <v>-20000</v>
      </c>
      <c r="G73" s="31">
        <v>227</v>
      </c>
      <c r="H73" s="32">
        <f t="shared" si="31"/>
        <v>-0.10980392156862745</v>
      </c>
      <c r="I73" s="97">
        <f>IF(ISNUMBER(G73), $B91 * H73, "")</f>
        <v>-16470.588235294119</v>
      </c>
      <c r="J73" s="15">
        <v>225</v>
      </c>
      <c r="K73" s="32">
        <f t="shared" si="32"/>
        <v>-0.11764705882352941</v>
      </c>
      <c r="L73" s="18">
        <f>IF(ISNUMBER(J73), $B91 * K73, "")</f>
        <v>-17647.058823529413</v>
      </c>
      <c r="M73" s="31">
        <v>226</v>
      </c>
      <c r="N73" s="32">
        <f t="shared" si="33"/>
        <v>-0.11372549019607843</v>
      </c>
      <c r="O73" s="18">
        <f>IF(ISNUMBER(M73), $B91 * N73, "")</f>
        <v>-17058.823529411766</v>
      </c>
      <c r="Q73" s="267"/>
      <c r="R73" s="267"/>
      <c r="S73" s="267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>
        <v>509</v>
      </c>
      <c r="E74" s="32">
        <f t="shared" si="30"/>
        <v>-0.10858143607705779</v>
      </c>
      <c r="F74" s="18">
        <f>IF(ISNUMBER(D74), $B91 * E74, "")</f>
        <v>-16287.215411558669</v>
      </c>
      <c r="G74" s="31">
        <v>519</v>
      </c>
      <c r="H74" s="32">
        <f t="shared" si="31"/>
        <v>-9.106830122591944E-2</v>
      </c>
      <c r="I74" s="97">
        <f>IF(ISNUMBER(G74), $B91 * H74, "")</f>
        <v>-13660.245183887917</v>
      </c>
      <c r="J74" s="15">
        <v>525</v>
      </c>
      <c r="K74" s="32">
        <f t="shared" si="32"/>
        <v>-8.0560420315236428E-2</v>
      </c>
      <c r="L74" s="18">
        <f>IF(ISNUMBER(J74), $B91 * K74, "")</f>
        <v>-12084.063047285465</v>
      </c>
      <c r="M74" s="31">
        <v>521</v>
      </c>
      <c r="N74" s="32">
        <f t="shared" si="33"/>
        <v>-8.7565674255691769E-2</v>
      </c>
      <c r="O74" s="18">
        <f>IF(ISNUMBER(M74), $B91 * N74, "")</f>
        <v>-13134.851138353766</v>
      </c>
      <c r="Q74" s="267"/>
      <c r="R74" s="267"/>
      <c r="S74" s="267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>
        <v>477</v>
      </c>
      <c r="E75" s="21">
        <f t="shared" si="30"/>
        <v>-6.1023622047244097E-2</v>
      </c>
      <c r="F75" s="22">
        <f>IF(ISNUMBER(D75), $B91 * E75, "")</f>
        <v>-9153.5433070866147</v>
      </c>
      <c r="G75" s="30">
        <v>508</v>
      </c>
      <c r="H75" s="21">
        <f t="shared" si="31"/>
        <v>0</v>
      </c>
      <c r="I75" s="101">
        <f>IF(ISNUMBER(G75), $B91 * H75, "")</f>
        <v>0</v>
      </c>
      <c r="J75" s="20">
        <v>499</v>
      </c>
      <c r="K75" s="21">
        <f t="shared" si="32"/>
        <v>-1.7716535433070866E-2</v>
      </c>
      <c r="L75" s="22">
        <f>IF(ISNUMBER(J75), $B91 * K75, "")</f>
        <v>-2657.48031496063</v>
      </c>
      <c r="M75" s="30">
        <v>482</v>
      </c>
      <c r="N75" s="21">
        <f t="shared" si="33"/>
        <v>-5.1181102362204724E-2</v>
      </c>
      <c r="O75" s="22">
        <f>IF(ISNUMBER(M75), $B91 * N75, "")</f>
        <v>-7677.1653543307084</v>
      </c>
      <c r="Q75" s="267"/>
      <c r="R75" s="267"/>
      <c r="S75" s="267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>
        <v>107</v>
      </c>
      <c r="E76" s="103">
        <f>IF(ISNUMBER(D76), (D76 - $B76) / $B76, "")</f>
        <v>-6.9565217391304349E-2</v>
      </c>
      <c r="F76" s="104">
        <f>IF(ISNUMBER(D76), $B91 * E76, "")</f>
        <v>-10434.782608695652</v>
      </c>
      <c r="G76" s="105">
        <v>111</v>
      </c>
      <c r="H76" s="103">
        <f>IF(ISNUMBER(G76), (G76 - $B76) / $B76, "")</f>
        <v>-3.4782608695652174E-2</v>
      </c>
      <c r="I76" s="106">
        <f>IF(ISNUMBER(G76), $B91 * H76, "")</f>
        <v>-5217.391304347826</v>
      </c>
      <c r="J76" s="102">
        <v>112</v>
      </c>
      <c r="K76" s="103">
        <f>IF(ISNUMBER(J76), (J76 - $B76) / $B76, "")</f>
        <v>-2.6086956521739129E-2</v>
      </c>
      <c r="L76" s="104">
        <f>IF(ISNUMBER(J76), $B91 * K76, "")</f>
        <v>-3913.0434782608695</v>
      </c>
      <c r="M76" s="105">
        <v>113</v>
      </c>
      <c r="N76" s="103">
        <f>IF(ISNUMBER(M76), (M76 - $B76) / $B76, "")</f>
        <v>-1.7391304347826087E-2</v>
      </c>
      <c r="O76" s="104">
        <f>IF(ISNUMBER(M76), $B91 * N76, "")</f>
        <v>-2608.695652173913</v>
      </c>
      <c r="Q76" s="267"/>
      <c r="R76" s="267"/>
      <c r="S76" s="267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>
        <v>170</v>
      </c>
      <c r="E77" s="32">
        <f t="shared" ref="E77:E80" si="34">IF(ISNUMBER(D77), (D77 - $B77) / $B77, "")</f>
        <v>-6.0773480662983423E-2</v>
      </c>
      <c r="F77" s="18">
        <f>IF(ISNUMBER(D77), $B91 * E77, "")</f>
        <v>-9116.022099447513</v>
      </c>
      <c r="G77" s="31">
        <v>177</v>
      </c>
      <c r="H77" s="32">
        <f t="shared" ref="H77:H80" si="35">IF(ISNUMBER(G77), (G77 - $B77) / $B77, "")</f>
        <v>-2.2099447513812154E-2</v>
      </c>
      <c r="I77" s="97">
        <f>IF(ISNUMBER(G77), $B91 * H77, "")</f>
        <v>-3314.917127071823</v>
      </c>
      <c r="J77" s="15">
        <v>180</v>
      </c>
      <c r="K77" s="32">
        <f t="shared" ref="K77:K80" si="36">IF(ISNUMBER(J77), (J77 - $B77) / $B77, "")</f>
        <v>-5.5248618784530384E-3</v>
      </c>
      <c r="L77" s="18">
        <f>IF(ISNUMBER(J77), $B91 * K77, "")</f>
        <v>-828.72928176795574</v>
      </c>
      <c r="M77" s="31">
        <v>180</v>
      </c>
      <c r="N77" s="32">
        <f t="shared" ref="N77:N80" si="37">IF(ISNUMBER(M77), (M77 - $B77) / $B77, "")</f>
        <v>-5.5248618784530384E-3</v>
      </c>
      <c r="O77" s="18">
        <f>IF(ISNUMBER(M77), $B91 * N77, "")</f>
        <v>-828.72928176795574</v>
      </c>
      <c r="Q77" s="267"/>
      <c r="R77" s="267"/>
      <c r="S77" s="267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>
        <v>415</v>
      </c>
      <c r="E78" s="32">
        <f t="shared" si="34"/>
        <v>-0.10367170626349892</v>
      </c>
      <c r="F78" s="18">
        <f>IF(ISNUMBER(D78), $B91 * E78, "")</f>
        <v>-15550.755939524837</v>
      </c>
      <c r="G78" s="31">
        <v>429</v>
      </c>
      <c r="H78" s="32">
        <f t="shared" si="35"/>
        <v>-7.3434125269978404E-2</v>
      </c>
      <c r="I78" s="97">
        <f>IF(ISNUMBER(G78), $B91 * H78, "")</f>
        <v>-11015.118790496761</v>
      </c>
      <c r="J78" s="15">
        <v>424</v>
      </c>
      <c r="K78" s="32">
        <f t="shared" si="36"/>
        <v>-8.4233261339092869E-2</v>
      </c>
      <c r="L78" s="18">
        <f>IF(ISNUMBER(J78), $B91 * K78, "")</f>
        <v>-12634.989200863931</v>
      </c>
      <c r="M78" s="31">
        <v>427</v>
      </c>
      <c r="N78" s="32">
        <f t="shared" si="37"/>
        <v>-7.775377969762419E-2</v>
      </c>
      <c r="O78" s="18">
        <f>IF(ISNUMBER(M78), $B91 * N78, "")</f>
        <v>-11663.066954643629</v>
      </c>
      <c r="Q78" s="267"/>
      <c r="R78" s="267"/>
      <c r="S78" s="267"/>
    </row>
    <row r="79" spans="1:19" ht="17.25" thickBot="1">
      <c r="A79" s="124" t="s">
        <v>156</v>
      </c>
      <c r="B79" s="125">
        <v>175</v>
      </c>
      <c r="C79" s="73">
        <v>0</v>
      </c>
      <c r="D79" s="15">
        <v>158</v>
      </c>
      <c r="E79" s="32">
        <f t="shared" si="34"/>
        <v>-9.7142857142857142E-2</v>
      </c>
      <c r="F79" s="18">
        <f>IF(ISNUMBER(D79), $B91 * E79, "")</f>
        <v>-14571.428571428571</v>
      </c>
      <c r="G79" s="31">
        <v>165</v>
      </c>
      <c r="H79" s="32">
        <f t="shared" si="35"/>
        <v>-5.7142857142857141E-2</v>
      </c>
      <c r="I79" s="97">
        <f>IF(ISNUMBER(G79), $B91 * H79, "")</f>
        <v>-8571.4285714285706</v>
      </c>
      <c r="J79" s="15">
        <v>162</v>
      </c>
      <c r="K79" s="32">
        <f t="shared" si="36"/>
        <v>-7.4285714285714288E-2</v>
      </c>
      <c r="L79" s="18">
        <f>IF(ISNUMBER(J79), $B91 * K79, "")</f>
        <v>-11142.857142857143</v>
      </c>
      <c r="M79" s="31">
        <v>166</v>
      </c>
      <c r="N79" s="32">
        <f t="shared" si="37"/>
        <v>-5.1428571428571428E-2</v>
      </c>
      <c r="O79" s="18">
        <f>IF(ISNUMBER(M79), $B91 * N79, "")</f>
        <v>-7714.2857142857138</v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>
        <v>519</v>
      </c>
      <c r="E80" s="25">
        <f t="shared" si="34"/>
        <v>-0.13210702341137123</v>
      </c>
      <c r="F80" s="100">
        <f>IF(ISNUMBER(D80), $B91 * E80, "")</f>
        <v>-19816.053511705686</v>
      </c>
      <c r="G80" s="98">
        <v>536</v>
      </c>
      <c r="H80" s="25">
        <f t="shared" si="35"/>
        <v>-0.10367892976588629</v>
      </c>
      <c r="I80" s="99">
        <f>IF(ISNUMBER(G80), $B91 * H80, "")</f>
        <v>-15551.839464882944</v>
      </c>
      <c r="J80" s="24">
        <v>544</v>
      </c>
      <c r="K80" s="25">
        <f t="shared" si="36"/>
        <v>-9.0301003344481601E-2</v>
      </c>
      <c r="L80" s="100">
        <f>IF(ISNUMBER(J80), $B91 * K80, "")</f>
        <v>-13545.15050167224</v>
      </c>
      <c r="M80" s="98">
        <v>537</v>
      </c>
      <c r="N80" s="25">
        <f t="shared" si="37"/>
        <v>-0.1020066889632107</v>
      </c>
      <c r="O80" s="100">
        <f>IF(ISNUMBER(M80), $B91 * N80, "")</f>
        <v>-15301.003344481605</v>
      </c>
      <c r="Q80" s="276"/>
      <c r="R80" s="277"/>
      <c r="S80" s="278"/>
    </row>
    <row r="81" spans="1:19">
      <c r="A81" s="122" t="s">
        <v>148</v>
      </c>
      <c r="B81" s="123">
        <v>193</v>
      </c>
      <c r="C81" s="72">
        <v>-1.0256410299999999E-2</v>
      </c>
      <c r="D81" s="13">
        <v>185</v>
      </c>
      <c r="E81" s="14">
        <f>IF(ISNUMBER(D81), (D81 - $B81) / $B81, "")</f>
        <v>-4.145077720207254E-2</v>
      </c>
      <c r="F81" s="16">
        <f>IF(ISNUMBER(D81), $B91 * E81, "")</f>
        <v>-6217.6165803108806</v>
      </c>
      <c r="G81" s="29">
        <v>186</v>
      </c>
      <c r="H81" s="14">
        <f>IF(ISNUMBER(G81), (G81 - $B81) / $B81, "")</f>
        <v>-3.6269430051813469E-2</v>
      </c>
      <c r="I81" s="96">
        <f>IF(ISNUMBER(G81), $B91 * H81, "")</f>
        <v>-5440.4145077720204</v>
      </c>
      <c r="J81" s="13">
        <v>185</v>
      </c>
      <c r="K81" s="14">
        <f>IF(ISNUMBER(J81), (J81 - $B81) / $B81, "")</f>
        <v>-4.145077720207254E-2</v>
      </c>
      <c r="L81" s="16">
        <f>IF(ISNUMBER(J81), $B91 * K81, "")</f>
        <v>-6217.6165803108806</v>
      </c>
      <c r="M81" s="29">
        <v>184</v>
      </c>
      <c r="N81" s="14">
        <f>IF(ISNUMBER(M81), (M81 - $B81) / $B81, "")</f>
        <v>-4.6632124352331605E-2</v>
      </c>
      <c r="O81" s="16">
        <f>IF(ISNUMBER(M81), $B91 * N81, "")</f>
        <v>-6994.8186528497408</v>
      </c>
      <c r="Q81" s="279"/>
      <c r="R81" s="280"/>
      <c r="S81" s="281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>
        <v>196</v>
      </c>
      <c r="E82" s="32">
        <f t="shared" ref="E82:E85" si="38">IF(ISNUMBER(D82), (D82 - $B82) / $B82, "")</f>
        <v>-9.2592592592592587E-2</v>
      </c>
      <c r="F82" s="18">
        <f>IF(ISNUMBER(D82), $B91 * E82, "")</f>
        <v>-13888.888888888889</v>
      </c>
      <c r="G82" s="31">
        <v>205</v>
      </c>
      <c r="H82" s="32">
        <f t="shared" ref="H82:H85" si="39">IF(ISNUMBER(G82), (G82 - $B82) / $B82, "")</f>
        <v>-5.0925925925925923E-2</v>
      </c>
      <c r="I82" s="97">
        <f>IF(ISNUMBER(G82), $B91 * H82, "")</f>
        <v>-7638.8888888888887</v>
      </c>
      <c r="J82" s="15">
        <v>205</v>
      </c>
      <c r="K82" s="32">
        <f t="shared" ref="K82:K85" si="40">IF(ISNUMBER(J82), (J82 - $B82) / $B82, "")</f>
        <v>-5.0925925925925923E-2</v>
      </c>
      <c r="L82" s="18">
        <f>IF(ISNUMBER(J82), $B91 * K82, "")</f>
        <v>-7638.8888888888887</v>
      </c>
      <c r="M82" s="31">
        <v>209</v>
      </c>
      <c r="N82" s="32">
        <f t="shared" ref="N82:N85" si="41">IF(ISNUMBER(M82), (M82 - $B82) / $B82, "")</f>
        <v>-3.2407407407407406E-2</v>
      </c>
      <c r="O82" s="18">
        <f>IF(ISNUMBER(M82), $B91 * N82, "")</f>
        <v>-4861.1111111111104</v>
      </c>
      <c r="Q82" s="282"/>
      <c r="R82" s="283"/>
      <c r="S82" s="284"/>
    </row>
    <row r="83" spans="1:19" ht="17.25" thickBot="1">
      <c r="A83" s="124" t="s">
        <v>88</v>
      </c>
      <c r="B83" s="125">
        <v>586</v>
      </c>
      <c r="C83" s="73">
        <v>-1.51260504E-2</v>
      </c>
      <c r="D83" s="15">
        <v>550</v>
      </c>
      <c r="E83" s="32">
        <f t="shared" si="38"/>
        <v>-6.1433447098976107E-2</v>
      </c>
      <c r="F83" s="18">
        <f>IF(ISNUMBER(D83), $B91 * E83, "")</f>
        <v>-9215.0170648464155</v>
      </c>
      <c r="G83" s="31">
        <v>556</v>
      </c>
      <c r="H83" s="32">
        <f t="shared" si="39"/>
        <v>-5.1194539249146756E-2</v>
      </c>
      <c r="I83" s="97">
        <f>IF(ISNUMBER(G83), $B91 * H83, "")</f>
        <v>-7679.1808873720138</v>
      </c>
      <c r="J83" s="15">
        <v>553</v>
      </c>
      <c r="K83" s="32">
        <f t="shared" si="40"/>
        <v>-5.6313993174061432E-2</v>
      </c>
      <c r="L83" s="18">
        <f>IF(ISNUMBER(J83), $B91 * K83, "")</f>
        <v>-8447.0989761092151</v>
      </c>
      <c r="M83" s="31">
        <v>553</v>
      </c>
      <c r="N83" s="32">
        <f t="shared" si="41"/>
        <v>-5.6313993174061432E-2</v>
      </c>
      <c r="O83" s="18">
        <f>IF(ISNUMBER(M83), $B91 * N83, "")</f>
        <v>-8447.0989761092151</v>
      </c>
      <c r="Q83" s="267"/>
      <c r="R83" s="267"/>
      <c r="S83" s="267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>
        <v>148</v>
      </c>
      <c r="E84" s="32">
        <f t="shared" si="38"/>
        <v>-9.202453987730061E-2</v>
      </c>
      <c r="F84" s="18">
        <f>IF(ISNUMBER(D84), $B91 * E84, "")</f>
        <v>-13803.680981595091</v>
      </c>
      <c r="G84" s="31">
        <v>154</v>
      </c>
      <c r="H84" s="32">
        <f t="shared" si="39"/>
        <v>-5.5214723926380369E-2</v>
      </c>
      <c r="I84" s="97">
        <f>IF(ISNUMBER(G84), $B91 * H84, "")</f>
        <v>-8282.2085889570553</v>
      </c>
      <c r="J84" s="15">
        <v>153</v>
      </c>
      <c r="K84" s="32">
        <f t="shared" si="40"/>
        <v>-6.1349693251533742E-2</v>
      </c>
      <c r="L84" s="18">
        <f>IF(ISNUMBER(J84), $B91 * K84, "")</f>
        <v>-9202.4539877300613</v>
      </c>
      <c r="M84" s="31">
        <v>155</v>
      </c>
      <c r="N84" s="32">
        <f t="shared" si="41"/>
        <v>-4.9079754601226995E-2</v>
      </c>
      <c r="O84" s="18">
        <f>IF(ISNUMBER(M84), $B91 * N84, "")</f>
        <v>-7361.9631901840494</v>
      </c>
      <c r="Q84" s="262"/>
      <c r="R84" s="262"/>
      <c r="S84" s="262"/>
    </row>
    <row r="85" spans="1:19" ht="17.25" thickBot="1">
      <c r="A85" s="126" t="s">
        <v>136</v>
      </c>
      <c r="B85" s="127">
        <v>283</v>
      </c>
      <c r="C85" s="74">
        <v>-2.07612457E-2</v>
      </c>
      <c r="D85" s="20">
        <v>262</v>
      </c>
      <c r="E85" s="21">
        <f t="shared" si="38"/>
        <v>-7.4204946996466431E-2</v>
      </c>
      <c r="F85" s="22">
        <f>IF(ISNUMBER(D85), $B91 * E85, "")</f>
        <v>-11130.742049469965</v>
      </c>
      <c r="G85" s="30">
        <v>273</v>
      </c>
      <c r="H85" s="21">
        <f t="shared" si="39"/>
        <v>-3.5335689045936397E-2</v>
      </c>
      <c r="I85" s="101">
        <f>IF(ISNUMBER(G85), $B91 * H85, "")</f>
        <v>-5300.3533568904595</v>
      </c>
      <c r="J85" s="20">
        <v>268</v>
      </c>
      <c r="K85" s="21">
        <f t="shared" si="40"/>
        <v>-5.3003533568904596E-2</v>
      </c>
      <c r="L85" s="22">
        <f>IF(ISNUMBER(J85), $B91 * K85, "")</f>
        <v>-7950.5300353356897</v>
      </c>
      <c r="M85" s="30">
        <v>268</v>
      </c>
      <c r="N85" s="21">
        <f t="shared" si="41"/>
        <v>-5.3003533568904596E-2</v>
      </c>
      <c r="O85" s="22">
        <f>IF(ISNUMBER(M85), $B91 * N85, "")</f>
        <v>-7950.5300353356897</v>
      </c>
      <c r="Q85" s="262"/>
      <c r="R85" s="262"/>
      <c r="S85" s="262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>
        <v>159</v>
      </c>
      <c r="E86" s="103">
        <f>IF(ISNUMBER(D86), (D86 - $B86) / $B86, "")</f>
        <v>-7.0175438596491224E-2</v>
      </c>
      <c r="F86" s="104">
        <f>IF(ISNUMBER(D86), $B91 * E86, "")</f>
        <v>-10526.315789473683</v>
      </c>
      <c r="G86" s="105">
        <v>164</v>
      </c>
      <c r="H86" s="103">
        <f>IF(ISNUMBER(G86), (G86 - $B86) / $B86, "")</f>
        <v>-4.0935672514619881E-2</v>
      </c>
      <c r="I86" s="106">
        <f>IF(ISNUMBER(G86), $B91 * H86, "")</f>
        <v>-6140.3508771929819</v>
      </c>
      <c r="J86" s="102">
        <v>167</v>
      </c>
      <c r="K86" s="103">
        <f>IF(ISNUMBER(J86), (J86 - $B86) / $B86, "")</f>
        <v>-2.3391812865497075E-2</v>
      </c>
      <c r="L86" s="104">
        <f>IF(ISNUMBER(J86), $B91 * K86, "")</f>
        <v>-3508.7719298245611</v>
      </c>
      <c r="M86" s="105">
        <v>165</v>
      </c>
      <c r="N86" s="103">
        <f>IF(ISNUMBER(M86), (M86 - $B86) / $B86, "")</f>
        <v>-3.5087719298245612E-2</v>
      </c>
      <c r="O86" s="104">
        <f>IF(ISNUMBER(M86), $B91 * N86, "")</f>
        <v>-5263.1578947368416</v>
      </c>
      <c r="Q86" s="267"/>
      <c r="R86" s="267"/>
      <c r="S86" s="267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>
        <v>260</v>
      </c>
      <c r="E87" s="32">
        <f t="shared" ref="E87:E90" si="42">IF(ISNUMBER(D87), (D87 - $B87) / $B87, "")</f>
        <v>-6.1371841155234655E-2</v>
      </c>
      <c r="F87" s="18">
        <f>IF(ISNUMBER(D87), $B91 * E87, "")</f>
        <v>-9205.7761732851977</v>
      </c>
      <c r="G87" s="31">
        <v>273</v>
      </c>
      <c r="H87" s="32">
        <f t="shared" ref="H87:H90" si="43">IF(ISNUMBER(G87), (G87 - $B87) / $B87, "")</f>
        <v>-1.444043321299639E-2</v>
      </c>
      <c r="I87" s="97">
        <f>IF(ISNUMBER(G87), $B91 * H87, "")</f>
        <v>-2166.0649819494583</v>
      </c>
      <c r="J87" s="15">
        <v>274</v>
      </c>
      <c r="K87" s="32">
        <f t="shared" ref="K87:K90" si="44">IF(ISNUMBER(J87), (J87 - $B87) / $B87, "")</f>
        <v>-1.0830324909747292E-2</v>
      </c>
      <c r="L87" s="18">
        <f>IF(ISNUMBER(J87), $B91 * K87, "")</f>
        <v>-1624.5487364620938</v>
      </c>
      <c r="M87" s="31">
        <v>277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67"/>
      <c r="R87" s="267"/>
      <c r="S87" s="267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>
        <v>149</v>
      </c>
      <c r="E88" s="32">
        <f t="shared" si="42"/>
        <v>-2.6143790849673203E-2</v>
      </c>
      <c r="F88" s="18">
        <f>IF(ISNUMBER(D88), $B91 * E88, "")</f>
        <v>-3921.5686274509803</v>
      </c>
      <c r="G88" s="31">
        <v>160</v>
      </c>
      <c r="H88" s="32">
        <f t="shared" si="43"/>
        <v>4.5751633986928102E-2</v>
      </c>
      <c r="I88" s="97">
        <f>IF(ISNUMBER(G88), $B91 * H88, "")</f>
        <v>6862.745098039215</v>
      </c>
      <c r="J88" s="15">
        <v>155</v>
      </c>
      <c r="K88" s="32">
        <f t="shared" si="44"/>
        <v>1.3071895424836602E-2</v>
      </c>
      <c r="L88" s="18">
        <f>IF(ISNUMBER(J88), $B91 * K88, "")</f>
        <v>1960.7843137254902</v>
      </c>
      <c r="M88" s="31">
        <v>156</v>
      </c>
      <c r="N88" s="32">
        <f t="shared" si="45"/>
        <v>1.9607843137254902E-2</v>
      </c>
      <c r="O88" s="18">
        <f>IF(ISNUMBER(M88), $B91 * N88, "")</f>
        <v>2941.1764705882351</v>
      </c>
      <c r="Q88" s="267"/>
      <c r="R88" s="267"/>
      <c r="S88" s="267"/>
    </row>
    <row r="89" spans="1:19">
      <c r="A89" s="124" t="s">
        <v>174</v>
      </c>
      <c r="B89" s="125">
        <v>263</v>
      </c>
      <c r="C89" s="73">
        <v>-2.5925925900000001E-2</v>
      </c>
      <c r="D89" s="15">
        <v>252</v>
      </c>
      <c r="E89" s="32">
        <f t="shared" si="42"/>
        <v>-4.1825095057034217E-2</v>
      </c>
      <c r="F89" s="18">
        <f>IF(ISNUMBER(D89), $B91 * E89, "")</f>
        <v>-6273.764258555133</v>
      </c>
      <c r="G89" s="31">
        <v>256</v>
      </c>
      <c r="H89" s="32">
        <f t="shared" si="43"/>
        <v>-2.6615969581749048E-2</v>
      </c>
      <c r="I89" s="97">
        <f>IF(ISNUMBER(G89), $B91 * H89, "")</f>
        <v>-3992.3954372623571</v>
      </c>
      <c r="J89" s="15">
        <v>260</v>
      </c>
      <c r="K89" s="32">
        <f t="shared" si="44"/>
        <v>-1.1406844106463879E-2</v>
      </c>
      <c r="L89" s="18">
        <f>IF(ISNUMBER(J89), $B91 * K89, "")</f>
        <v>-1711.0266159695818</v>
      </c>
      <c r="M89" s="31">
        <v>260</v>
      </c>
      <c r="N89" s="32">
        <f t="shared" si="45"/>
        <v>-1.1406844106463879E-2</v>
      </c>
      <c r="O89" s="18">
        <f>IF(ISNUMBER(M89), $B91 * N89, "")</f>
        <v>-1711.0266159695818</v>
      </c>
      <c r="Q89" s="289"/>
      <c r="R89" s="290"/>
      <c r="S89" s="291"/>
    </row>
    <row r="90" spans="1:19" ht="17.25" thickBot="1">
      <c r="A90" s="129" t="s">
        <v>212</v>
      </c>
      <c r="B90" s="130">
        <v>142</v>
      </c>
      <c r="C90" s="75">
        <v>-2.73972603E-2</v>
      </c>
      <c r="D90" s="24">
        <v>135</v>
      </c>
      <c r="E90" s="25">
        <f t="shared" si="42"/>
        <v>-4.9295774647887321E-2</v>
      </c>
      <c r="F90" s="100">
        <f>IF(ISNUMBER(D90), $B91 * E90, "")</f>
        <v>-7394.3661971830979</v>
      </c>
      <c r="G90" s="98">
        <v>136</v>
      </c>
      <c r="H90" s="25">
        <f t="shared" si="43"/>
        <v>-4.2253521126760563E-2</v>
      </c>
      <c r="I90" s="99">
        <f>IF(ISNUMBER(G90), $B91 * H90, "")</f>
        <v>-6338.0281690140846</v>
      </c>
      <c r="J90" s="24">
        <v>140</v>
      </c>
      <c r="K90" s="25">
        <f t="shared" si="44"/>
        <v>-1.4084507042253521E-2</v>
      </c>
      <c r="L90" s="100">
        <f>IF(ISNUMBER(J90), $B91 * K90, "")</f>
        <v>-2112.676056338028</v>
      </c>
      <c r="M90" s="98">
        <v>139</v>
      </c>
      <c r="N90" s="25">
        <f t="shared" si="45"/>
        <v>-2.1126760563380281E-2</v>
      </c>
      <c r="O90" s="100">
        <f>IF(ISNUMBER(M90), $B91 * N90, "")</f>
        <v>-3169.0140845070423</v>
      </c>
      <c r="Q90" s="292"/>
      <c r="R90" s="293"/>
      <c r="S90" s="294"/>
    </row>
    <row r="91" spans="1:19" ht="17.25" thickBot="1">
      <c r="A91" s="131" t="s">
        <v>301</v>
      </c>
      <c r="B91" s="300">
        <f>$B$37</f>
        <v>150000</v>
      </c>
      <c r="C91" s="301"/>
      <c r="D91" s="26" t="s">
        <v>302</v>
      </c>
      <c r="E91" s="27">
        <f>IF(COUNT(E71:E90), SUM(E71:E90) / COUNT(E71:E90), 0)</f>
        <v>-7.7516401575724508E-2</v>
      </c>
      <c r="F91" s="28">
        <f>SUM(F71:F90)</f>
        <v>-232549.20472717355</v>
      </c>
      <c r="G91" s="26" t="s">
        <v>302</v>
      </c>
      <c r="H91" s="27">
        <f>IF(COUNT(H71:H90), SUM(H71:H90) / COUNT(H71:H90), 0)</f>
        <v>-4.815104253600113E-2</v>
      </c>
      <c r="I91" s="28">
        <f>SUM(I71:I90)</f>
        <v>-144453.12760800341</v>
      </c>
      <c r="J91" s="26" t="s">
        <v>302</v>
      </c>
      <c r="K91" s="27">
        <f>IF(COUNT(K71:K90), SUM(K71:K90) / COUNT(K71:K90), 0)</f>
        <v>-4.6749983094813721E-2</v>
      </c>
      <c r="L91" s="28">
        <f>SUM(L71:L90)</f>
        <v>-140249.94928444119</v>
      </c>
      <c r="M91" s="26" t="s">
        <v>302</v>
      </c>
      <c r="N91" s="27">
        <f>IF(COUNT(N71:N90), SUM(N71:N90) / COUNT(N71:N90), 0)</f>
        <v>-4.4434721686554698E-2</v>
      </c>
      <c r="O91" s="28">
        <f>SUM(O71:O90)</f>
        <v>-133304.16505966411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186" t="s">
        <v>298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62017000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-1.6680144000000001E-2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2021-05-11(화) 오전 00:00</v>
      </c>
      <c r="C96" s="305"/>
      <c r="D96" s="264" t="str">
        <f>TEXT($G$1, "[$-ko-KR]yyyy-mm-dd(ddd) ") &amp; "오후 14:00"</f>
        <v>2021-05-11(화) 오후 14:00</v>
      </c>
      <c r="E96" s="265"/>
      <c r="F96" s="266"/>
      <c r="G96" s="264" t="str">
        <f>TEXT($G$1, "[$-ko-KR]yyyy-mm-dd(ddd) ") &amp; "오후 19:00"</f>
        <v>2021-05-11(화) 오후 19:00</v>
      </c>
      <c r="H96" s="265"/>
      <c r="I96" s="266"/>
      <c r="J96" s="264" t="str">
        <f>TEXT($G$1, "[$-ko-KR]yyyy-mm-dd(ddd) ") &amp; "오후 21:00"</f>
        <v>2021-05-11(화) 오후 21:00</v>
      </c>
      <c r="K96" s="265"/>
      <c r="L96" s="266"/>
      <c r="M96" s="264" t="str">
        <f>TEXT($G$1+1, "[$-ko-KR]yyyy-mm-dd(ddd) ") &amp; "오전 00:00"</f>
        <v>2021-05-12(수) 오전 00:00</v>
      </c>
      <c r="N96" s="265"/>
      <c r="O96" s="266"/>
      <c r="Q96" s="262"/>
      <c r="R96" s="262"/>
      <c r="S96" s="262"/>
    </row>
    <row r="97" spans="1:19" ht="17.25" thickBot="1">
      <c r="A97" s="30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7"/>
      <c r="R97" s="267"/>
      <c r="S97" s="267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>
        <v>800</v>
      </c>
      <c r="E98" s="14">
        <f>IF(ISNUMBER(D98), (D98 - $B98) / $B98, "")</f>
        <v>-0.1111111111111111</v>
      </c>
      <c r="F98" s="16">
        <f>IF(ISNUMBER(D98), $B118 * E98, "")</f>
        <v>-16666.666666666664</v>
      </c>
      <c r="G98" s="29">
        <v>802</v>
      </c>
      <c r="H98" s="14">
        <f>IF(ISNUMBER(G98), (G98 - $B98) / $B98, "")</f>
        <v>-0.10888888888888888</v>
      </c>
      <c r="I98" s="96">
        <f>IF(ISNUMBER(G98), $B118 * H98, "")</f>
        <v>-16333.333333333332</v>
      </c>
      <c r="J98" s="13">
        <v>798</v>
      </c>
      <c r="K98" s="14">
        <f>IF(ISNUMBER(J98), (J98 - $B98) / $B98, "")</f>
        <v>-0.11333333333333333</v>
      </c>
      <c r="L98" s="16">
        <f>IF(ISNUMBER(J98), $B118 * K98, "")</f>
        <v>-17000</v>
      </c>
      <c r="M98" s="29">
        <v>813</v>
      </c>
      <c r="N98" s="14">
        <f>IF(ISNUMBER(M98), (M98 - $B98) / $B98, "")</f>
        <v>-9.6666666666666665E-2</v>
      </c>
      <c r="O98" s="16">
        <f>IF(ISNUMBER(M98), $B118 * N98, "")</f>
        <v>-14500</v>
      </c>
      <c r="Q98" s="262"/>
      <c r="R98" s="262"/>
      <c r="S98" s="262"/>
    </row>
    <row r="99" spans="1:19" ht="17.25" thickBot="1">
      <c r="A99" s="124" t="s">
        <v>260</v>
      </c>
      <c r="B99" s="125">
        <v>128</v>
      </c>
      <c r="C99" s="73">
        <v>0.1034482759</v>
      </c>
      <c r="D99" s="15">
        <v>120</v>
      </c>
      <c r="E99" s="32">
        <f t="shared" ref="E99:E102" si="46">IF(ISNUMBER(D99), (D99 - $B99) / $B99, "")</f>
        <v>-6.25E-2</v>
      </c>
      <c r="F99" s="18">
        <f>IF(ISNUMBER(D99), $B118 * E99, "")</f>
        <v>-9375</v>
      </c>
      <c r="G99" s="31">
        <v>121</v>
      </c>
      <c r="H99" s="32">
        <f t="shared" ref="H99:H102" si="47">IF(ISNUMBER(G99), (G99 - $B99) / $B99, "")</f>
        <v>-5.46875E-2</v>
      </c>
      <c r="I99" s="97">
        <f>IF(ISNUMBER(G99), $B118 * H99, "")</f>
        <v>-8203.125</v>
      </c>
      <c r="J99" s="15">
        <v>126</v>
      </c>
      <c r="K99" s="32">
        <f t="shared" ref="K99:K102" si="48">IF(ISNUMBER(J99), (J99 - $B99) / $B99, "")</f>
        <v>-1.5625E-2</v>
      </c>
      <c r="L99" s="18">
        <f>IF(ISNUMBER(J99), $B118 * K99, "")</f>
        <v>-2343.75</v>
      </c>
      <c r="M99" s="31">
        <v>128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62"/>
      <c r="R99" s="262"/>
      <c r="S99" s="262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>
        <v>38220</v>
      </c>
      <c r="E100" s="32">
        <f t="shared" si="46"/>
        <v>-0.10176263219741481</v>
      </c>
      <c r="F100" s="18">
        <f>IF(ISNUMBER(D100), $B118 * E100, "")</f>
        <v>-15264.394829612222</v>
      </c>
      <c r="G100" s="31">
        <v>38970</v>
      </c>
      <c r="H100" s="32">
        <f t="shared" si="47"/>
        <v>-8.4136310223266744E-2</v>
      </c>
      <c r="I100" s="97">
        <f>IF(ISNUMBER(G100), $B118 * H100, "")</f>
        <v>-12620.446533490012</v>
      </c>
      <c r="J100" s="15">
        <v>42270</v>
      </c>
      <c r="K100" s="32">
        <f t="shared" si="48"/>
        <v>-6.5804935370152758E-3</v>
      </c>
      <c r="L100" s="18">
        <f>IF(ISNUMBER(J100), $B118 * K100, "")</f>
        <v>-987.07403055229133</v>
      </c>
      <c r="M100" s="31">
        <v>40140</v>
      </c>
      <c r="N100" s="32">
        <f t="shared" si="49"/>
        <v>-5.6639247943595768E-2</v>
      </c>
      <c r="O100" s="18">
        <f>IF(ISNUMBER(M100), $B118 * N100, "")</f>
        <v>-8495.8871915393647</v>
      </c>
      <c r="Q100" s="267"/>
      <c r="R100" s="267"/>
      <c r="S100" s="267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>
        <v>4867000</v>
      </c>
      <c r="E101" s="32">
        <f t="shared" si="46"/>
        <v>-4.8670836591086786E-2</v>
      </c>
      <c r="F101" s="18">
        <f>IF(ISNUMBER(D101), $B118 * E101, "")</f>
        <v>-7300.6254886630177</v>
      </c>
      <c r="G101" s="31">
        <v>4987000</v>
      </c>
      <c r="H101" s="32">
        <f t="shared" si="47"/>
        <v>-2.5215011727912431E-2</v>
      </c>
      <c r="I101" s="97">
        <f>IF(ISNUMBER(G101), $B118 * H101, "")</f>
        <v>-3782.2517591868645</v>
      </c>
      <c r="J101" s="15">
        <v>4938000</v>
      </c>
      <c r="K101" s="32">
        <f t="shared" si="48"/>
        <v>-3.4792806880375296E-2</v>
      </c>
      <c r="L101" s="18">
        <f>IF(ISNUMBER(J101), $B118 * K101, "")</f>
        <v>-5218.9210320562943</v>
      </c>
      <c r="M101" s="31">
        <v>4922000</v>
      </c>
      <c r="N101" s="32">
        <f t="shared" si="49"/>
        <v>-3.7920250195465209E-2</v>
      </c>
      <c r="O101" s="18">
        <f>IF(ISNUMBER(M101), $B118 * N101, "")</f>
        <v>-5688.0375293197812</v>
      </c>
      <c r="Q101" s="267"/>
      <c r="R101" s="267"/>
      <c r="S101" s="267"/>
    </row>
    <row r="102" spans="1:19" ht="17.25" thickBot="1">
      <c r="A102" s="126" t="s">
        <v>168</v>
      </c>
      <c r="B102" s="127">
        <v>255</v>
      </c>
      <c r="C102" s="74">
        <v>6.25E-2</v>
      </c>
      <c r="D102" s="20">
        <v>221</v>
      </c>
      <c r="E102" s="21">
        <f t="shared" si="46"/>
        <v>-0.13333333333333333</v>
      </c>
      <c r="F102" s="22">
        <f>IF(ISNUMBER(D102), $B118 * E102, "")</f>
        <v>-20000</v>
      </c>
      <c r="G102" s="30">
        <v>227</v>
      </c>
      <c r="H102" s="21">
        <f t="shared" si="47"/>
        <v>-0.10980392156862745</v>
      </c>
      <c r="I102" s="101">
        <f>IF(ISNUMBER(G102), $B118 * H102, "")</f>
        <v>-16470.588235294119</v>
      </c>
      <c r="J102" s="20">
        <v>225</v>
      </c>
      <c r="K102" s="21">
        <f t="shared" si="48"/>
        <v>-0.11764705882352941</v>
      </c>
      <c r="L102" s="22">
        <f>IF(ISNUMBER(J102), $B118 * K102, "")</f>
        <v>-17647.058823529413</v>
      </c>
      <c r="M102" s="30">
        <v>226</v>
      </c>
      <c r="N102" s="21">
        <f t="shared" si="49"/>
        <v>-0.11372549019607843</v>
      </c>
      <c r="O102" s="22">
        <f>IF(ISNUMBER(M102), $B118 * N102, "")</f>
        <v>-17058.823529411766</v>
      </c>
      <c r="Q102" s="267"/>
      <c r="R102" s="267"/>
      <c r="S102" s="267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>
        <v>7045</v>
      </c>
      <c r="E103" s="103">
        <f>IF(ISNUMBER(D103), (D103 - $B103) / $B103, "")</f>
        <v>-0.11439346323067254</v>
      </c>
      <c r="F103" s="104">
        <f>IF(ISNUMBER(D103), $B118 * E103, "")</f>
        <v>-17159.019484600882</v>
      </c>
      <c r="G103" s="105">
        <v>7285</v>
      </c>
      <c r="H103" s="103">
        <f>IF(ISNUMBER(G103), (G103 - $B103) / $B103, "")</f>
        <v>-8.4223758642363297E-2</v>
      </c>
      <c r="I103" s="106">
        <f>IF(ISNUMBER(G103), $B118 * H103, "")</f>
        <v>-12633.563796354494</v>
      </c>
      <c r="J103" s="102">
        <v>7500</v>
      </c>
      <c r="K103" s="103">
        <f>IF(ISNUMBER(J103), (J103 - $B103) / $B103, "")</f>
        <v>-5.7196731615336269E-2</v>
      </c>
      <c r="L103" s="104">
        <f>IF(ISNUMBER(J103), $B118 * K103, "")</f>
        <v>-8579.5097423004408</v>
      </c>
      <c r="M103" s="105">
        <v>7255</v>
      </c>
      <c r="N103" s="103">
        <f>IF(ISNUMBER(M103), (M103 - $B103) / $B103, "")</f>
        <v>-8.7994971715901954E-2</v>
      </c>
      <c r="O103" s="104">
        <f>IF(ISNUMBER(M103), $B118 * N103, "")</f>
        <v>-13199.245757385293</v>
      </c>
      <c r="Q103" s="267"/>
      <c r="R103" s="267"/>
      <c r="S103" s="267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>
        <v>10080</v>
      </c>
      <c r="E104" s="32">
        <f t="shared" ref="E104:E107" si="50">IF(ISNUMBER(D104), (D104 - $B104) / $B104, "")</f>
        <v>-4.9056603773584909E-2</v>
      </c>
      <c r="F104" s="18">
        <f>IF(ISNUMBER(D104), $B118 * E104, "")</f>
        <v>-7358.4905660377362</v>
      </c>
      <c r="G104" s="31">
        <v>10210</v>
      </c>
      <c r="H104" s="32">
        <f t="shared" ref="H104:H107" si="51">IF(ISNUMBER(G104), (G104 - $B104) / $B104, "")</f>
        <v>-3.6792452830188678E-2</v>
      </c>
      <c r="I104" s="97">
        <f>IF(ISNUMBER(G104), $B118 * H104, "")</f>
        <v>-5518.867924528302</v>
      </c>
      <c r="J104" s="15">
        <v>10420</v>
      </c>
      <c r="K104" s="32">
        <f t="shared" ref="K104:K107" si="52">IF(ISNUMBER(J104), (J104 - $B104) / $B104, "")</f>
        <v>-1.6981132075471698E-2</v>
      </c>
      <c r="L104" s="18">
        <f>IF(ISNUMBER(J104), $B118 * K104, "")</f>
        <v>-2547.1698113207549</v>
      </c>
      <c r="M104" s="31">
        <v>10340</v>
      </c>
      <c r="N104" s="32">
        <f t="shared" ref="N104:N107" si="53">IF(ISNUMBER(M104), (M104 - $B104) / $B104, "")</f>
        <v>-2.4528301886792454E-2</v>
      </c>
      <c r="O104" s="18">
        <f>IF(ISNUMBER(M104), $B118 * N104, "")</f>
        <v>-3679.2452830188681</v>
      </c>
      <c r="Q104" s="267"/>
      <c r="R104" s="267"/>
      <c r="S104" s="267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>
        <v>4865</v>
      </c>
      <c r="E105" s="32">
        <f t="shared" si="50"/>
        <v>-9.3196644920782848E-2</v>
      </c>
      <c r="F105" s="18">
        <f>IF(ISNUMBER(D105), $B118 * E105, "")</f>
        <v>-13979.496738117427</v>
      </c>
      <c r="G105" s="31">
        <v>5040</v>
      </c>
      <c r="H105" s="32">
        <f t="shared" si="51"/>
        <v>-6.0577819198508853E-2</v>
      </c>
      <c r="I105" s="97">
        <f>IF(ISNUMBER(G105), $B118 * H105, "")</f>
        <v>-9086.672879776328</v>
      </c>
      <c r="J105" s="15">
        <v>5055</v>
      </c>
      <c r="K105" s="32">
        <f t="shared" si="52"/>
        <v>-5.778191985088537E-2</v>
      </c>
      <c r="L105" s="18">
        <f>IF(ISNUMBER(J105), $B118 * K105, "")</f>
        <v>-8667.2879776328064</v>
      </c>
      <c r="M105" s="31">
        <v>5080</v>
      </c>
      <c r="N105" s="32">
        <f t="shared" si="53"/>
        <v>-5.3122087604846227E-2</v>
      </c>
      <c r="O105" s="18">
        <f>IF(ISNUMBER(M105), $B118 * N105, "")</f>
        <v>-7968.3131407269339</v>
      </c>
      <c r="Q105" s="267"/>
      <c r="R105" s="267"/>
      <c r="S105" s="267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>
        <v>17.3</v>
      </c>
      <c r="E106" s="32">
        <f t="shared" si="50"/>
        <v>-4.9450549450549372E-2</v>
      </c>
      <c r="F106" s="18">
        <f>IF(ISNUMBER(D106), $B118 * E106, "")</f>
        <v>-7417.5824175824055</v>
      </c>
      <c r="G106" s="31">
        <v>17.8</v>
      </c>
      <c r="H106" s="32">
        <f t="shared" si="51"/>
        <v>-2.19780219780219E-2</v>
      </c>
      <c r="I106" s="97">
        <f>IF(ISNUMBER(G106), $B118 * H106, "")</f>
        <v>-3296.7032967032851</v>
      </c>
      <c r="J106" s="15">
        <v>18</v>
      </c>
      <c r="K106" s="32">
        <f t="shared" si="52"/>
        <v>-1.098901098901095E-2</v>
      </c>
      <c r="L106" s="18">
        <f>IF(ISNUMBER(J106), $B118 * K106, "")</f>
        <v>-1648.3516483516426</v>
      </c>
      <c r="M106" s="31">
        <v>18</v>
      </c>
      <c r="N106" s="32">
        <f t="shared" si="53"/>
        <v>-1.098901098901095E-2</v>
      </c>
      <c r="O106" s="18">
        <f>IF(ISNUMBER(M106), $B118 * N106, "")</f>
        <v>-1648.3516483516426</v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>
        <v>509</v>
      </c>
      <c r="E107" s="25">
        <f t="shared" si="50"/>
        <v>-0.10858143607705779</v>
      </c>
      <c r="F107" s="100">
        <f>IF(ISNUMBER(D107), $B118 * E107, "")</f>
        <v>-16287.215411558669</v>
      </c>
      <c r="G107" s="98">
        <v>519</v>
      </c>
      <c r="H107" s="25">
        <f t="shared" si="51"/>
        <v>-9.106830122591944E-2</v>
      </c>
      <c r="I107" s="99">
        <f>IF(ISNUMBER(G107), $B118 * H107, "")</f>
        <v>-13660.245183887917</v>
      </c>
      <c r="J107" s="24">
        <v>525</v>
      </c>
      <c r="K107" s="25">
        <f t="shared" si="52"/>
        <v>-8.0560420315236428E-2</v>
      </c>
      <c r="L107" s="100">
        <f>IF(ISNUMBER(J107), $B118 * K107, "")</f>
        <v>-12084.063047285465</v>
      </c>
      <c r="M107" s="98">
        <v>521</v>
      </c>
      <c r="N107" s="25">
        <f t="shared" si="53"/>
        <v>-8.7565674255691769E-2</v>
      </c>
      <c r="O107" s="100">
        <f>IF(ISNUMBER(M107), $B118 * N107, "")</f>
        <v>-13134.851138353766</v>
      </c>
      <c r="Q107" s="276"/>
      <c r="R107" s="277"/>
      <c r="S107" s="278"/>
    </row>
    <row r="108" spans="1:19">
      <c r="A108" s="122" t="s">
        <v>140</v>
      </c>
      <c r="B108" s="123">
        <v>4260</v>
      </c>
      <c r="C108" s="72">
        <v>3.1476997600000001E-2</v>
      </c>
      <c r="D108" s="13">
        <v>3945</v>
      </c>
      <c r="E108" s="14">
        <f>IF(ISNUMBER(D108), (D108 - $B108) / $B108, "")</f>
        <v>-7.3943661971830985E-2</v>
      </c>
      <c r="F108" s="16">
        <f>IF(ISNUMBER(D108), $B118 * E108, "")</f>
        <v>-11091.549295774648</v>
      </c>
      <c r="G108" s="29">
        <v>4045</v>
      </c>
      <c r="H108" s="14">
        <f>IF(ISNUMBER(G108), (G108 - $B108) / $B108, "")</f>
        <v>-5.0469483568075117E-2</v>
      </c>
      <c r="I108" s="96">
        <f>IF(ISNUMBER(G108), $B118 * H108, "")</f>
        <v>-7570.4225352112671</v>
      </c>
      <c r="J108" s="13">
        <v>4000</v>
      </c>
      <c r="K108" s="14">
        <f>IF(ISNUMBER(J108), (J108 - $B108) / $B108, "")</f>
        <v>-6.1032863849765258E-2</v>
      </c>
      <c r="L108" s="16">
        <f>IF(ISNUMBER(J108), $B118 * K108, "")</f>
        <v>-9154.929577464789</v>
      </c>
      <c r="M108" s="29">
        <v>3960</v>
      </c>
      <c r="N108" s="14">
        <f>IF(ISNUMBER(M108), (M108 - $B108) / $B108, "")</f>
        <v>-7.0422535211267609E-2</v>
      </c>
      <c r="O108" s="16">
        <f>IF(ISNUMBER(M108), $B118 * N108, "")</f>
        <v>-10563.380281690141</v>
      </c>
      <c r="Q108" s="279"/>
      <c r="R108" s="280"/>
      <c r="S108" s="281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>
        <v>419700</v>
      </c>
      <c r="E109" s="32">
        <f t="shared" ref="E109:E112" si="54">IF(ISNUMBER(D109), (D109 - $B109) / $B109, "")</f>
        <v>-7.3918799646954983E-2</v>
      </c>
      <c r="F109" s="18">
        <f>IF(ISNUMBER(D109), $B118 * E109, "")</f>
        <v>-11087.819947043248</v>
      </c>
      <c r="G109" s="31">
        <v>428600</v>
      </c>
      <c r="H109" s="32">
        <f t="shared" ref="H109:H112" si="55">IF(ISNUMBER(G109), (G109 - $B109) / $B109, "")</f>
        <v>-5.4280670785525155E-2</v>
      </c>
      <c r="I109" s="97">
        <f>IF(ISNUMBER(G109), $B118 * H109, "")</f>
        <v>-8142.1006178287735</v>
      </c>
      <c r="J109" s="15">
        <v>419950</v>
      </c>
      <c r="K109" s="32">
        <f t="shared" ref="K109:K112" si="56">IF(ISNUMBER(J109), (J109 - $B109) / $B109, "")</f>
        <v>-7.3367166813768758E-2</v>
      </c>
      <c r="L109" s="18">
        <f>IF(ISNUMBER(J109), $B118 * K109, "")</f>
        <v>-11005.075022065314</v>
      </c>
      <c r="M109" s="31">
        <v>443300</v>
      </c>
      <c r="N109" s="32">
        <f t="shared" ref="N109:N112" si="57">IF(ISNUMBER(M109), (M109 - $B109) / $B109, "")</f>
        <v>-2.1844660194174758E-2</v>
      </c>
      <c r="O109" s="18">
        <f>IF(ISNUMBER(M109), $B118 * N109, "")</f>
        <v>-3276.6990291262136</v>
      </c>
      <c r="Q109" s="282"/>
      <c r="R109" s="283"/>
      <c r="S109" s="284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>
        <v>133100</v>
      </c>
      <c r="E110" s="32">
        <f t="shared" si="54"/>
        <v>-0.1079088471849866</v>
      </c>
      <c r="F110" s="18">
        <f>IF(ISNUMBER(D110), $B118 * E110, "")</f>
        <v>-16186.32707774799</v>
      </c>
      <c r="G110" s="31">
        <v>133950</v>
      </c>
      <c r="H110" s="32">
        <f t="shared" si="55"/>
        <v>-0.10221179624664879</v>
      </c>
      <c r="I110" s="97">
        <f>IF(ISNUMBER(G110), $B118 * H110, "")</f>
        <v>-15331.76943699732</v>
      </c>
      <c r="J110" s="15">
        <v>131700</v>
      </c>
      <c r="K110" s="32">
        <f t="shared" si="56"/>
        <v>-0.11729222520107238</v>
      </c>
      <c r="L110" s="18">
        <f>IF(ISNUMBER(J110), $B118 * K110, "")</f>
        <v>-17593.833780160858</v>
      </c>
      <c r="M110" s="31">
        <v>131850</v>
      </c>
      <c r="N110" s="32">
        <f t="shared" si="57"/>
        <v>-0.11628686327077747</v>
      </c>
      <c r="O110" s="18">
        <f>IF(ISNUMBER(M110), $B118 * N110, "")</f>
        <v>-17443.02949061662</v>
      </c>
      <c r="Q110" s="267"/>
      <c r="R110" s="267"/>
      <c r="S110" s="267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>
        <v>4690</v>
      </c>
      <c r="E111" s="32">
        <f t="shared" si="54"/>
        <v>-6.2E-2</v>
      </c>
      <c r="F111" s="18">
        <f>IF(ISNUMBER(D111), $B118 * E111, "")</f>
        <v>-9300</v>
      </c>
      <c r="G111" s="31">
        <v>4810</v>
      </c>
      <c r="H111" s="32">
        <f t="shared" si="55"/>
        <v>-3.7999999999999999E-2</v>
      </c>
      <c r="I111" s="97">
        <f>IF(ISNUMBER(G111), $B118 * H111, "")</f>
        <v>-5700</v>
      </c>
      <c r="J111" s="15">
        <v>4745</v>
      </c>
      <c r="K111" s="32">
        <f t="shared" si="56"/>
        <v>-5.0999999999999997E-2</v>
      </c>
      <c r="L111" s="18">
        <f>IF(ISNUMBER(J111), $B118 * K111, "")</f>
        <v>-7649.9999999999991</v>
      </c>
      <c r="M111" s="31">
        <v>4735</v>
      </c>
      <c r="N111" s="32">
        <f t="shared" si="57"/>
        <v>-5.2999999999999999E-2</v>
      </c>
      <c r="O111" s="18">
        <f>IF(ISNUMBER(M111), $B118 * N111, "")</f>
        <v>-7950</v>
      </c>
      <c r="Q111" s="262"/>
      <c r="R111" s="262"/>
      <c r="S111" s="262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>
        <v>2765</v>
      </c>
      <c r="E112" s="21">
        <f t="shared" si="54"/>
        <v>-0.1646525679758308</v>
      </c>
      <c r="F112" s="22">
        <f>IF(ISNUMBER(D112), $B118 * E112, "")</f>
        <v>-24697.88519637462</v>
      </c>
      <c r="G112" s="30">
        <v>2930</v>
      </c>
      <c r="H112" s="21">
        <f t="shared" si="55"/>
        <v>-0.11480362537764351</v>
      </c>
      <c r="I112" s="101">
        <f>IF(ISNUMBER(G112), $B118 * H112, "")</f>
        <v>-17220.543806646525</v>
      </c>
      <c r="J112" s="20">
        <v>2880</v>
      </c>
      <c r="K112" s="21">
        <f t="shared" si="56"/>
        <v>-0.12990936555891239</v>
      </c>
      <c r="L112" s="22">
        <f>IF(ISNUMBER(J112), $B118 * K112, "")</f>
        <v>-19486.404833836859</v>
      </c>
      <c r="M112" s="30">
        <v>2935</v>
      </c>
      <c r="N112" s="21">
        <f t="shared" si="57"/>
        <v>-0.11329305135951662</v>
      </c>
      <c r="O112" s="22">
        <f>IF(ISNUMBER(M112), $B118 * N112, "")</f>
        <v>-16993.957703927492</v>
      </c>
      <c r="Q112" s="262"/>
      <c r="R112" s="262"/>
      <c r="S112" s="262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>
        <v>1685</v>
      </c>
      <c r="E113" s="103">
        <f>IF(ISNUMBER(D113), (D113 - $B113) / $B113, "")</f>
        <v>-4.5325779036827198E-2</v>
      </c>
      <c r="F113" s="104">
        <f>IF(ISNUMBER(D113), $B118 * E113, "")</f>
        <v>-6798.8668555240793</v>
      </c>
      <c r="G113" s="105">
        <v>1685</v>
      </c>
      <c r="H113" s="103">
        <f>IF(ISNUMBER(G113), (G113 - $B113) / $B113, "")</f>
        <v>-4.5325779036827198E-2</v>
      </c>
      <c r="I113" s="106">
        <f>IF(ISNUMBER(G113), $B118 * H113, "")</f>
        <v>-6798.8668555240793</v>
      </c>
      <c r="J113" s="102">
        <v>1655</v>
      </c>
      <c r="K113" s="103">
        <f>IF(ISNUMBER(J113), (J113 - $B113) / $B113, "")</f>
        <v>-6.2322946175637391E-2</v>
      </c>
      <c r="L113" s="104">
        <f>IF(ISNUMBER(J113), $B118 * K113, "")</f>
        <v>-9348.4419263456093</v>
      </c>
      <c r="M113" s="105">
        <v>1640</v>
      </c>
      <c r="N113" s="103">
        <f>IF(ISNUMBER(M113), (M113 - $B113) / $B113, "")</f>
        <v>-7.0821529745042494E-2</v>
      </c>
      <c r="O113" s="104">
        <f>IF(ISNUMBER(M113), $B118 * N113, "")</f>
        <v>-10623.229461756375</v>
      </c>
      <c r="Q113" s="267"/>
      <c r="R113" s="267"/>
      <c r="S113" s="267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>
        <v>55000</v>
      </c>
      <c r="E114" s="32">
        <f t="shared" ref="E114:E117" si="58">IF(ISNUMBER(D114), (D114 - $B114) / $B114, "")</f>
        <v>-0.1103202846975089</v>
      </c>
      <c r="F114" s="18">
        <f>IF(ISNUMBER(D114), $B118 * E114, "")</f>
        <v>-16548.042704626336</v>
      </c>
      <c r="G114" s="31">
        <v>55780</v>
      </c>
      <c r="H114" s="32">
        <f t="shared" ref="H114:H117" si="59">IF(ISNUMBER(G114), (G114 - $B114) / $B114, "")</f>
        <v>-9.7703008735037206E-2</v>
      </c>
      <c r="I114" s="97">
        <f>IF(ISNUMBER(G114), $B118 * H114, "")</f>
        <v>-14655.451310255581</v>
      </c>
      <c r="J114" s="15">
        <v>54700</v>
      </c>
      <c r="K114" s="32">
        <f t="shared" ref="K114:K117" si="60">IF(ISNUMBER(J114), (J114 - $B114) / $B114, "")</f>
        <v>-0.1151730831446134</v>
      </c>
      <c r="L114" s="18">
        <f>IF(ISNUMBER(J114), $B118 * K114, "")</f>
        <v>-17275.962471692012</v>
      </c>
      <c r="M114" s="31">
        <v>56480</v>
      </c>
      <c r="N114" s="32">
        <f t="shared" ref="N114:N117" si="61">IF(ISNUMBER(M114), (M114 - $B114) / $B114, "")</f>
        <v>-8.637981235846004E-2</v>
      </c>
      <c r="O114" s="18">
        <f>IF(ISNUMBER(M114), $B118 * N114, "")</f>
        <v>-12956.971853769006</v>
      </c>
      <c r="Q114" s="267"/>
      <c r="R114" s="267"/>
      <c r="S114" s="267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>
        <v>443000</v>
      </c>
      <c r="E115" s="32">
        <f t="shared" si="58"/>
        <v>-8.376421923474664E-2</v>
      </c>
      <c r="F115" s="18">
        <f>IF(ISNUMBER(D115), $B118 * E115, "")</f>
        <v>-12564.632885211997</v>
      </c>
      <c r="G115" s="31">
        <v>448500</v>
      </c>
      <c r="H115" s="32">
        <f t="shared" si="59"/>
        <v>-7.2388831437435366E-2</v>
      </c>
      <c r="I115" s="97">
        <f>IF(ISNUMBER(G115), $B118 * H115, "")</f>
        <v>-10858.324715615305</v>
      </c>
      <c r="J115" s="15">
        <v>439600</v>
      </c>
      <c r="K115" s="32">
        <f t="shared" si="60"/>
        <v>-9.0796277145811788E-2</v>
      </c>
      <c r="L115" s="18">
        <f>IF(ISNUMBER(J115), $B118 * K115, "")</f>
        <v>-13619.441571871768</v>
      </c>
      <c r="M115" s="31">
        <v>447150</v>
      </c>
      <c r="N115" s="32">
        <f t="shared" si="61"/>
        <v>-7.5180972078593589E-2</v>
      </c>
      <c r="O115" s="18">
        <f>IF(ISNUMBER(M115), $B118 * N115, "")</f>
        <v>-11277.145811789038</v>
      </c>
      <c r="Q115" s="267"/>
      <c r="R115" s="267"/>
      <c r="S115" s="267"/>
    </row>
    <row r="116" spans="1:19">
      <c r="A116" s="124" t="s">
        <v>272</v>
      </c>
      <c r="B116" s="125">
        <v>2840</v>
      </c>
      <c r="C116" s="73">
        <v>1.06761566E-2</v>
      </c>
      <c r="D116" s="15">
        <v>2445</v>
      </c>
      <c r="E116" s="32">
        <f t="shared" si="58"/>
        <v>-0.13908450704225353</v>
      </c>
      <c r="F116" s="18">
        <f>IF(ISNUMBER(D116), $B118 * E116, "")</f>
        <v>-20862.67605633803</v>
      </c>
      <c r="G116" s="31">
        <v>2530</v>
      </c>
      <c r="H116" s="32">
        <f t="shared" si="59"/>
        <v>-0.10915492957746478</v>
      </c>
      <c r="I116" s="97">
        <f>IF(ISNUMBER(G116), $B118 * H116, "")</f>
        <v>-16373.239436619717</v>
      </c>
      <c r="J116" s="15">
        <v>2520</v>
      </c>
      <c r="K116" s="32">
        <f t="shared" si="60"/>
        <v>-0.11267605633802817</v>
      </c>
      <c r="L116" s="18">
        <f>IF(ISNUMBER(J116), $B118 * K116, "")</f>
        <v>-16901.408450704224</v>
      </c>
      <c r="M116" s="31">
        <v>2485</v>
      </c>
      <c r="N116" s="32">
        <f t="shared" si="61"/>
        <v>-0.125</v>
      </c>
      <c r="O116" s="18">
        <f>IF(ISNUMBER(M116), $B118 * N116, "")</f>
        <v>-18750</v>
      </c>
      <c r="Q116" s="289"/>
      <c r="R116" s="290"/>
      <c r="S116" s="291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>
        <v>477</v>
      </c>
      <c r="E117" s="25">
        <f t="shared" si="58"/>
        <v>-6.1023622047244097E-2</v>
      </c>
      <c r="F117" s="100">
        <f>IF(ISNUMBER(D117), $B118 * E117, "")</f>
        <v>-9153.5433070866147</v>
      </c>
      <c r="G117" s="98">
        <v>508</v>
      </c>
      <c r="H117" s="25">
        <f t="shared" si="59"/>
        <v>0</v>
      </c>
      <c r="I117" s="99">
        <f>IF(ISNUMBER(G117), $B118 * H117, "")</f>
        <v>0</v>
      </c>
      <c r="J117" s="24">
        <v>499</v>
      </c>
      <c r="K117" s="25">
        <f t="shared" si="60"/>
        <v>-1.7716535433070866E-2</v>
      </c>
      <c r="L117" s="100">
        <f>IF(ISNUMBER(J117), $B118 * K117, "")</f>
        <v>-2657.48031496063</v>
      </c>
      <c r="M117" s="98">
        <v>482</v>
      </c>
      <c r="N117" s="25">
        <f t="shared" si="61"/>
        <v>-5.1181102362204724E-2</v>
      </c>
      <c r="O117" s="100">
        <f>IF(ISNUMBER(M117), $B118 * N117, "")</f>
        <v>-7677.1653543307084</v>
      </c>
      <c r="Q117" s="292"/>
      <c r="R117" s="293"/>
      <c r="S117" s="294"/>
    </row>
    <row r="118" spans="1:19" ht="17.25" thickBot="1">
      <c r="A118" s="131" t="s">
        <v>301</v>
      </c>
      <c r="B118" s="300">
        <f>$B$37</f>
        <v>150000</v>
      </c>
      <c r="C118" s="301"/>
      <c r="D118" s="26" t="s">
        <v>302</v>
      </c>
      <c r="E118" s="27">
        <f>IF(COUNT(E98:E117), SUM(E98:E117) / COUNT(E98:E117), 0)</f>
        <v>-8.9699944976188856E-2</v>
      </c>
      <c r="F118" s="28">
        <f>SUM(F98:F117)</f>
        <v>-269099.83492856659</v>
      </c>
      <c r="G118" s="26" t="s">
        <v>302</v>
      </c>
      <c r="H118" s="27">
        <f>IF(COUNT(H98:H117), SUM(H98:H117) / COUNT(H98:H117), 0)</f>
        <v>-6.8085505552417741E-2</v>
      </c>
      <c r="I118" s="28">
        <f>SUM(I98:I117)</f>
        <v>-204256.51665725323</v>
      </c>
      <c r="J118" s="26" t="s">
        <v>302</v>
      </c>
      <c r="K118" s="27">
        <f>IF(COUNT(K98:K117), SUM(K98:K117) / COUNT(K98:K117), 0)</f>
        <v>-6.7138721354043723E-2</v>
      </c>
      <c r="L118" s="28">
        <f>SUM(L98:L117)</f>
        <v>-201416.16406213114</v>
      </c>
      <c r="M118" s="26" t="s">
        <v>302</v>
      </c>
      <c r="N118" s="27">
        <f>IF(COUNT(N98:N117), SUM(N98:N117) / COUNT(N98:N117), 0)</f>
        <v>-6.7628111401704341E-2</v>
      </c>
      <c r="O118" s="28">
        <f>SUM(O98:O117)</f>
        <v>-202884.334205113</v>
      </c>
      <c r="Q118" s="295"/>
      <c r="R118" s="296"/>
      <c r="S118" s="297"/>
    </row>
    <row r="120" spans="1:19" ht="17.25" thickBot="1"/>
    <row r="121" spans="1:19" ht="17.25" thickBot="1">
      <c r="A121" s="241" t="s">
        <v>288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186" t="s">
        <v>298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62017000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-1.6680144000000001E-2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2021-05-11(화) 오전 00:00</v>
      </c>
      <c r="C123" s="305"/>
      <c r="D123" s="264" t="str">
        <f>TEXT($G$1, "[$-ko-KR]yyyy-mm-dd(ddd) ") &amp; "오후 14:00"</f>
        <v>2021-05-11(화) 오후 14:00</v>
      </c>
      <c r="E123" s="265"/>
      <c r="F123" s="266"/>
      <c r="G123" s="264" t="str">
        <f>TEXT($G$1, "[$-ko-KR]yyyy-mm-dd(ddd) ") &amp; "오후 19:00"</f>
        <v>2021-05-11(화) 오후 19:00</v>
      </c>
      <c r="H123" s="265"/>
      <c r="I123" s="266"/>
      <c r="J123" s="264" t="str">
        <f>TEXT($G$1, "[$-ko-KR]yyyy-mm-dd(ddd) ") &amp; "오후 21:00"</f>
        <v>2021-05-11(화) 오후 21:00</v>
      </c>
      <c r="K123" s="265"/>
      <c r="L123" s="266"/>
      <c r="M123" s="264" t="str">
        <f>TEXT($G$1+1, "[$-ko-KR]yyyy-mm-dd(ddd) ") &amp; "오전 00:00"</f>
        <v>2021-05-12(수) 오전 00:00</v>
      </c>
      <c r="N123" s="265"/>
      <c r="O123" s="266"/>
      <c r="Q123" s="262"/>
      <c r="R123" s="262"/>
      <c r="S123" s="262"/>
    </row>
    <row r="124" spans="1:19" ht="17.25" thickBot="1">
      <c r="A124" s="30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7"/>
      <c r="R124" s="267"/>
      <c r="S124" s="267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>
        <v>17.3</v>
      </c>
      <c r="E125" s="14">
        <f>IF(ISNUMBER(D125), (D125 - $B125) / $B125, "")</f>
        <v>-4.9450549450549372E-2</v>
      </c>
      <c r="F125" s="16">
        <f>IF(ISNUMBER(D125), $B145 * E125, "")</f>
        <v>-7417.5824175824055</v>
      </c>
      <c r="G125" s="29">
        <v>17.8</v>
      </c>
      <c r="H125" s="14">
        <f>IF(ISNUMBER(G125), (G125 - $B125) / $B125, "")</f>
        <v>-2.19780219780219E-2</v>
      </c>
      <c r="I125" s="96">
        <f>IF(ISNUMBER(G125), $B145 * H125, "")</f>
        <v>-3296.7032967032851</v>
      </c>
      <c r="J125" s="13">
        <v>18</v>
      </c>
      <c r="K125" s="14">
        <f>IF(ISNUMBER(J125), (J125 - $B125) / $B125, "")</f>
        <v>-1.098901098901095E-2</v>
      </c>
      <c r="L125" s="16">
        <f>IF(ISNUMBER(J125), $B145 * K125, "")</f>
        <v>-1648.3516483516426</v>
      </c>
      <c r="M125" s="29">
        <v>18</v>
      </c>
      <c r="N125" s="14">
        <f>IF(ISNUMBER(M125), (M125 - $B125) / $B125, "")</f>
        <v>-1.098901098901095E-2</v>
      </c>
      <c r="O125" s="16">
        <f>IF(ISNUMBER(M125), $B145 * N125, "")</f>
        <v>-1648.3516483516426</v>
      </c>
      <c r="Q125" s="262"/>
      <c r="R125" s="262"/>
      <c r="S125" s="262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>
        <v>17.2</v>
      </c>
      <c r="E126" s="32">
        <f t="shared" ref="E126:E129" si="62">IF(ISNUMBER(D126), (D126 - $B126) / $B126, "")</f>
        <v>-3.9106145251396614E-2</v>
      </c>
      <c r="F126" s="18">
        <f>IF(ISNUMBER(D126), $B145 * E126, "")</f>
        <v>-5865.9217877094925</v>
      </c>
      <c r="G126" s="31">
        <v>18</v>
      </c>
      <c r="H126" s="32">
        <f t="shared" ref="H126:H129" si="63">IF(ISNUMBER(G126), (G126 - $B126) / $B126, "")</f>
        <v>5.5865921787710297E-3</v>
      </c>
      <c r="I126" s="97">
        <f>IF(ISNUMBER(G126), $B145 * H126, "")</f>
        <v>837.98882681565442</v>
      </c>
      <c r="J126" s="15">
        <v>18.3</v>
      </c>
      <c r="K126" s="32">
        <f t="shared" ref="K126:K129" si="64">IF(ISNUMBER(J126), (J126 - $B126) / $B126, "")</f>
        <v>2.2346368715083921E-2</v>
      </c>
      <c r="L126" s="18">
        <f>IF(ISNUMBER(J126), $B145 * K126, "")</f>
        <v>3351.9553072625881</v>
      </c>
      <c r="M126" s="31">
        <v>18.100000000000001</v>
      </c>
      <c r="N126" s="32">
        <f t="shared" ref="N126:N129" si="65">IF(ISNUMBER(M126), (M126 - $B126) / $B126, "")</f>
        <v>1.1173184357542059E-2</v>
      </c>
      <c r="O126" s="18">
        <f>IF(ISNUMBER(M126), $B145 * N126, "")</f>
        <v>1675.9776536313088</v>
      </c>
      <c r="Q126" s="262"/>
      <c r="R126" s="262"/>
      <c r="S126" s="262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>
        <v>22.7</v>
      </c>
      <c r="E127" s="32">
        <f t="shared" si="62"/>
        <v>-2.9914529914529885E-2</v>
      </c>
      <c r="F127" s="18">
        <f>IF(ISNUMBER(D127), $B145 * E127, "")</f>
        <v>-4487.1794871794827</v>
      </c>
      <c r="G127" s="31">
        <v>24</v>
      </c>
      <c r="H127" s="32">
        <f t="shared" si="63"/>
        <v>2.5641025641025703E-2</v>
      </c>
      <c r="I127" s="97">
        <f>IF(ISNUMBER(G127), $B145 * H127, "")</f>
        <v>3846.1538461538553</v>
      </c>
      <c r="J127" s="15">
        <v>24.4</v>
      </c>
      <c r="K127" s="32">
        <f t="shared" si="64"/>
        <v>4.2735042735042736E-2</v>
      </c>
      <c r="L127" s="18">
        <f>IF(ISNUMBER(J127), $B145 * K127, "")</f>
        <v>6410.2564102564102</v>
      </c>
      <c r="M127" s="31">
        <v>23.9</v>
      </c>
      <c r="N127" s="32">
        <f t="shared" si="65"/>
        <v>2.1367521367521368E-2</v>
      </c>
      <c r="O127" s="18">
        <f>IF(ISNUMBER(M127), $B145 * N127, "")</f>
        <v>3205.1282051282051</v>
      </c>
      <c r="Q127" s="267"/>
      <c r="R127" s="267"/>
      <c r="S127" s="267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>
        <v>18.5</v>
      </c>
      <c r="E128" s="32">
        <f t="shared" si="62"/>
        <v>-3.6458333333333301E-2</v>
      </c>
      <c r="F128" s="18">
        <f>IF(ISNUMBER(D128), $B145 * E128, "")</f>
        <v>-5468.7499999999955</v>
      </c>
      <c r="G128" s="31">
        <v>19.2</v>
      </c>
      <c r="H128" s="32">
        <f t="shared" si="63"/>
        <v>0</v>
      </c>
      <c r="I128" s="97">
        <f>IF(ISNUMBER(G128), $B145 * H128, "")</f>
        <v>0</v>
      </c>
      <c r="J128" s="15">
        <v>19.7</v>
      </c>
      <c r="K128" s="32">
        <f t="shared" si="64"/>
        <v>2.6041666666666668E-2</v>
      </c>
      <c r="L128" s="18">
        <f>IF(ISNUMBER(J128), $B145 * K128, "")</f>
        <v>3906.25</v>
      </c>
      <c r="M128" s="31">
        <v>19.3</v>
      </c>
      <c r="N128" s="32">
        <f t="shared" si="65"/>
        <v>5.2083333333334076E-3</v>
      </c>
      <c r="O128" s="18">
        <f>IF(ISNUMBER(M128), $B145 * N128, "")</f>
        <v>781.25000000001114</v>
      </c>
      <c r="Q128" s="267"/>
      <c r="R128" s="267"/>
      <c r="S128" s="267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>
        <v>69.900000000000006</v>
      </c>
      <c r="E129" s="21">
        <f t="shared" si="62"/>
        <v>-8.7467362924281838E-2</v>
      </c>
      <c r="F129" s="22">
        <f>IF(ISNUMBER(D129), $B145 * E129, "")</f>
        <v>-13120.104438642276</v>
      </c>
      <c r="G129" s="30">
        <v>71.5</v>
      </c>
      <c r="H129" s="21">
        <f t="shared" si="63"/>
        <v>-6.6579634464751888E-2</v>
      </c>
      <c r="I129" s="101">
        <f>IF(ISNUMBER(G129), $B145 * H129, "")</f>
        <v>-9986.9451697127824</v>
      </c>
      <c r="J129" s="20">
        <v>72.3</v>
      </c>
      <c r="K129" s="21">
        <f t="shared" si="64"/>
        <v>-5.6135770234986913E-2</v>
      </c>
      <c r="L129" s="22">
        <f>IF(ISNUMBER(J129), $B145 * K129, "")</f>
        <v>-8420.3655352480364</v>
      </c>
      <c r="M129" s="30">
        <v>71.3</v>
      </c>
      <c r="N129" s="21">
        <f t="shared" si="65"/>
        <v>-6.9190600522193182E-2</v>
      </c>
      <c r="O129" s="22">
        <f>IF(ISNUMBER(M129), $B145 * N129, "")</f>
        <v>-10378.590078328978</v>
      </c>
      <c r="Q129" s="267"/>
      <c r="R129" s="267"/>
      <c r="S129" s="267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>
        <v>24.9</v>
      </c>
      <c r="E130" s="103">
        <f>IF(ISNUMBER(D130), (D130 - $B130) / $B130, "")</f>
        <v>-6.0377358490566094E-2</v>
      </c>
      <c r="F130" s="104">
        <f>IF(ISNUMBER(D130), $B145 * E130, "")</f>
        <v>-9056.603773584915</v>
      </c>
      <c r="G130" s="105">
        <v>26.5</v>
      </c>
      <c r="H130" s="103">
        <f>IF(ISNUMBER(G130), (G130 - $B130) / $B130, "")</f>
        <v>0</v>
      </c>
      <c r="I130" s="106">
        <f>IF(ISNUMBER(G130), $B145 * H130, "")</f>
        <v>0</v>
      </c>
      <c r="J130" s="102">
        <v>26.7</v>
      </c>
      <c r="K130" s="103">
        <f>IF(ISNUMBER(J130), (J130 - $B130) / $B130, "")</f>
        <v>7.5471698113207279E-3</v>
      </c>
      <c r="L130" s="104">
        <f>IF(ISNUMBER(J130), $B145 * K130, "")</f>
        <v>1132.0754716981091</v>
      </c>
      <c r="M130" s="105">
        <v>26.8</v>
      </c>
      <c r="N130" s="103">
        <f>IF(ISNUMBER(M130), (M130 - $B130) / $B130, "")</f>
        <v>1.1320754716981159E-2</v>
      </c>
      <c r="O130" s="104">
        <f>IF(ISNUMBER(M130), $B145 * N130, "")</f>
        <v>1698.1132075471739</v>
      </c>
      <c r="Q130" s="267"/>
      <c r="R130" s="267"/>
      <c r="S130" s="267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>
        <v>52.7</v>
      </c>
      <c r="E131" s="32">
        <f t="shared" ref="E131:E134" si="66">IF(ISNUMBER(D131), (D131 - $B131) / $B131, "")</f>
        <v>-8.6655112651646438E-2</v>
      </c>
      <c r="F131" s="18">
        <f>IF(ISNUMBER(D131), $B145 * E131, "")</f>
        <v>-12998.266897746966</v>
      </c>
      <c r="G131" s="31">
        <v>61.5</v>
      </c>
      <c r="H131" s="32">
        <f t="shared" ref="H131:H134" si="67">IF(ISNUMBER(G131), (G131 - $B131) / $B131, "")</f>
        <v>6.5857885615251244E-2</v>
      </c>
      <c r="I131" s="97">
        <f>IF(ISNUMBER(G131), $B145 * H131, "")</f>
        <v>9878.6828422876861</v>
      </c>
      <c r="J131" s="15">
        <v>59.3</v>
      </c>
      <c r="K131" s="32">
        <f t="shared" ref="K131:K134" si="68">IF(ISNUMBER(J131), (J131 - $B131) / $B131, "")</f>
        <v>2.7729636048526764E-2</v>
      </c>
      <c r="L131" s="18">
        <f>IF(ISNUMBER(J131), $B145 * K131, "")</f>
        <v>4159.4454072790149</v>
      </c>
      <c r="M131" s="31">
        <v>57.7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67"/>
      <c r="R131" s="267"/>
      <c r="S131" s="267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>
        <v>75.7</v>
      </c>
      <c r="E132" s="32">
        <f t="shared" si="66"/>
        <v>-5.0188205771643665E-2</v>
      </c>
      <c r="F132" s="18">
        <f>IF(ISNUMBER(D132), $B145 * E132, "")</f>
        <v>-7528.2308657465501</v>
      </c>
      <c r="G132" s="31">
        <v>81.2</v>
      </c>
      <c r="H132" s="32">
        <f t="shared" si="67"/>
        <v>1.8820577164366373E-2</v>
      </c>
      <c r="I132" s="97">
        <f>IF(ISNUMBER(G132), $B145 * H132, "")</f>
        <v>2823.0865746549557</v>
      </c>
      <c r="J132" s="15">
        <v>85.5</v>
      </c>
      <c r="K132" s="32">
        <f t="shared" si="68"/>
        <v>7.2772898368883274E-2</v>
      </c>
      <c r="L132" s="18">
        <f>IF(ISNUMBER(J132), $B145 * K132, "")</f>
        <v>10915.934755332491</v>
      </c>
      <c r="M132" s="31">
        <v>88.5</v>
      </c>
      <c r="N132" s="32">
        <f t="shared" si="69"/>
        <v>0.11041405269761602</v>
      </c>
      <c r="O132" s="18">
        <f>IF(ISNUMBER(M132), $B145 * N132, "")</f>
        <v>16562.107904642402</v>
      </c>
      <c r="Q132" s="267"/>
      <c r="R132" s="267"/>
      <c r="S132" s="267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>
        <v>34.200000000000003</v>
      </c>
      <c r="E133" s="32">
        <f t="shared" si="66"/>
        <v>-6.811989100817438E-2</v>
      </c>
      <c r="F133" s="18">
        <f>IF(ISNUMBER(D133), $B145 * E133, "")</f>
        <v>-10217.983651226157</v>
      </c>
      <c r="G133" s="31">
        <v>36.9</v>
      </c>
      <c r="H133" s="32">
        <f t="shared" si="67"/>
        <v>5.4495912806538345E-3</v>
      </c>
      <c r="I133" s="97">
        <f>IF(ISNUMBER(G133), $B145 * H133, "")</f>
        <v>817.43869209807519</v>
      </c>
      <c r="J133" s="15">
        <v>35.9</v>
      </c>
      <c r="K133" s="32">
        <f t="shared" si="68"/>
        <v>-2.1798365122615918E-2</v>
      </c>
      <c r="L133" s="18">
        <f>IF(ISNUMBER(J133), $B145 * K133, "")</f>
        <v>-3269.7547683923876</v>
      </c>
      <c r="M133" s="31">
        <v>35.9</v>
      </c>
      <c r="N133" s="32">
        <f t="shared" si="69"/>
        <v>-2.1798365122615918E-2</v>
      </c>
      <c r="O133" s="18">
        <f>IF(ISNUMBER(M133), $B145 * N133, "")</f>
        <v>-3269.7547683923876</v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>
        <v>24.9</v>
      </c>
      <c r="E134" s="25">
        <f t="shared" si="66"/>
        <v>-5.3231939163498179E-2</v>
      </c>
      <c r="F134" s="100">
        <f>IF(ISNUMBER(D134), $B145 * E134, "")</f>
        <v>-7984.7908745247269</v>
      </c>
      <c r="G134" s="98">
        <v>26.3</v>
      </c>
      <c r="H134" s="25">
        <f t="shared" si="67"/>
        <v>0</v>
      </c>
      <c r="I134" s="99">
        <f>IF(ISNUMBER(G134), $B145 * H134, "")</f>
        <v>0</v>
      </c>
      <c r="J134" s="24">
        <v>26.4</v>
      </c>
      <c r="K134" s="25">
        <f t="shared" si="68"/>
        <v>3.8022813688212117E-3</v>
      </c>
      <c r="L134" s="100">
        <f>IF(ISNUMBER(J134), $B145 * K134, "")</f>
        <v>570.3422053231817</v>
      </c>
      <c r="M134" s="98">
        <v>26.3</v>
      </c>
      <c r="N134" s="25">
        <f t="shared" si="69"/>
        <v>0</v>
      </c>
      <c r="O134" s="100">
        <f>IF(ISNUMBER(M134), $B145 * N134, "")</f>
        <v>0</v>
      </c>
      <c r="Q134" s="276"/>
      <c r="R134" s="277"/>
      <c r="S134" s="278"/>
    </row>
    <row r="135" spans="1:19">
      <c r="A135" s="122" t="s">
        <v>186</v>
      </c>
      <c r="B135" s="123">
        <v>23.8</v>
      </c>
      <c r="C135" s="72">
        <v>-2.85714286E-2</v>
      </c>
      <c r="D135" s="13">
        <v>23.1</v>
      </c>
      <c r="E135" s="14">
        <f>IF(ISNUMBER(D135), (D135 - $B135) / $B135, "")</f>
        <v>-2.9411764705882321E-2</v>
      </c>
      <c r="F135" s="16">
        <f>IF(ISNUMBER(D135), $B145 * E135, "")</f>
        <v>-4411.7647058823486</v>
      </c>
      <c r="G135" s="29">
        <v>23.7</v>
      </c>
      <c r="H135" s="14">
        <f>IF(ISNUMBER(G135), (G135 - $B135) / $B135, "")</f>
        <v>-4.2016806722689672E-3</v>
      </c>
      <c r="I135" s="96">
        <f>IF(ISNUMBER(G135), $B145 * H135, "")</f>
        <v>-630.25210084034507</v>
      </c>
      <c r="J135" s="13">
        <v>24</v>
      </c>
      <c r="K135" s="14">
        <f>IF(ISNUMBER(J135), (J135 - $B135) / $B135, "")</f>
        <v>8.4033613445377853E-3</v>
      </c>
      <c r="L135" s="16">
        <f>IF(ISNUMBER(J135), $B145 * K135, "")</f>
        <v>1260.5042016806678</v>
      </c>
      <c r="M135" s="29">
        <v>23.8</v>
      </c>
      <c r="N135" s="14">
        <f>IF(ISNUMBER(M135), (M135 - $B135) / $B135, "")</f>
        <v>0</v>
      </c>
      <c r="O135" s="16">
        <f>IF(ISNUMBER(M135), $B145 * N135, "")</f>
        <v>0</v>
      </c>
      <c r="Q135" s="279"/>
      <c r="R135" s="280"/>
      <c r="S135" s="281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>
        <v>81.8</v>
      </c>
      <c r="E136" s="32">
        <f t="shared" ref="E136:E139" si="70">IF(ISNUMBER(D136), (D136 - $B136) / $B136, "")</f>
        <v>-5.9770114942528769E-2</v>
      </c>
      <c r="F136" s="18">
        <f>IF(ISNUMBER(D136), $B145 * E136, "")</f>
        <v>-8965.5172413793152</v>
      </c>
      <c r="G136" s="31">
        <v>89.3</v>
      </c>
      <c r="H136" s="32">
        <f t="shared" ref="H136:H139" si="71">IF(ISNUMBER(G136), (G136 - $B136) / $B136, "")</f>
        <v>2.6436781609195371E-2</v>
      </c>
      <c r="I136" s="97">
        <f>IF(ISNUMBER(G136), $B145 * H136, "")</f>
        <v>3965.5172413793057</v>
      </c>
      <c r="J136" s="15">
        <v>93.3</v>
      </c>
      <c r="K136" s="32">
        <f t="shared" ref="K136:K139" si="72">IF(ISNUMBER(J136), (J136 - $B136) / $B136, "")</f>
        <v>7.241379310344824E-2</v>
      </c>
      <c r="L136" s="18">
        <f>IF(ISNUMBER(J136), $B145 * K136, "")</f>
        <v>10862.068965517235</v>
      </c>
      <c r="M136" s="31">
        <v>89.4</v>
      </c>
      <c r="N136" s="32">
        <f t="shared" ref="N136:N139" si="73">IF(ISNUMBER(M136), (M136 - $B136) / $B136, "")</f>
        <v>2.758620689655179E-2</v>
      </c>
      <c r="O136" s="18">
        <f>IF(ISNUMBER(M136), $B145 * N136, "")</f>
        <v>4137.9310344827682</v>
      </c>
      <c r="Q136" s="282"/>
      <c r="R136" s="283"/>
      <c r="S136" s="284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>
        <v>19.100000000000001</v>
      </c>
      <c r="E137" s="32">
        <f t="shared" si="70"/>
        <v>-5.91133004926108E-2</v>
      </c>
      <c r="F137" s="18">
        <f>IF(ISNUMBER(D137), $B145 * E137, "")</f>
        <v>-8866.9950738916195</v>
      </c>
      <c r="G137" s="31">
        <v>21.1</v>
      </c>
      <c r="H137" s="32">
        <f t="shared" si="71"/>
        <v>3.9408866995073927E-2</v>
      </c>
      <c r="I137" s="97">
        <f>IF(ISNUMBER(G137), $B145 * H137, "")</f>
        <v>5911.3300492610888</v>
      </c>
      <c r="J137" s="15">
        <v>22.8</v>
      </c>
      <c r="K137" s="32">
        <f t="shared" si="72"/>
        <v>0.12315270935960591</v>
      </c>
      <c r="L137" s="18">
        <f>IF(ISNUMBER(J137), $B145 * K137, "")</f>
        <v>18472.906403940888</v>
      </c>
      <c r="M137" s="31">
        <v>22.1</v>
      </c>
      <c r="N137" s="32">
        <f t="shared" si="73"/>
        <v>8.8669950738916287E-2</v>
      </c>
      <c r="O137" s="18">
        <f>IF(ISNUMBER(M137), $B145 * N137, "")</f>
        <v>13300.492610837444</v>
      </c>
      <c r="Q137" s="267"/>
      <c r="R137" s="267"/>
      <c r="S137" s="267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>
        <v>65.5</v>
      </c>
      <c r="E138" s="32">
        <f t="shared" si="70"/>
        <v>3.1496062992125984E-2</v>
      </c>
      <c r="F138" s="18">
        <f>IF(ISNUMBER(D138), $B145 * E138, "")</f>
        <v>4724.4094488188975</v>
      </c>
      <c r="G138" s="31">
        <v>85.8</v>
      </c>
      <c r="H138" s="32">
        <f t="shared" si="71"/>
        <v>0.35118110236220468</v>
      </c>
      <c r="I138" s="97">
        <f>IF(ISNUMBER(G138), $B145 * H138, "")</f>
        <v>52677.165354330704</v>
      </c>
      <c r="J138" s="15">
        <v>95.8</v>
      </c>
      <c r="K138" s="32">
        <f t="shared" si="72"/>
        <v>0.50866141732283465</v>
      </c>
      <c r="L138" s="18">
        <f>IF(ISNUMBER(J138), $B145 * K138, "")</f>
        <v>76299.212598425191</v>
      </c>
      <c r="M138" s="31">
        <v>99.4</v>
      </c>
      <c r="N138" s="32">
        <f t="shared" si="73"/>
        <v>0.56535433070866148</v>
      </c>
      <c r="O138" s="18">
        <f>IF(ISNUMBER(M138), $B145 * N138, "")</f>
        <v>84803.149606299223</v>
      </c>
      <c r="Q138" s="262"/>
      <c r="R138" s="262"/>
      <c r="S138" s="262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>
        <v>89.9</v>
      </c>
      <c r="E139" s="21">
        <f t="shared" si="70"/>
        <v>-9.9118942731276603E-3</v>
      </c>
      <c r="F139" s="22">
        <f>IF(ISNUMBER(D139), $B145 * E139, "")</f>
        <v>-1486.7841409691491</v>
      </c>
      <c r="G139" s="30">
        <v>92</v>
      </c>
      <c r="H139" s="21">
        <f t="shared" si="71"/>
        <v>1.3215859030837036E-2</v>
      </c>
      <c r="I139" s="101">
        <f>IF(ISNUMBER(G139), $B145 * H139, "")</f>
        <v>1982.3788546255555</v>
      </c>
      <c r="J139" s="20">
        <v>91.8</v>
      </c>
      <c r="K139" s="21">
        <f t="shared" si="72"/>
        <v>1.1013215859030838E-2</v>
      </c>
      <c r="L139" s="22">
        <f>IF(ISNUMBER(J139), $B145 * K139, "")</f>
        <v>1651.9823788546257</v>
      </c>
      <c r="M139" s="30">
        <v>92.3</v>
      </c>
      <c r="N139" s="21">
        <f t="shared" si="73"/>
        <v>1.6519823788546256E-2</v>
      </c>
      <c r="O139" s="22">
        <f>IF(ISNUMBER(M139), $B145 * N139, "")</f>
        <v>2477.9735682819382</v>
      </c>
      <c r="Q139" s="262"/>
      <c r="R139" s="262"/>
      <c r="S139" s="262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>
        <v>18.899999999999999</v>
      </c>
      <c r="E140" s="103">
        <f>IF(ISNUMBER(D140), (D140 - $B140) / $B140, "")</f>
        <v>-5.970149253731357E-2</v>
      </c>
      <c r="F140" s="104">
        <f>IF(ISNUMBER(D140), $B145 * E140, "")</f>
        <v>-8955.2238805970355</v>
      </c>
      <c r="G140" s="105">
        <v>20</v>
      </c>
      <c r="H140" s="103">
        <f>IF(ISNUMBER(G140), (G140 - $B140) / $B140, "")</f>
        <v>-4.9751243781095229E-3</v>
      </c>
      <c r="I140" s="106">
        <f>IF(ISNUMBER(G140), $B145 * H140, "")</f>
        <v>-746.26865671642838</v>
      </c>
      <c r="J140" s="102">
        <v>20.2</v>
      </c>
      <c r="K140" s="103">
        <f>IF(ISNUMBER(J140), (J140 - $B140) / $B140, "")</f>
        <v>4.975124378109346E-3</v>
      </c>
      <c r="L140" s="104">
        <f>IF(ISNUMBER(J140), $B145 * K140, "")</f>
        <v>746.26865671640189</v>
      </c>
      <c r="M140" s="105">
        <v>20</v>
      </c>
      <c r="N140" s="103">
        <f>IF(ISNUMBER(M140), (M140 - $B140) / $B140, "")</f>
        <v>-4.9751243781095229E-3</v>
      </c>
      <c r="O140" s="104">
        <f>IF(ISNUMBER(M140), $B145 * N140, "")</f>
        <v>-746.26865671642838</v>
      </c>
      <c r="Q140" s="267"/>
      <c r="R140" s="267"/>
      <c r="S140" s="267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>
        <v>42.9</v>
      </c>
      <c r="E141" s="32">
        <f t="shared" ref="E141:E144" si="74">IF(ISNUMBER(D141), (D141 - $B141) / $B141, "")</f>
        <v>-7.5431034482758619E-2</v>
      </c>
      <c r="F141" s="18">
        <f>IF(ISNUMBER(D141), $B145 * E141, "")</f>
        <v>-11314.655172413793</v>
      </c>
      <c r="G141" s="31">
        <v>45</v>
      </c>
      <c r="H141" s="32">
        <f t="shared" ref="H141:H144" si="75">IF(ISNUMBER(G141), (G141 - $B141) / $B141, "")</f>
        <v>-3.0172413793103418E-2</v>
      </c>
      <c r="I141" s="97">
        <f>IF(ISNUMBER(G141), $B145 * H141, "")</f>
        <v>-4525.8620689655127</v>
      </c>
      <c r="J141" s="15">
        <v>44.7</v>
      </c>
      <c r="K141" s="32">
        <f t="shared" ref="K141:K144" si="76">IF(ISNUMBER(J141), (J141 - $B141) / $B141, "")</f>
        <v>-3.6637931034482665E-2</v>
      </c>
      <c r="L141" s="18">
        <f>IF(ISNUMBER(J141), $B145 * K141, "")</f>
        <v>-5495.6896551723994</v>
      </c>
      <c r="M141" s="31">
        <v>44.9</v>
      </c>
      <c r="N141" s="32">
        <f t="shared" ref="N141:N144" si="77">IF(ISNUMBER(M141), (M141 - $B141) / $B141, "")</f>
        <v>-3.2327586206896554E-2</v>
      </c>
      <c r="O141" s="18">
        <f>IF(ISNUMBER(M141), $B145 * N141, "")</f>
        <v>-4849.1379310344828</v>
      </c>
      <c r="Q141" s="267"/>
      <c r="R141" s="267"/>
      <c r="S141" s="267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>
        <v>18</v>
      </c>
      <c r="E142" s="32">
        <f t="shared" si="74"/>
        <v>-7.6923076923076927E-2</v>
      </c>
      <c r="F142" s="18">
        <f>IF(ISNUMBER(D142), $B145 * E142, "")</f>
        <v>-11538.461538461539</v>
      </c>
      <c r="G142" s="31">
        <v>19</v>
      </c>
      <c r="H142" s="32">
        <f t="shared" si="75"/>
        <v>-2.564102564102564E-2</v>
      </c>
      <c r="I142" s="97">
        <f>IF(ISNUMBER(G142), $B145 * H142, "")</f>
        <v>-3846.1538461538462</v>
      </c>
      <c r="J142" s="15">
        <v>19.100000000000001</v>
      </c>
      <c r="K142" s="32">
        <f t="shared" si="76"/>
        <v>-2.051282051282044E-2</v>
      </c>
      <c r="L142" s="18">
        <f>IF(ISNUMBER(J142), $B145 * K142, "")</f>
        <v>-3076.9230769230662</v>
      </c>
      <c r="M142" s="31">
        <v>18.899999999999999</v>
      </c>
      <c r="N142" s="32">
        <f t="shared" si="77"/>
        <v>-3.0769230769230844E-2</v>
      </c>
      <c r="O142" s="18">
        <f>IF(ISNUMBER(M142), $B145 * N142, "")</f>
        <v>-4615.3846153846262</v>
      </c>
      <c r="Q142" s="267"/>
      <c r="R142" s="267"/>
      <c r="S142" s="267"/>
    </row>
    <row r="143" spans="1:19">
      <c r="A143" s="124" t="s">
        <v>100</v>
      </c>
      <c r="B143" s="125">
        <v>8.66</v>
      </c>
      <c r="C143" s="73">
        <v>-3.9911308200000002E-2</v>
      </c>
      <c r="D143" s="15">
        <v>8.17</v>
      </c>
      <c r="E143" s="32">
        <f t="shared" si="74"/>
        <v>-5.6581986143187088E-2</v>
      </c>
      <c r="F143" s="18">
        <f>IF(ISNUMBER(D143), $B145 * E143, "")</f>
        <v>-8487.2979214780626</v>
      </c>
      <c r="G143" s="31">
        <v>8.3000000000000007</v>
      </c>
      <c r="H143" s="32">
        <f t="shared" si="75"/>
        <v>-4.1570438799076147E-2</v>
      </c>
      <c r="I143" s="97">
        <f>IF(ISNUMBER(G143), $B145 * H143, "")</f>
        <v>-6235.5658198614219</v>
      </c>
      <c r="J143" s="15">
        <v>8.2799999999999994</v>
      </c>
      <c r="K143" s="32">
        <f t="shared" si="76"/>
        <v>-4.3879907621247202E-2</v>
      </c>
      <c r="L143" s="18">
        <f>IF(ISNUMBER(J143), $B145 * K143, "")</f>
        <v>-6581.9861431870804</v>
      </c>
      <c r="M143" s="31">
        <v>8.2899999999999991</v>
      </c>
      <c r="N143" s="32">
        <f t="shared" si="77"/>
        <v>-4.2725173210161775E-2</v>
      </c>
      <c r="O143" s="18">
        <f>IF(ISNUMBER(M143), $B145 * N143, "")</f>
        <v>-6408.7759815242662</v>
      </c>
      <c r="Q143" s="289"/>
      <c r="R143" s="290"/>
      <c r="S143" s="291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92"/>
      <c r="R144" s="293"/>
      <c r="S144" s="294"/>
    </row>
    <row r="145" spans="1:19" ht="17.25" thickBot="1">
      <c r="A145" s="131" t="s">
        <v>301</v>
      </c>
      <c r="B145" s="300">
        <f>$B$37</f>
        <v>150000</v>
      </c>
      <c r="C145" s="301"/>
      <c r="D145" s="26" t="s">
        <v>302</v>
      </c>
      <c r="E145" s="27">
        <f>IF(COUNT(E125:E144), SUM(E125:E144) / COUNT(E125:E144), 0)</f>
        <v>-5.0332527866735768E-2</v>
      </c>
      <c r="F145" s="28">
        <f>SUM(F125:F144)</f>
        <v>-143447.70442019694</v>
      </c>
      <c r="G145" s="26" t="s">
        <v>302</v>
      </c>
      <c r="H145" s="27">
        <f>IF(COUNT(H125:H144), SUM(H125:H144) / COUNT(H125:H144), 0)</f>
        <v>1.8762102218474824E-2</v>
      </c>
      <c r="I145" s="28">
        <f>SUM(I125:I144)</f>
        <v>53471.991322653252</v>
      </c>
      <c r="J145" s="26" t="s">
        <v>302</v>
      </c>
      <c r="K145" s="27">
        <f>IF(COUNT(K125:K144), SUM(K125:K144) / COUNT(K125:K144), 0)</f>
        <v>3.9033730503513053E-2</v>
      </c>
      <c r="L145" s="28">
        <f>SUM(L125:L144)</f>
        <v>111246.13193501218</v>
      </c>
      <c r="M145" s="26" t="s">
        <v>302</v>
      </c>
      <c r="N145" s="27">
        <f>IF(COUNT(N125:N144), SUM(N125:N144) / COUNT(N125:N144), 0)</f>
        <v>3.3938898284602684E-2</v>
      </c>
      <c r="O145" s="28">
        <f>SUM(O125:O144)</f>
        <v>96725.860111117683</v>
      </c>
      <c r="Q145" s="295"/>
      <c r="R145" s="296"/>
      <c r="S145" s="297"/>
    </row>
    <row r="147" spans="1:19" ht="17.25" thickBot="1"/>
    <row r="148" spans="1:19" ht="17.25" thickBot="1">
      <c r="A148" s="241" t="s">
        <v>289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186" t="s">
        <v>298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62017000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-1.6680144000000001E-2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2021-05-11(화) 오전 00:00</v>
      </c>
      <c r="C150" s="305"/>
      <c r="D150" s="264" t="str">
        <f>TEXT($G$1, "[$-ko-KR]yyyy-mm-dd(ddd) ") &amp; "오후 14:00"</f>
        <v>2021-05-11(화) 오후 14:00</v>
      </c>
      <c r="E150" s="265"/>
      <c r="F150" s="266"/>
      <c r="G150" s="264" t="str">
        <f>TEXT($G$1, "[$-ko-KR]yyyy-mm-dd(ddd) ") &amp; "오후 19:00"</f>
        <v>2021-05-11(화) 오후 19:00</v>
      </c>
      <c r="H150" s="265"/>
      <c r="I150" s="266"/>
      <c r="J150" s="264" t="str">
        <f>TEXT($G$1, "[$-ko-KR]yyyy-mm-dd(ddd) ") &amp; "오후 21:00"</f>
        <v>2021-05-11(화) 오후 21:00</v>
      </c>
      <c r="K150" s="265"/>
      <c r="L150" s="266"/>
      <c r="M150" s="264" t="str">
        <f>TEXT($G$1+1, "[$-ko-KR]yyyy-mm-dd(ddd) ") &amp; "오전 00:00"</f>
        <v>2021-05-12(수) 오전 00:00</v>
      </c>
      <c r="N150" s="265"/>
      <c r="O150" s="266"/>
      <c r="Q150" s="262"/>
      <c r="R150" s="262"/>
      <c r="S150" s="262"/>
    </row>
    <row r="151" spans="1:19" ht="17.25" thickBot="1">
      <c r="A151" s="30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7"/>
      <c r="R151" s="267"/>
      <c r="S151" s="267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>
        <v>323</v>
      </c>
      <c r="E152" s="14">
        <f>IF(ISNUMBER(D152), (D152 - $B152) / $B152, "")</f>
        <v>-5.2785923753665691E-2</v>
      </c>
      <c r="F152" s="16">
        <f>IF(ISNUMBER(D152), $B172 * E152, "")</f>
        <v>-7917.8885630498535</v>
      </c>
      <c r="G152" s="29">
        <v>332</v>
      </c>
      <c r="H152" s="14">
        <f>IF(ISNUMBER(G152), (G152 - $B152) / $B152, "")</f>
        <v>-2.6392961876832845E-2</v>
      </c>
      <c r="I152" s="96">
        <f>IF(ISNUMBER(G152), $B172 * H152, "")</f>
        <v>-3958.9442815249267</v>
      </c>
      <c r="J152" s="13">
        <v>340</v>
      </c>
      <c r="K152" s="14">
        <f>IF(ISNUMBER(J152), (J152 - $B152) / $B152, "")</f>
        <v>-2.9325513196480938E-3</v>
      </c>
      <c r="L152" s="16">
        <f>IF(ISNUMBER(J152), $B172 * K152, "")</f>
        <v>-439.88269794721407</v>
      </c>
      <c r="M152" s="29">
        <v>334</v>
      </c>
      <c r="N152" s="14">
        <f>IF(ISNUMBER(M152), (M152 - $B152) / $B152, "")</f>
        <v>-2.0527859237536656E-2</v>
      </c>
      <c r="O152" s="16">
        <f>IF(ISNUMBER(M152), $B172 * N152, "")</f>
        <v>-3079.1788856304984</v>
      </c>
      <c r="Q152" s="262"/>
      <c r="R152" s="262"/>
      <c r="S152" s="262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>
        <v>192</v>
      </c>
      <c r="E153" s="32">
        <f t="shared" ref="E153:E156" si="78">IF(ISNUMBER(D153), (D153 - $B153) / $B153, "")</f>
        <v>-3.5175879396984924E-2</v>
      </c>
      <c r="F153" s="18">
        <f>IF(ISNUMBER(D153), $B172 * E153, "")</f>
        <v>-5276.3819095477384</v>
      </c>
      <c r="G153" s="31">
        <v>196</v>
      </c>
      <c r="H153" s="32">
        <f t="shared" ref="H153:H156" si="79">IF(ISNUMBER(G153), (G153 - $B153) / $B153, "")</f>
        <v>-1.507537688442211E-2</v>
      </c>
      <c r="I153" s="97">
        <f>IF(ISNUMBER(G153), $B172 * H153, "")</f>
        <v>-2261.3065326633164</v>
      </c>
      <c r="J153" s="15">
        <v>202</v>
      </c>
      <c r="K153" s="32">
        <f t="shared" ref="K153:K156" si="80">IF(ISNUMBER(J153), (J153 - $B153) / $B153, "")</f>
        <v>1.507537688442211E-2</v>
      </c>
      <c r="L153" s="18">
        <f>IF(ISNUMBER(J153), $B172 * K153, "")</f>
        <v>2261.3065326633164</v>
      </c>
      <c r="M153" s="31">
        <v>201</v>
      </c>
      <c r="N153" s="32">
        <f t="shared" ref="N153:N156" si="81">IF(ISNUMBER(M153), (M153 - $B153) / $B153, "")</f>
        <v>1.0050251256281407E-2</v>
      </c>
      <c r="O153" s="18">
        <f>IF(ISNUMBER(M153), $B172 * N153, "")</f>
        <v>1507.537688442211</v>
      </c>
      <c r="Q153" s="262"/>
      <c r="R153" s="262"/>
      <c r="S153" s="262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>
        <v>183</v>
      </c>
      <c r="E154" s="32">
        <f t="shared" si="78"/>
        <v>-6.1538461538461542E-2</v>
      </c>
      <c r="F154" s="18">
        <f>IF(ISNUMBER(D154), $B172 * E154, "")</f>
        <v>-9230.7692307692305</v>
      </c>
      <c r="G154" s="31">
        <v>189</v>
      </c>
      <c r="H154" s="32">
        <f t="shared" si="79"/>
        <v>-3.0769230769230771E-2</v>
      </c>
      <c r="I154" s="97">
        <f>IF(ISNUMBER(G154), $B172 * H154, "")</f>
        <v>-4615.3846153846152</v>
      </c>
      <c r="J154" s="15">
        <v>194</v>
      </c>
      <c r="K154" s="32">
        <f t="shared" si="80"/>
        <v>-5.1282051282051282E-3</v>
      </c>
      <c r="L154" s="18">
        <f>IF(ISNUMBER(J154), $B172 * K154, "")</f>
        <v>-769.23076923076928</v>
      </c>
      <c r="M154" s="31">
        <v>189</v>
      </c>
      <c r="N154" s="32">
        <f t="shared" si="81"/>
        <v>-3.0769230769230771E-2</v>
      </c>
      <c r="O154" s="18">
        <f>IF(ISNUMBER(M154), $B172 * N154, "")</f>
        <v>-4615.3846153846152</v>
      </c>
      <c r="Q154" s="267"/>
      <c r="R154" s="267"/>
      <c r="S154" s="267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>
        <v>155</v>
      </c>
      <c r="E155" s="32">
        <f t="shared" si="78"/>
        <v>-3.125E-2</v>
      </c>
      <c r="F155" s="18">
        <f>IF(ISNUMBER(D155), $B172 * E155, "")</f>
        <v>-4687.5</v>
      </c>
      <c r="G155" s="31">
        <v>159</v>
      </c>
      <c r="H155" s="32">
        <f t="shared" si="79"/>
        <v>-6.2500000000000003E-3</v>
      </c>
      <c r="I155" s="97">
        <f>IF(ISNUMBER(G155), $B172 * H155, "")</f>
        <v>-937.5</v>
      </c>
      <c r="J155" s="15">
        <v>162</v>
      </c>
      <c r="K155" s="32">
        <f t="shared" si="80"/>
        <v>1.2500000000000001E-2</v>
      </c>
      <c r="L155" s="18">
        <f>IF(ISNUMBER(J155), $B172 * K155, "")</f>
        <v>1875</v>
      </c>
      <c r="M155" s="31">
        <v>164</v>
      </c>
      <c r="N155" s="32">
        <f t="shared" si="81"/>
        <v>2.5000000000000001E-2</v>
      </c>
      <c r="O155" s="18">
        <f>IF(ISNUMBER(M155), $B172 * N155, "")</f>
        <v>3750</v>
      </c>
      <c r="Q155" s="267"/>
      <c r="R155" s="267"/>
      <c r="S155" s="267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>
        <v>494</v>
      </c>
      <c r="E156" s="21">
        <f t="shared" si="78"/>
        <v>-8.0074487895716945E-2</v>
      </c>
      <c r="F156" s="22">
        <f>IF(ISNUMBER(D156), $B172 * E156, "")</f>
        <v>-12011.173184357542</v>
      </c>
      <c r="G156" s="30">
        <v>517</v>
      </c>
      <c r="H156" s="21">
        <f t="shared" si="79"/>
        <v>-3.7243947858473E-2</v>
      </c>
      <c r="I156" s="101">
        <f>IF(ISNUMBER(G156), $B172 * H156, "")</f>
        <v>-5586.5921787709503</v>
      </c>
      <c r="J156" s="20">
        <v>518</v>
      </c>
      <c r="K156" s="21">
        <f t="shared" si="80"/>
        <v>-3.5381750465549346E-2</v>
      </c>
      <c r="L156" s="22">
        <f>IF(ISNUMBER(J156), $B172 * K156, "")</f>
        <v>-5307.2625698324018</v>
      </c>
      <c r="M156" s="30">
        <v>517</v>
      </c>
      <c r="N156" s="21">
        <f t="shared" si="81"/>
        <v>-3.7243947858473E-2</v>
      </c>
      <c r="O156" s="22">
        <f>IF(ISNUMBER(M156), $B172 * N156, "")</f>
        <v>-5586.5921787709503</v>
      </c>
      <c r="Q156" s="267"/>
      <c r="R156" s="267"/>
      <c r="S156" s="267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>
        <v>241</v>
      </c>
      <c r="E157" s="103">
        <f>IF(ISNUMBER(D157), (D157 - $B157) / $B157, "")</f>
        <v>-4.7430830039525688E-2</v>
      </c>
      <c r="F157" s="104">
        <f>IF(ISNUMBER(D157), $B172 * E157, "")</f>
        <v>-7114.6245059288531</v>
      </c>
      <c r="G157" s="105">
        <v>247</v>
      </c>
      <c r="H157" s="103">
        <f>IF(ISNUMBER(G157), (G157 - $B157) / $B157, "")</f>
        <v>-2.3715415019762844E-2</v>
      </c>
      <c r="I157" s="106">
        <f>IF(ISNUMBER(G157), $B172 * H157, "")</f>
        <v>-3557.3122529644265</v>
      </c>
      <c r="J157" s="102">
        <v>257</v>
      </c>
      <c r="K157" s="103">
        <f>IF(ISNUMBER(J157), (J157 - $B157) / $B157, "")</f>
        <v>1.5810276679841896E-2</v>
      </c>
      <c r="L157" s="104">
        <f>IF(ISNUMBER(J157), $B172 * K157, "")</f>
        <v>2371.5415019762845</v>
      </c>
      <c r="M157" s="105">
        <v>252</v>
      </c>
      <c r="N157" s="103">
        <f>IF(ISNUMBER(M157), (M157 - $B157) / $B157, "")</f>
        <v>-3.952569169960474E-3</v>
      </c>
      <c r="O157" s="104">
        <f>IF(ISNUMBER(M157), $B172 * N157, "")</f>
        <v>-592.88537549407113</v>
      </c>
      <c r="Q157" s="267"/>
      <c r="R157" s="267"/>
      <c r="S157" s="267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>
        <v>222</v>
      </c>
      <c r="E158" s="32">
        <f t="shared" ref="E158:E161" si="82">IF(ISNUMBER(D158), (D158 - $B158) / $B158, "")</f>
        <v>-9.0163934426229511E-2</v>
      </c>
      <c r="F158" s="18">
        <f>IF(ISNUMBER(D158), $B172 * E158, "")</f>
        <v>-13524.590163934427</v>
      </c>
      <c r="G158" s="31">
        <v>231</v>
      </c>
      <c r="H158" s="32">
        <f t="shared" ref="H158:H161" si="83">IF(ISNUMBER(G158), (G158 - $B158) / $B158, "")</f>
        <v>-5.3278688524590161E-2</v>
      </c>
      <c r="I158" s="97">
        <f>IF(ISNUMBER(G158), $B172 * H158, "")</f>
        <v>-7991.8032786885242</v>
      </c>
      <c r="J158" s="15">
        <v>238</v>
      </c>
      <c r="K158" s="32">
        <f t="shared" ref="K158:K161" si="84">IF(ISNUMBER(J158), (J158 - $B158) / $B158, "")</f>
        <v>-2.4590163934426229E-2</v>
      </c>
      <c r="L158" s="18">
        <f>IF(ISNUMBER(J158), $B172 * K158, "")</f>
        <v>-3688.5245901639341</v>
      </c>
      <c r="M158" s="31">
        <v>236</v>
      </c>
      <c r="N158" s="32">
        <f t="shared" ref="N158:N161" si="85">IF(ISNUMBER(M158), (M158 - $B158) / $B158, "")</f>
        <v>-3.2786885245901641E-2</v>
      </c>
      <c r="O158" s="18">
        <f>IF(ISNUMBER(M158), $B172 * N158, "")</f>
        <v>-4918.0327868852464</v>
      </c>
      <c r="Q158" s="267"/>
      <c r="R158" s="267"/>
      <c r="S158" s="267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>
        <v>435</v>
      </c>
      <c r="E159" s="32">
        <f t="shared" si="82"/>
        <v>-8.2278481012658222E-2</v>
      </c>
      <c r="F159" s="18">
        <f>IF(ISNUMBER(D159), $B172 * E159, "")</f>
        <v>-12341.772151898733</v>
      </c>
      <c r="G159" s="31">
        <v>447</v>
      </c>
      <c r="H159" s="32">
        <f t="shared" si="83"/>
        <v>-5.6962025316455694E-2</v>
      </c>
      <c r="I159" s="97">
        <f>IF(ISNUMBER(G159), $B172 * H159, "")</f>
        <v>-8544.3037974683539</v>
      </c>
      <c r="J159" s="15">
        <v>455</v>
      </c>
      <c r="K159" s="32">
        <f t="shared" si="84"/>
        <v>-4.0084388185654012E-2</v>
      </c>
      <c r="L159" s="18">
        <f>IF(ISNUMBER(J159), $B172 * K159, "")</f>
        <v>-6012.6582278481019</v>
      </c>
      <c r="M159" s="31">
        <v>461</v>
      </c>
      <c r="N159" s="32">
        <f t="shared" si="85"/>
        <v>-2.7426160337552744E-2</v>
      </c>
      <c r="O159" s="18">
        <f>IF(ISNUMBER(M159), $B172 * N159, "")</f>
        <v>-4113.9240506329115</v>
      </c>
      <c r="Q159" s="267"/>
      <c r="R159" s="267"/>
      <c r="S159" s="267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>
        <v>162</v>
      </c>
      <c r="E160" s="32">
        <f t="shared" si="82"/>
        <v>-6.358381502890173E-2</v>
      </c>
      <c r="F160" s="18">
        <f>IF(ISNUMBER(D160), $B172 * E160, "")</f>
        <v>-9537.5722543352604</v>
      </c>
      <c r="G160" s="31">
        <v>168</v>
      </c>
      <c r="H160" s="32">
        <f t="shared" si="83"/>
        <v>-2.8901734104046242E-2</v>
      </c>
      <c r="I160" s="97">
        <f>IF(ISNUMBER(G160), $B172 * H160, "")</f>
        <v>-4335.2601156069368</v>
      </c>
      <c r="J160" s="15">
        <v>173</v>
      </c>
      <c r="K160" s="32">
        <f t="shared" si="84"/>
        <v>0</v>
      </c>
      <c r="L160" s="18">
        <f>IF(ISNUMBER(J160), $B172 * K160, "")</f>
        <v>0</v>
      </c>
      <c r="M160" s="31">
        <v>169</v>
      </c>
      <c r="N160" s="32">
        <f t="shared" si="85"/>
        <v>-2.3121387283236993E-2</v>
      </c>
      <c r="O160" s="18">
        <f>IF(ISNUMBER(M160), $B172 * N160, "")</f>
        <v>-3468.2080924855491</v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>
        <v>340</v>
      </c>
      <c r="E161" s="25">
        <f t="shared" si="82"/>
        <v>-6.5934065934065936E-2</v>
      </c>
      <c r="F161" s="100">
        <f>IF(ISNUMBER(D161), $B172 * E161, "")</f>
        <v>-9890.1098901098903</v>
      </c>
      <c r="G161" s="98">
        <v>364</v>
      </c>
      <c r="H161" s="25">
        <f t="shared" si="83"/>
        <v>0</v>
      </c>
      <c r="I161" s="99">
        <f>IF(ISNUMBER(G161), $B172 * H161, "")</f>
        <v>0</v>
      </c>
      <c r="J161" s="24">
        <v>366</v>
      </c>
      <c r="K161" s="25">
        <f t="shared" si="84"/>
        <v>5.4945054945054949E-3</v>
      </c>
      <c r="L161" s="100">
        <f>IF(ISNUMBER(J161), $B172 * K161, "")</f>
        <v>824.17582417582423</v>
      </c>
      <c r="M161" s="98">
        <v>359</v>
      </c>
      <c r="N161" s="25">
        <f t="shared" si="85"/>
        <v>-1.3736263736263736E-2</v>
      </c>
      <c r="O161" s="100">
        <f>IF(ISNUMBER(M161), $B172 * N161, "")</f>
        <v>-2060.4395604395604</v>
      </c>
      <c r="Q161" s="276"/>
      <c r="R161" s="277"/>
      <c r="S161" s="278"/>
    </row>
    <row r="162" spans="1:19">
      <c r="A162" s="122" t="s">
        <v>264</v>
      </c>
      <c r="B162" s="123">
        <v>169</v>
      </c>
      <c r="C162" s="72">
        <v>-3.9772727299999998E-2</v>
      </c>
      <c r="D162" s="13">
        <v>155</v>
      </c>
      <c r="E162" s="14">
        <f>IF(ISNUMBER(D162), (D162 - $B162) / $B162, "")</f>
        <v>-8.2840236686390539E-2</v>
      </c>
      <c r="F162" s="16">
        <f>IF(ISNUMBER(D162), $B172 * E162, "")</f>
        <v>-12426.035502958581</v>
      </c>
      <c r="G162" s="29">
        <v>162</v>
      </c>
      <c r="H162" s="14">
        <f>IF(ISNUMBER(G162), (G162 - $B162) / $B162, "")</f>
        <v>-4.142011834319527E-2</v>
      </c>
      <c r="I162" s="96">
        <f>IF(ISNUMBER(G162), $B172 * H162, "")</f>
        <v>-6213.0177514792904</v>
      </c>
      <c r="J162" s="13">
        <v>162</v>
      </c>
      <c r="K162" s="14">
        <f>IF(ISNUMBER(J162), (J162 - $B162) / $B162, "")</f>
        <v>-4.142011834319527E-2</v>
      </c>
      <c r="L162" s="16">
        <f>IF(ISNUMBER(J162), $B172 * K162, "")</f>
        <v>-6213.0177514792904</v>
      </c>
      <c r="M162" s="29">
        <v>163</v>
      </c>
      <c r="N162" s="14">
        <f>IF(ISNUMBER(M162), (M162 - $B162) / $B162, "")</f>
        <v>-3.5502958579881658E-2</v>
      </c>
      <c r="O162" s="16">
        <f>IF(ISNUMBER(M162), $B172 * N162, "")</f>
        <v>-5325.4437869822486</v>
      </c>
      <c r="Q162" s="279"/>
      <c r="R162" s="280"/>
      <c r="S162" s="281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>
        <v>634</v>
      </c>
      <c r="E163" s="32">
        <f t="shared" ref="E163:E166" si="86">IF(ISNUMBER(D163), (D163 - $B163) / $B163, "")</f>
        <v>-4.3740573152337855E-2</v>
      </c>
      <c r="F163" s="18">
        <f>IF(ISNUMBER(D163), $B172 * E163, "")</f>
        <v>-6561.0859728506784</v>
      </c>
      <c r="G163" s="31">
        <v>652</v>
      </c>
      <c r="H163" s="32">
        <f t="shared" ref="H163:H166" si="87">IF(ISNUMBER(G163), (G163 - $B163) / $B163, "")</f>
        <v>-1.6591251885369532E-2</v>
      </c>
      <c r="I163" s="97">
        <f>IF(ISNUMBER(G163), $B172 * H163, "")</f>
        <v>-2488.6877828054298</v>
      </c>
      <c r="J163" s="15">
        <v>652</v>
      </c>
      <c r="K163" s="32">
        <f t="shared" ref="K163:K166" si="88">IF(ISNUMBER(J163), (J163 - $B163) / $B163, "")</f>
        <v>-1.6591251885369532E-2</v>
      </c>
      <c r="L163" s="18">
        <f>IF(ISNUMBER(J163), $B172 * K163, "")</f>
        <v>-2488.6877828054298</v>
      </c>
      <c r="M163" s="31">
        <v>665</v>
      </c>
      <c r="N163" s="32">
        <f t="shared" ref="N163:N166" si="89">IF(ISNUMBER(M163), (M163 - $B163) / $B163, "")</f>
        <v>3.0165912518853697E-3</v>
      </c>
      <c r="O163" s="18">
        <f>IF(ISNUMBER(M163), $B172 * N163, "")</f>
        <v>452.48868778280547</v>
      </c>
      <c r="Q163" s="282"/>
      <c r="R163" s="283"/>
      <c r="S163" s="284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>
        <v>582</v>
      </c>
      <c r="E164" s="32">
        <f t="shared" si="86"/>
        <v>-8.6342229199372053E-2</v>
      </c>
      <c r="F164" s="18">
        <f>IF(ISNUMBER(D164), $B172 * E164, "")</f>
        <v>-12951.334379905808</v>
      </c>
      <c r="G164" s="31">
        <v>612</v>
      </c>
      <c r="H164" s="32">
        <f t="shared" si="87"/>
        <v>-3.924646781789639E-2</v>
      </c>
      <c r="I164" s="97">
        <f>IF(ISNUMBER(G164), $B172 * H164, "")</f>
        <v>-5886.9701726844587</v>
      </c>
      <c r="J164" s="15">
        <v>613</v>
      </c>
      <c r="K164" s="32">
        <f t="shared" si="88"/>
        <v>-3.7676609105180531E-2</v>
      </c>
      <c r="L164" s="18">
        <f>IF(ISNUMBER(J164), $B172 * K164, "")</f>
        <v>-5651.4913657770794</v>
      </c>
      <c r="M164" s="31">
        <v>608</v>
      </c>
      <c r="N164" s="32">
        <f t="shared" si="89"/>
        <v>-4.5525902668759811E-2</v>
      </c>
      <c r="O164" s="18">
        <f>IF(ISNUMBER(M164), $B172 * N164, "")</f>
        <v>-6828.8854003139713</v>
      </c>
      <c r="Q164" s="267"/>
      <c r="R164" s="267"/>
      <c r="S164" s="267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>
        <v>253</v>
      </c>
      <c r="E165" s="32">
        <f t="shared" si="86"/>
        <v>-7.3260073260073263E-2</v>
      </c>
      <c r="F165" s="18">
        <f>IF(ISNUMBER(D165), $B172 * E165, "")</f>
        <v>-10989.010989010989</v>
      </c>
      <c r="G165" s="31">
        <v>263</v>
      </c>
      <c r="H165" s="32">
        <f t="shared" si="87"/>
        <v>-3.6630036630036632E-2</v>
      </c>
      <c r="I165" s="97">
        <f>IF(ISNUMBER(G165), $B172 * H165, "")</f>
        <v>-5494.5054945054944</v>
      </c>
      <c r="J165" s="15">
        <v>258</v>
      </c>
      <c r="K165" s="32">
        <f t="shared" si="88"/>
        <v>-5.4945054945054944E-2</v>
      </c>
      <c r="L165" s="18">
        <f>IF(ISNUMBER(J165), $B172 * K165, "")</f>
        <v>-8241.7582417582416</v>
      </c>
      <c r="M165" s="31">
        <v>254</v>
      </c>
      <c r="N165" s="32">
        <f t="shared" si="89"/>
        <v>-6.95970695970696E-2</v>
      </c>
      <c r="O165" s="18">
        <f>IF(ISNUMBER(M165), $B172 * N165, "")</f>
        <v>-10439.56043956044</v>
      </c>
      <c r="Q165" s="262"/>
      <c r="R165" s="262"/>
      <c r="S165" s="262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>
        <v>435</v>
      </c>
      <c r="E166" s="21">
        <f t="shared" si="86"/>
        <v>-0.12121212121212122</v>
      </c>
      <c r="F166" s="22">
        <f>IF(ISNUMBER(D166), $B172 * E166, "")</f>
        <v>-18181.818181818184</v>
      </c>
      <c r="G166" s="30">
        <v>453</v>
      </c>
      <c r="H166" s="21">
        <f t="shared" si="87"/>
        <v>-8.4848484848484854E-2</v>
      </c>
      <c r="I166" s="101">
        <f>IF(ISNUMBER(G166), $B172 * H166, "")</f>
        <v>-12727.272727272728</v>
      </c>
      <c r="J166" s="20">
        <v>456</v>
      </c>
      <c r="K166" s="21">
        <f t="shared" si="88"/>
        <v>-7.8787878787878782E-2</v>
      </c>
      <c r="L166" s="22">
        <f>IF(ISNUMBER(J166), $B172 * K166, "")</f>
        <v>-11818.181818181818</v>
      </c>
      <c r="M166" s="30">
        <v>460</v>
      </c>
      <c r="N166" s="21">
        <f t="shared" si="89"/>
        <v>-7.0707070707070704E-2</v>
      </c>
      <c r="O166" s="22">
        <f>IF(ISNUMBER(M166), $B172 * N166, "")</f>
        <v>-10606.060606060606</v>
      </c>
      <c r="Q166" s="262"/>
      <c r="R166" s="262"/>
      <c r="S166" s="262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>
        <v>637</v>
      </c>
      <c r="E167" s="103">
        <f>IF(ISNUMBER(D167), (D167 - $B167) / $B167, "")</f>
        <v>-7.0072992700729933E-2</v>
      </c>
      <c r="F167" s="104">
        <f>IF(ISNUMBER(D167), $B172 * E167, "")</f>
        <v>-10510.94890510949</v>
      </c>
      <c r="G167" s="105">
        <v>647</v>
      </c>
      <c r="H167" s="103">
        <f>IF(ISNUMBER(G167), (G167 - $B167) / $B167, "")</f>
        <v>-5.5474452554744529E-2</v>
      </c>
      <c r="I167" s="106">
        <f>IF(ISNUMBER(G167), $B172 * H167, "")</f>
        <v>-8321.1678832116795</v>
      </c>
      <c r="J167" s="102">
        <v>643</v>
      </c>
      <c r="K167" s="103">
        <f>IF(ISNUMBER(J167), (J167 - $B167) / $B167, "")</f>
        <v>-6.1313868613138686E-2</v>
      </c>
      <c r="L167" s="104">
        <f>IF(ISNUMBER(J167), $B172 * K167, "")</f>
        <v>-9197.0802919708021</v>
      </c>
      <c r="M167" s="105">
        <v>636</v>
      </c>
      <c r="N167" s="103">
        <f>IF(ISNUMBER(M167), (M167 - $B167) / $B167, "")</f>
        <v>-7.153284671532846E-2</v>
      </c>
      <c r="O167" s="104">
        <f>IF(ISNUMBER(M167), $B172 * N167, "")</f>
        <v>-10729.927007299269</v>
      </c>
      <c r="Q167" s="267"/>
      <c r="R167" s="267"/>
      <c r="S167" s="267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>
        <v>423</v>
      </c>
      <c r="E168" s="32">
        <f t="shared" ref="E168:E171" si="90">IF(ISNUMBER(D168), (D168 - $B168) / $B168, "")</f>
        <v>-0.06</v>
      </c>
      <c r="F168" s="18">
        <f>IF(ISNUMBER(D168), $B172 * E168, "")</f>
        <v>-9000</v>
      </c>
      <c r="G168" s="31">
        <v>436</v>
      </c>
      <c r="H168" s="32">
        <f t="shared" ref="H168:H171" si="91">IF(ISNUMBER(G168), (G168 - $B168) / $B168, "")</f>
        <v>-3.111111111111111E-2</v>
      </c>
      <c r="I168" s="97">
        <f>IF(ISNUMBER(G168), $B172 * H168, "")</f>
        <v>-4666.666666666667</v>
      </c>
      <c r="J168" s="15">
        <v>435</v>
      </c>
      <c r="K168" s="32">
        <f t="shared" ref="K168:K171" si="92">IF(ISNUMBER(J168), (J168 - $B168) / $B168, "")</f>
        <v>-3.3333333333333333E-2</v>
      </c>
      <c r="L168" s="18">
        <f>IF(ISNUMBER(J168), $B172 * K168, "")</f>
        <v>-5000</v>
      </c>
      <c r="M168" s="31">
        <v>432</v>
      </c>
      <c r="N168" s="32">
        <f t="shared" ref="N168:N171" si="93">IF(ISNUMBER(M168), (M168 - $B168) / $B168, "")</f>
        <v>-0.04</v>
      </c>
      <c r="O168" s="18">
        <f>IF(ISNUMBER(M168), $B172 * N168, "")</f>
        <v>-6000</v>
      </c>
      <c r="Q168" s="267"/>
      <c r="R168" s="267"/>
      <c r="S168" s="267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>
        <v>475</v>
      </c>
      <c r="E169" s="32">
        <f t="shared" si="90"/>
        <v>-0.10881801125703565</v>
      </c>
      <c r="F169" s="18">
        <f>IF(ISNUMBER(D169), $B172 * E169, "")</f>
        <v>-16322.701688555348</v>
      </c>
      <c r="G169" s="31">
        <v>492</v>
      </c>
      <c r="H169" s="32">
        <f t="shared" si="91"/>
        <v>-7.6923076923076927E-2</v>
      </c>
      <c r="I169" s="97">
        <f>IF(ISNUMBER(G169), $B172 * H169, "")</f>
        <v>-11538.461538461539</v>
      </c>
      <c r="J169" s="15">
        <v>488</v>
      </c>
      <c r="K169" s="32">
        <f t="shared" si="92"/>
        <v>-8.4427767354596617E-2</v>
      </c>
      <c r="L169" s="18">
        <f>IF(ISNUMBER(J169), $B172 * K169, "")</f>
        <v>-12664.165103189493</v>
      </c>
      <c r="M169" s="31">
        <v>489</v>
      </c>
      <c r="N169" s="32">
        <f t="shared" si="93"/>
        <v>-8.2551594746716694E-2</v>
      </c>
      <c r="O169" s="18">
        <f>IF(ISNUMBER(M169), $B172 * N169, "")</f>
        <v>-12382.739212007504</v>
      </c>
      <c r="Q169" s="267"/>
      <c r="R169" s="267"/>
      <c r="S169" s="267"/>
    </row>
    <row r="170" spans="1:19">
      <c r="A170" s="124" t="s">
        <v>240</v>
      </c>
      <c r="B170" s="125">
        <v>172</v>
      </c>
      <c r="C170" s="73">
        <v>-6.5217391299999997E-2</v>
      </c>
      <c r="D170" s="15">
        <v>160</v>
      </c>
      <c r="E170" s="32">
        <f t="shared" si="90"/>
        <v>-6.9767441860465115E-2</v>
      </c>
      <c r="F170" s="18">
        <f>IF(ISNUMBER(D170), $B172 * E170, "")</f>
        <v>-10465.116279069767</v>
      </c>
      <c r="G170" s="31">
        <v>167</v>
      </c>
      <c r="H170" s="32">
        <f t="shared" si="91"/>
        <v>-2.9069767441860465E-2</v>
      </c>
      <c r="I170" s="97">
        <f>IF(ISNUMBER(G170), $B172 * H170, "")</f>
        <v>-4360.4651162790697</v>
      </c>
      <c r="J170" s="15">
        <v>169</v>
      </c>
      <c r="K170" s="32">
        <f t="shared" si="92"/>
        <v>-1.7441860465116279E-2</v>
      </c>
      <c r="L170" s="18">
        <f>IF(ISNUMBER(J170), $B172 * K170, "")</f>
        <v>-2616.2790697674418</v>
      </c>
      <c r="M170" s="31">
        <v>169</v>
      </c>
      <c r="N170" s="32">
        <f t="shared" si="93"/>
        <v>-1.7441860465116279E-2</v>
      </c>
      <c r="O170" s="18">
        <f>IF(ISNUMBER(M170), $B172 * N170, "")</f>
        <v>-2616.2790697674418</v>
      </c>
      <c r="Q170" s="289"/>
      <c r="R170" s="290"/>
      <c r="S170" s="291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>
        <v>598</v>
      </c>
      <c r="E171" s="25">
        <f t="shared" si="90"/>
        <v>-5.3797468354430382E-2</v>
      </c>
      <c r="F171" s="100">
        <f>IF(ISNUMBER(D171), $B172 * E171, "")</f>
        <v>-8069.6202531645577</v>
      </c>
      <c r="G171" s="98">
        <v>639</v>
      </c>
      <c r="H171" s="25">
        <f t="shared" si="91"/>
        <v>1.1075949367088608E-2</v>
      </c>
      <c r="I171" s="99">
        <f>IF(ISNUMBER(G171), $B172 * H171, "")</f>
        <v>1661.3924050632911</v>
      </c>
      <c r="J171" s="24">
        <v>615</v>
      </c>
      <c r="K171" s="25">
        <f t="shared" si="92"/>
        <v>-2.6898734177215191E-2</v>
      </c>
      <c r="L171" s="100">
        <f>IF(ISNUMBER(J171), $B172 * K171, "")</f>
        <v>-4034.8101265822788</v>
      </c>
      <c r="M171" s="98">
        <v>616</v>
      </c>
      <c r="N171" s="25">
        <f t="shared" si="93"/>
        <v>-2.5316455696202531E-2</v>
      </c>
      <c r="O171" s="100">
        <f>IF(ISNUMBER(M171), $B172 * N171, "")</f>
        <v>-3797.4683544303798</v>
      </c>
      <c r="Q171" s="292"/>
      <c r="R171" s="293"/>
      <c r="S171" s="294"/>
    </row>
    <row r="172" spans="1:19" ht="17.25" thickBot="1">
      <c r="A172" s="131" t="s">
        <v>301</v>
      </c>
      <c r="B172" s="300">
        <f>$B$37</f>
        <v>150000</v>
      </c>
      <c r="C172" s="301"/>
      <c r="D172" s="26" t="s">
        <v>302</v>
      </c>
      <c r="E172" s="27">
        <f>IF(COUNT(E152:E171), SUM(E152:E171) / COUNT(E152:E171), 0)</f>
        <v>-6.9003351335458304E-2</v>
      </c>
      <c r="F172" s="28">
        <f>SUM(F152:F171)</f>
        <v>-207010.05400637494</v>
      </c>
      <c r="G172" s="26" t="s">
        <v>302</v>
      </c>
      <c r="H172" s="27">
        <f>IF(COUNT(H152:H171), SUM(H152:H171) / COUNT(H152:H171), 0)</f>
        <v>-3.3941409927125035E-2</v>
      </c>
      <c r="I172" s="28">
        <f>SUM(I152:I171)</f>
        <v>-101824.22978137511</v>
      </c>
      <c r="J172" s="26" t="s">
        <v>302</v>
      </c>
      <c r="K172" s="27">
        <f>IF(COUNT(K152:K171), SUM(K152:K171) / COUNT(K152:K171), 0)</f>
        <v>-2.5603668849239626E-2</v>
      </c>
      <c r="L172" s="28">
        <f>SUM(L152:L171)</f>
        <v>-76811.006547718862</v>
      </c>
      <c r="M172" s="26" t="s">
        <v>302</v>
      </c>
      <c r="N172" s="27">
        <f>IF(COUNT(N152:N171), SUM(N152:N171) / COUNT(N152:N171), 0)</f>
        <v>-3.0483661015306751E-2</v>
      </c>
      <c r="O172" s="28">
        <f>SUM(O152:O171)</f>
        <v>-91450.983045920249</v>
      </c>
      <c r="Q172" s="295"/>
      <c r="R172" s="296"/>
      <c r="S172" s="297"/>
    </row>
    <row r="174" spans="1:19" ht="17.25" thickBot="1"/>
    <row r="175" spans="1:19" ht="17.25" thickBot="1">
      <c r="A175" s="241" t="s">
        <v>285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186" t="s">
        <v>298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62017000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-1.6680144000000001E-2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2021-05-11(화) 오전 00:00</v>
      </c>
      <c r="C177" s="305"/>
      <c r="D177" s="264" t="str">
        <f>TEXT($G$1, "[$-ko-KR]yyyy-mm-dd(ddd) ") &amp; "오후 14:00"</f>
        <v>2021-05-11(화) 오후 14:00</v>
      </c>
      <c r="E177" s="265"/>
      <c r="F177" s="266"/>
      <c r="G177" s="264" t="str">
        <f>TEXT($G$1, "[$-ko-KR]yyyy-mm-dd(ddd) ") &amp; "오후 19:00"</f>
        <v>2021-05-11(화) 오후 19:00</v>
      </c>
      <c r="H177" s="265"/>
      <c r="I177" s="266"/>
      <c r="J177" s="264" t="str">
        <f>TEXT($G$1, "[$-ko-KR]yyyy-mm-dd(ddd) ") &amp; "오후 21:00"</f>
        <v>2021-05-11(화) 오후 21:00</v>
      </c>
      <c r="K177" s="265"/>
      <c r="L177" s="266"/>
      <c r="M177" s="264" t="str">
        <f>TEXT($G$1+1, "[$-ko-KR]yyyy-mm-dd(ddd) ") &amp; "오전 00:00"</f>
        <v>2021-05-12(수) 오전 00:00</v>
      </c>
      <c r="N177" s="265"/>
      <c r="O177" s="266"/>
      <c r="Q177" s="262"/>
      <c r="R177" s="262"/>
      <c r="S177" s="262"/>
    </row>
    <row r="178" spans="1:19" ht="17.25" thickBot="1">
      <c r="A178" s="30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7"/>
      <c r="R178" s="267"/>
      <c r="S178" s="267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>
        <v>1715</v>
      </c>
      <c r="E179" s="14">
        <f>IF(ISNUMBER(D179), (D179 - $B179) / $B179, "")</f>
        <v>-0.13164556962025317</v>
      </c>
      <c r="F179" s="16">
        <f>IF(ISNUMBER(D179), $B199 * E179, "")</f>
        <v>-19746.835443037977</v>
      </c>
      <c r="G179" s="29">
        <v>1760</v>
      </c>
      <c r="H179" s="14">
        <f>IF(ISNUMBER(G179), (G179 - $B179) / $B179, "")</f>
        <v>-0.10886075949367088</v>
      </c>
      <c r="I179" s="96">
        <f>IF(ISNUMBER(G179), $B199 * H179, "")</f>
        <v>-16329.113924050633</v>
      </c>
      <c r="J179" s="13">
        <v>1755</v>
      </c>
      <c r="K179" s="14">
        <f>IF(ISNUMBER(J179), (J179 - $B179) / $B179, "")</f>
        <v>-0.11139240506329114</v>
      </c>
      <c r="L179" s="16">
        <f>IF(ISNUMBER(J179), $B199 * K179, "")</f>
        <v>-16708.860759493669</v>
      </c>
      <c r="M179" s="29">
        <v>1765</v>
      </c>
      <c r="N179" s="14">
        <f>IF(ISNUMBER(M179), (M179 - $B179) / $B179, "")</f>
        <v>-0.10632911392405063</v>
      </c>
      <c r="O179" s="16">
        <f>IF(ISNUMBER(M179), $B199 * N179, "")</f>
        <v>-15949.367088607594</v>
      </c>
      <c r="Q179" s="262"/>
      <c r="R179" s="262"/>
      <c r="S179" s="262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>
        <v>12110</v>
      </c>
      <c r="E180" s="32">
        <f t="shared" ref="E180:E183" si="94">IF(ISNUMBER(D180), (D180 - $B180) / $B180, "")</f>
        <v>-8.3963691376701968E-2</v>
      </c>
      <c r="F180" s="18">
        <f>IF(ISNUMBER(D180), $B199 * E180, "")</f>
        <v>-12594.553706505296</v>
      </c>
      <c r="G180" s="31">
        <v>12520</v>
      </c>
      <c r="H180" s="32">
        <f t="shared" ref="H180:H183" si="95">IF(ISNUMBER(G180), (G180 - $B180) / $B180, "")</f>
        <v>-5.2950075642965201E-2</v>
      </c>
      <c r="I180" s="97">
        <f>IF(ISNUMBER(G180), $B199 * H180, "")</f>
        <v>-7942.5113464447804</v>
      </c>
      <c r="J180" s="15">
        <v>12890</v>
      </c>
      <c r="K180" s="32">
        <f t="shared" ref="K180:K183" si="96">IF(ISNUMBER(J180), (J180 - $B180) / $B180, "")</f>
        <v>-2.4962178517397883E-2</v>
      </c>
      <c r="L180" s="18">
        <f>IF(ISNUMBER(J180), $B199 * K180, "")</f>
        <v>-3744.3267776096823</v>
      </c>
      <c r="M180" s="31">
        <v>12820</v>
      </c>
      <c r="N180" s="32">
        <f t="shared" ref="N180:N183" si="97">IF(ISNUMBER(M180), (M180 - $B180) / $B180, "")</f>
        <v>-3.0257186081694403E-2</v>
      </c>
      <c r="O180" s="18">
        <f>IF(ISNUMBER(M180), $B199 * N180, "")</f>
        <v>-4538.5779122541608</v>
      </c>
      <c r="Q180" s="262"/>
      <c r="R180" s="262"/>
      <c r="S180" s="262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>
        <v>634</v>
      </c>
      <c r="E181" s="32">
        <f t="shared" si="94"/>
        <v>-4.3740573152337855E-2</v>
      </c>
      <c r="F181" s="18">
        <f>IF(ISNUMBER(D181), $B199 * E181, "")</f>
        <v>-6561.0859728506784</v>
      </c>
      <c r="G181" s="31">
        <v>652</v>
      </c>
      <c r="H181" s="32">
        <f t="shared" si="95"/>
        <v>-1.6591251885369532E-2</v>
      </c>
      <c r="I181" s="97">
        <f>IF(ISNUMBER(G181), $B199 * H181, "")</f>
        <v>-2488.6877828054298</v>
      </c>
      <c r="J181" s="15">
        <v>652</v>
      </c>
      <c r="K181" s="32">
        <f t="shared" si="96"/>
        <v>-1.6591251885369532E-2</v>
      </c>
      <c r="L181" s="18">
        <f>IF(ISNUMBER(J181), $B199 * K181, "")</f>
        <v>-2488.6877828054298</v>
      </c>
      <c r="M181" s="31">
        <v>665</v>
      </c>
      <c r="N181" s="32">
        <f t="shared" si="97"/>
        <v>3.0165912518853697E-3</v>
      </c>
      <c r="O181" s="18">
        <f>IF(ISNUMBER(M181), $B199 * N181, "")</f>
        <v>452.48868778280547</v>
      </c>
      <c r="Q181" s="267"/>
      <c r="R181" s="267"/>
      <c r="S181" s="267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>
        <v>582</v>
      </c>
      <c r="E182" s="32">
        <f t="shared" si="94"/>
        <v>-8.6342229199372053E-2</v>
      </c>
      <c r="F182" s="18">
        <f>IF(ISNUMBER(D182), $B199 * E182, "")</f>
        <v>-12951.334379905808</v>
      </c>
      <c r="G182" s="31">
        <v>612</v>
      </c>
      <c r="H182" s="32">
        <f t="shared" si="95"/>
        <v>-3.924646781789639E-2</v>
      </c>
      <c r="I182" s="97">
        <f>IF(ISNUMBER(G182), $B199 * H182, "")</f>
        <v>-5886.9701726844587</v>
      </c>
      <c r="J182" s="15">
        <v>613</v>
      </c>
      <c r="K182" s="32">
        <f t="shared" si="96"/>
        <v>-3.7676609105180531E-2</v>
      </c>
      <c r="L182" s="18">
        <f>IF(ISNUMBER(J182), $B199 * K182, "")</f>
        <v>-5651.4913657770794</v>
      </c>
      <c r="M182" s="31">
        <v>608</v>
      </c>
      <c r="N182" s="32">
        <f t="shared" si="97"/>
        <v>-4.5525902668759811E-2</v>
      </c>
      <c r="O182" s="18">
        <f>IF(ISNUMBER(M182), $B199 * N182, "")</f>
        <v>-6828.8854003139713</v>
      </c>
      <c r="Q182" s="267"/>
      <c r="R182" s="267"/>
      <c r="S182" s="267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>
        <v>2825</v>
      </c>
      <c r="E183" s="21">
        <f t="shared" si="94"/>
        <v>-0.10742496050552923</v>
      </c>
      <c r="F183" s="22">
        <f>IF(ISNUMBER(D183), $B199 * E183, "")</f>
        <v>-16113.744075829385</v>
      </c>
      <c r="G183" s="30">
        <v>2900</v>
      </c>
      <c r="H183" s="21">
        <f t="shared" si="95"/>
        <v>-8.3728278041074244E-2</v>
      </c>
      <c r="I183" s="101">
        <f>IF(ISNUMBER(G183), $B199 * H183, "")</f>
        <v>-12559.241706161136</v>
      </c>
      <c r="J183" s="20">
        <v>2855</v>
      </c>
      <c r="K183" s="21">
        <f t="shared" si="96"/>
        <v>-9.7946287519747238E-2</v>
      </c>
      <c r="L183" s="22">
        <f>IF(ISNUMBER(J183), $B199 * K183, "")</f>
        <v>-14691.943127962086</v>
      </c>
      <c r="M183" s="30">
        <v>2935</v>
      </c>
      <c r="N183" s="21">
        <f t="shared" si="97"/>
        <v>-7.266982622432859E-2</v>
      </c>
      <c r="O183" s="22">
        <f>IF(ISNUMBER(M183), $B199 * N183, "")</f>
        <v>-10900.473933649289</v>
      </c>
      <c r="Q183" s="267"/>
      <c r="R183" s="267"/>
      <c r="S183" s="267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>
        <v>13000</v>
      </c>
      <c r="E184" s="103">
        <f>IF(ISNUMBER(D184), (D184 - $B184) / $B184, "")</f>
        <v>-7.2753209700427965E-2</v>
      </c>
      <c r="F184" s="104">
        <f>IF(ISNUMBER(D184), $B199 * E184, "")</f>
        <v>-10912.981455064195</v>
      </c>
      <c r="G184" s="105">
        <v>13310</v>
      </c>
      <c r="H184" s="103">
        <f>IF(ISNUMBER(G184), (G184 - $B184) / $B184, "")</f>
        <v>-5.0641940085592009E-2</v>
      </c>
      <c r="I184" s="106">
        <f>IF(ISNUMBER(G184), $B199 * H184, "")</f>
        <v>-7596.2910128388012</v>
      </c>
      <c r="J184" s="102">
        <v>13100</v>
      </c>
      <c r="K184" s="103">
        <f>IF(ISNUMBER(J184), (J184 - $B184) / $B184, "")</f>
        <v>-6.5620542082738945E-2</v>
      </c>
      <c r="L184" s="104">
        <f>IF(ISNUMBER(J184), $B199 * K184, "")</f>
        <v>-9843.0813124108408</v>
      </c>
      <c r="M184" s="105">
        <v>13280</v>
      </c>
      <c r="N184" s="103">
        <f>IF(ISNUMBER(M184), (M184 - $B184) / $B184, "")</f>
        <v>-5.2781740370898715E-2</v>
      </c>
      <c r="O184" s="104">
        <f>IF(ISNUMBER(M184), $B199 * N184, "")</f>
        <v>-7917.2610556348072</v>
      </c>
      <c r="Q184" s="267"/>
      <c r="R184" s="267"/>
      <c r="S184" s="267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>
        <v>253</v>
      </c>
      <c r="E185" s="32">
        <f t="shared" ref="E185:E188" si="98">IF(ISNUMBER(D185), (D185 - $B185) / $B185, "")</f>
        <v>-7.3260073260073263E-2</v>
      </c>
      <c r="F185" s="18">
        <f>IF(ISNUMBER(D185), $B199 * E185, "")</f>
        <v>-10989.010989010989</v>
      </c>
      <c r="G185" s="31">
        <v>263</v>
      </c>
      <c r="H185" s="32">
        <f t="shared" ref="H185:H188" si="99">IF(ISNUMBER(G185), (G185 - $B185) / $B185, "")</f>
        <v>-3.6630036630036632E-2</v>
      </c>
      <c r="I185" s="97">
        <f>IF(ISNUMBER(G185), $B199 * H185, "")</f>
        <v>-5494.5054945054944</v>
      </c>
      <c r="J185" s="15">
        <v>258</v>
      </c>
      <c r="K185" s="32">
        <f t="shared" ref="K185:K188" si="100">IF(ISNUMBER(J185), (J185 - $B185) / $B185, "")</f>
        <v>-5.4945054945054944E-2</v>
      </c>
      <c r="L185" s="18">
        <f>IF(ISNUMBER(J185), $B199 * K185, "")</f>
        <v>-8241.7582417582416</v>
      </c>
      <c r="M185" s="31">
        <v>254</v>
      </c>
      <c r="N185" s="32">
        <f t="shared" ref="N185:N188" si="101">IF(ISNUMBER(M185), (M185 - $B185) / $B185, "")</f>
        <v>-6.95970695970696E-2</v>
      </c>
      <c r="O185" s="18">
        <f>IF(ISNUMBER(M185), $B199 * N185, "")</f>
        <v>-10439.56043956044</v>
      </c>
      <c r="Q185" s="267"/>
      <c r="R185" s="267"/>
      <c r="S185" s="267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>
        <v>435</v>
      </c>
      <c r="E186" s="32">
        <f t="shared" si="98"/>
        <v>-0.12121212121212122</v>
      </c>
      <c r="F186" s="18">
        <f>IF(ISNUMBER(D186), $B199 * E186, "")</f>
        <v>-18181.818181818184</v>
      </c>
      <c r="G186" s="31">
        <v>453</v>
      </c>
      <c r="H186" s="32">
        <f t="shared" si="99"/>
        <v>-8.4848484848484854E-2</v>
      </c>
      <c r="I186" s="97">
        <f>IF(ISNUMBER(G186), $B199 * H186, "")</f>
        <v>-12727.272727272728</v>
      </c>
      <c r="J186" s="15">
        <v>456</v>
      </c>
      <c r="K186" s="32">
        <f t="shared" si="100"/>
        <v>-7.8787878787878782E-2</v>
      </c>
      <c r="L186" s="18">
        <f>IF(ISNUMBER(J186), $B199 * K186, "")</f>
        <v>-11818.181818181818</v>
      </c>
      <c r="M186" s="31">
        <v>460</v>
      </c>
      <c r="N186" s="32">
        <f t="shared" si="101"/>
        <v>-7.0707070707070704E-2</v>
      </c>
      <c r="O186" s="18">
        <f>IF(ISNUMBER(M186), $B199 * N186, "")</f>
        <v>-10606.060606060606</v>
      </c>
      <c r="Q186" s="267"/>
      <c r="R186" s="267"/>
      <c r="S186" s="267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>
        <v>3530</v>
      </c>
      <c r="E187" s="32">
        <f t="shared" si="98"/>
        <v>-0.11639549436795996</v>
      </c>
      <c r="F187" s="18">
        <f>IF(ISNUMBER(D187), $B199 * E187, "")</f>
        <v>-17459.324155193994</v>
      </c>
      <c r="G187" s="31">
        <v>3660</v>
      </c>
      <c r="H187" s="32">
        <f t="shared" si="99"/>
        <v>-8.3854818523153948E-2</v>
      </c>
      <c r="I187" s="97">
        <f>IF(ISNUMBER(G187), $B199 * H187, "")</f>
        <v>-12578.222778473093</v>
      </c>
      <c r="J187" s="15">
        <v>3665</v>
      </c>
      <c r="K187" s="32">
        <f t="shared" si="100"/>
        <v>-8.2603254067584481E-2</v>
      </c>
      <c r="L187" s="18">
        <f>IF(ISNUMBER(J187), $B199 * K187, "")</f>
        <v>-12390.488110137672</v>
      </c>
      <c r="M187" s="31">
        <v>3635</v>
      </c>
      <c r="N187" s="32">
        <f t="shared" si="101"/>
        <v>-9.0112640801001245E-2</v>
      </c>
      <c r="O187" s="18">
        <f>IF(ISNUMBER(M187), $B199 * N187, "")</f>
        <v>-13516.896120150186</v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>
        <v>1110</v>
      </c>
      <c r="E188" s="25">
        <f t="shared" si="98"/>
        <v>-8.6419753086419748E-2</v>
      </c>
      <c r="F188" s="100">
        <f>IF(ISNUMBER(D188), $B199 * E188, "")</f>
        <v>-12962.962962962962</v>
      </c>
      <c r="G188" s="98">
        <v>1130</v>
      </c>
      <c r="H188" s="25">
        <f t="shared" si="99"/>
        <v>-6.9958847736625515E-2</v>
      </c>
      <c r="I188" s="99">
        <f>IF(ISNUMBER(G188), $B199 * H188, "")</f>
        <v>-10493.827160493827</v>
      </c>
      <c r="J188" s="24">
        <v>1135</v>
      </c>
      <c r="K188" s="25">
        <f t="shared" si="100"/>
        <v>-6.584362139917696E-2</v>
      </c>
      <c r="L188" s="100">
        <f>IF(ISNUMBER(J188), $B199 * K188, "")</f>
        <v>-9876.5432098765432</v>
      </c>
      <c r="M188" s="98">
        <v>1145</v>
      </c>
      <c r="N188" s="25">
        <f t="shared" si="101"/>
        <v>-5.7613168724279837E-2</v>
      </c>
      <c r="O188" s="100">
        <f>IF(ISNUMBER(M188), $B199 * N188, "")</f>
        <v>-8641.9753086419751</v>
      </c>
      <c r="Q188" s="276"/>
      <c r="R188" s="277"/>
      <c r="S188" s="278"/>
    </row>
    <row r="189" spans="1:19">
      <c r="A189" s="122" t="s">
        <v>128</v>
      </c>
      <c r="B189" s="123">
        <v>685</v>
      </c>
      <c r="C189" s="72">
        <v>-5.12465374E-2</v>
      </c>
      <c r="D189" s="13">
        <v>637</v>
      </c>
      <c r="E189" s="14">
        <f>IF(ISNUMBER(D189), (D189 - $B189) / $B189, "")</f>
        <v>-7.0072992700729933E-2</v>
      </c>
      <c r="F189" s="16">
        <f>IF(ISNUMBER(D189), $B199 * E189, "")</f>
        <v>-10510.94890510949</v>
      </c>
      <c r="G189" s="29">
        <v>647</v>
      </c>
      <c r="H189" s="14">
        <f>IF(ISNUMBER(G189), (G189 - $B189) / $B189, "")</f>
        <v>-5.5474452554744529E-2</v>
      </c>
      <c r="I189" s="96">
        <f>IF(ISNUMBER(G189), $B199 * H189, "")</f>
        <v>-8321.1678832116795</v>
      </c>
      <c r="J189" s="13">
        <v>643</v>
      </c>
      <c r="K189" s="14">
        <f>IF(ISNUMBER(J189), (J189 - $B189) / $B189, "")</f>
        <v>-6.1313868613138686E-2</v>
      </c>
      <c r="L189" s="16">
        <f>IF(ISNUMBER(J189), $B199 * K189, "")</f>
        <v>-9197.0802919708021</v>
      </c>
      <c r="M189" s="29">
        <v>636</v>
      </c>
      <c r="N189" s="14">
        <f>IF(ISNUMBER(M189), (M189 - $B189) / $B189, "")</f>
        <v>-7.153284671532846E-2</v>
      </c>
      <c r="O189" s="16">
        <f>IF(ISNUMBER(M189), $B199 * N189, "")</f>
        <v>-10729.927007299269</v>
      </c>
      <c r="Q189" s="279"/>
      <c r="R189" s="280"/>
      <c r="S189" s="281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>
        <v>1185</v>
      </c>
      <c r="E190" s="32">
        <f t="shared" ref="E190:E193" si="102">IF(ISNUMBER(D190), (D190 - $B190) / $B190, "")</f>
        <v>-8.4942084942084939E-2</v>
      </c>
      <c r="F190" s="18">
        <f>IF(ISNUMBER(D190), $B199 * E190, "")</f>
        <v>-12741.31274131274</v>
      </c>
      <c r="G190" s="31">
        <v>1255</v>
      </c>
      <c r="H190" s="32">
        <f t="shared" ref="H190:H193" si="103">IF(ISNUMBER(G190), (G190 - $B190) / $B190, "")</f>
        <v>-3.0888030888030889E-2</v>
      </c>
      <c r="I190" s="97">
        <f>IF(ISNUMBER(G190), $B199 * H190, "")</f>
        <v>-4633.204633204633</v>
      </c>
      <c r="J190" s="15">
        <v>1265</v>
      </c>
      <c r="K190" s="32">
        <f t="shared" ref="K190:K193" si="104">IF(ISNUMBER(J190), (J190 - $B190) / $B190, "")</f>
        <v>-2.3166023166023165E-2</v>
      </c>
      <c r="L190" s="18">
        <f>IF(ISNUMBER(J190), $B199 * K190, "")</f>
        <v>-3474.9034749034749</v>
      </c>
      <c r="M190" s="31">
        <v>1225</v>
      </c>
      <c r="N190" s="32">
        <f t="shared" ref="N190:N193" si="105">IF(ISNUMBER(M190), (M190 - $B190) / $B190, "")</f>
        <v>-5.4054054054054057E-2</v>
      </c>
      <c r="O190" s="18">
        <f>IF(ISNUMBER(M190), $B199 * N190, "")</f>
        <v>-8108.1081081081084</v>
      </c>
      <c r="Q190" s="282"/>
      <c r="R190" s="283"/>
      <c r="S190" s="284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>
        <v>1990</v>
      </c>
      <c r="E191" s="32">
        <f t="shared" si="102"/>
        <v>-5.6872037914691941E-2</v>
      </c>
      <c r="F191" s="18">
        <f>IF(ISNUMBER(D191), $B199 * E191, "")</f>
        <v>-8530.8056872037905</v>
      </c>
      <c r="G191" s="31">
        <v>2015</v>
      </c>
      <c r="H191" s="32">
        <f t="shared" si="103"/>
        <v>-4.5023696682464455E-2</v>
      </c>
      <c r="I191" s="97">
        <f>IF(ISNUMBER(G191), $B199 * H191, "")</f>
        <v>-6753.5545023696686</v>
      </c>
      <c r="J191" s="15">
        <v>2035</v>
      </c>
      <c r="K191" s="32">
        <f t="shared" si="104"/>
        <v>-3.5545023696682464E-2</v>
      </c>
      <c r="L191" s="18">
        <f>IF(ISNUMBER(J191), $B199 * K191, "")</f>
        <v>-5331.7535545023693</v>
      </c>
      <c r="M191" s="31">
        <v>2040</v>
      </c>
      <c r="N191" s="32">
        <f t="shared" si="105"/>
        <v>-3.3175355450236969E-2</v>
      </c>
      <c r="O191" s="18">
        <f>IF(ISNUMBER(M191), $B199 * N191, "")</f>
        <v>-4976.3033175355458</v>
      </c>
      <c r="Q191" s="267"/>
      <c r="R191" s="267"/>
      <c r="S191" s="267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>
        <v>3215</v>
      </c>
      <c r="E192" s="32">
        <f t="shared" si="102"/>
        <v>-9.1807909604519775E-2</v>
      </c>
      <c r="F192" s="18">
        <f>IF(ISNUMBER(D192), $B199 * E192, "")</f>
        <v>-13771.186440677966</v>
      </c>
      <c r="G192" s="31">
        <v>3345</v>
      </c>
      <c r="H192" s="32">
        <f t="shared" si="103"/>
        <v>-5.5084745762711863E-2</v>
      </c>
      <c r="I192" s="97">
        <f>IF(ISNUMBER(G192), $B199 * H192, "")</f>
        <v>-8262.7118644067796</v>
      </c>
      <c r="J192" s="15">
        <v>3390</v>
      </c>
      <c r="K192" s="32">
        <f t="shared" si="104"/>
        <v>-4.2372881355932202E-2</v>
      </c>
      <c r="L192" s="18">
        <f>IF(ISNUMBER(J192), $B199 * K192, "")</f>
        <v>-6355.9322033898306</v>
      </c>
      <c r="M192" s="31">
        <v>3420</v>
      </c>
      <c r="N192" s="32">
        <f t="shared" si="105"/>
        <v>-3.3898305084745763E-2</v>
      </c>
      <c r="O192" s="18">
        <f>IF(ISNUMBER(M192), $B199 * N192, "")</f>
        <v>-5084.7457627118647</v>
      </c>
      <c r="Q192" s="262"/>
      <c r="R192" s="262"/>
      <c r="S192" s="262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>
        <v>28380</v>
      </c>
      <c r="E193" s="21">
        <f t="shared" si="102"/>
        <v>-0.10782772712983339</v>
      </c>
      <c r="F193" s="22">
        <f>IF(ISNUMBER(D193), $B199 * E193, "")</f>
        <v>-16174.159069475008</v>
      </c>
      <c r="G193" s="30">
        <v>29210</v>
      </c>
      <c r="H193" s="21">
        <f t="shared" si="103"/>
        <v>-8.1735303363722103E-2</v>
      </c>
      <c r="I193" s="101">
        <f>IF(ISNUMBER(G193), $B199 * H193, "")</f>
        <v>-12260.295504558315</v>
      </c>
      <c r="J193" s="20">
        <v>28570</v>
      </c>
      <c r="K193" s="21">
        <f t="shared" si="104"/>
        <v>-0.10185476265325369</v>
      </c>
      <c r="L193" s="22">
        <f>IF(ISNUMBER(J193), $B199 * K193, "")</f>
        <v>-15278.214397988053</v>
      </c>
      <c r="M193" s="30">
        <v>30830</v>
      </c>
      <c r="N193" s="21">
        <f t="shared" si="105"/>
        <v>-3.0807922037095252E-2</v>
      </c>
      <c r="O193" s="22">
        <f>IF(ISNUMBER(M193), $B199 * N193, "")</f>
        <v>-4621.1883055642875</v>
      </c>
      <c r="Q193" s="262"/>
      <c r="R193" s="262"/>
      <c r="S193" s="262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>
        <v>423</v>
      </c>
      <c r="E194" s="103">
        <f>IF(ISNUMBER(D194), (D194 - $B194) / $B194, "")</f>
        <v>-0.06</v>
      </c>
      <c r="F194" s="104">
        <f>IF(ISNUMBER(D194), $B199 * E194, "")</f>
        <v>-9000</v>
      </c>
      <c r="G194" s="105">
        <v>436</v>
      </c>
      <c r="H194" s="103">
        <f>IF(ISNUMBER(G194), (G194 - $B194) / $B194, "")</f>
        <v>-3.111111111111111E-2</v>
      </c>
      <c r="I194" s="106">
        <f>IF(ISNUMBER(G194), $B199 * H194, "")</f>
        <v>-4666.666666666667</v>
      </c>
      <c r="J194" s="102">
        <v>435</v>
      </c>
      <c r="K194" s="103">
        <f>IF(ISNUMBER(J194), (J194 - $B194) / $B194, "")</f>
        <v>-3.3333333333333333E-2</v>
      </c>
      <c r="L194" s="104">
        <f>IF(ISNUMBER(J194), $B199 * K194, "")</f>
        <v>-5000</v>
      </c>
      <c r="M194" s="105">
        <v>432</v>
      </c>
      <c r="N194" s="103">
        <f>IF(ISNUMBER(M194), (M194 - $B194) / $B194, "")</f>
        <v>-0.04</v>
      </c>
      <c r="O194" s="104">
        <f>IF(ISNUMBER(M194), $B199 * N194, "")</f>
        <v>-6000</v>
      </c>
      <c r="Q194" s="267"/>
      <c r="R194" s="267"/>
      <c r="S194" s="267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>
        <v>475</v>
      </c>
      <c r="E195" s="32">
        <f t="shared" ref="E195:E198" si="106">IF(ISNUMBER(D195), (D195 - $B195) / $B195, "")</f>
        <v>-0.10881801125703565</v>
      </c>
      <c r="F195" s="18">
        <f>IF(ISNUMBER(D195), $B199 * E195, "")</f>
        <v>-16322.701688555348</v>
      </c>
      <c r="G195" s="31">
        <v>492</v>
      </c>
      <c r="H195" s="32">
        <f t="shared" ref="H195:H198" si="107">IF(ISNUMBER(G195), (G195 - $B195) / $B195, "")</f>
        <v>-7.6923076923076927E-2</v>
      </c>
      <c r="I195" s="97">
        <f>IF(ISNUMBER(G195), $B199 * H195, "")</f>
        <v>-11538.461538461539</v>
      </c>
      <c r="J195" s="15">
        <v>488</v>
      </c>
      <c r="K195" s="32">
        <f t="shared" ref="K195:K198" si="108">IF(ISNUMBER(J195), (J195 - $B195) / $B195, "")</f>
        <v>-8.4427767354596617E-2</v>
      </c>
      <c r="L195" s="18">
        <f>IF(ISNUMBER(J195), $B199 * K195, "")</f>
        <v>-12664.165103189493</v>
      </c>
      <c r="M195" s="31">
        <v>489</v>
      </c>
      <c r="N195" s="32">
        <f t="shared" ref="N195:N198" si="109">IF(ISNUMBER(M195), (M195 - $B195) / $B195, "")</f>
        <v>-8.2551594746716694E-2</v>
      </c>
      <c r="O195" s="18">
        <f>IF(ISNUMBER(M195), $B199 * N195, "")</f>
        <v>-12382.739212007504</v>
      </c>
      <c r="Q195" s="267"/>
      <c r="R195" s="267"/>
      <c r="S195" s="267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>
        <v>160</v>
      </c>
      <c r="E196" s="32">
        <f t="shared" si="106"/>
        <v>-6.9767441860465115E-2</v>
      </c>
      <c r="F196" s="18">
        <f>IF(ISNUMBER(D196), $B199 * E196, "")</f>
        <v>-10465.116279069767</v>
      </c>
      <c r="G196" s="31">
        <v>167</v>
      </c>
      <c r="H196" s="32">
        <f t="shared" si="107"/>
        <v>-2.9069767441860465E-2</v>
      </c>
      <c r="I196" s="97">
        <f>IF(ISNUMBER(G196), $B199 * H196, "")</f>
        <v>-4360.4651162790697</v>
      </c>
      <c r="J196" s="15">
        <v>169</v>
      </c>
      <c r="K196" s="32">
        <f t="shared" si="108"/>
        <v>-1.7441860465116279E-2</v>
      </c>
      <c r="L196" s="18">
        <f>IF(ISNUMBER(J196), $B199 * K196, "")</f>
        <v>-2616.2790697674418</v>
      </c>
      <c r="M196" s="31">
        <v>169</v>
      </c>
      <c r="N196" s="32">
        <f t="shared" si="109"/>
        <v>-1.7441860465116279E-2</v>
      </c>
      <c r="O196" s="18">
        <f>IF(ISNUMBER(M196), $B199 * N196, "")</f>
        <v>-2616.2790697674418</v>
      </c>
      <c r="Q196" s="267"/>
      <c r="R196" s="267"/>
      <c r="S196" s="267"/>
    </row>
    <row r="197" spans="1:19">
      <c r="A197" s="124" t="s">
        <v>262</v>
      </c>
      <c r="B197" s="125">
        <v>1350</v>
      </c>
      <c r="C197" s="73">
        <v>-9.0909090900000003E-2</v>
      </c>
      <c r="D197" s="15">
        <v>1220</v>
      </c>
      <c r="E197" s="32">
        <f t="shared" si="106"/>
        <v>-9.6296296296296297E-2</v>
      </c>
      <c r="F197" s="18">
        <f>IF(ISNUMBER(D197), $B199 * E197, "")</f>
        <v>-14444.444444444445</v>
      </c>
      <c r="G197" s="31">
        <v>1255</v>
      </c>
      <c r="H197" s="32">
        <f t="shared" si="107"/>
        <v>-7.0370370370370375E-2</v>
      </c>
      <c r="I197" s="97">
        <f>IF(ISNUMBER(G197), $B199 * H197, "")</f>
        <v>-10555.555555555557</v>
      </c>
      <c r="J197" s="15">
        <v>1260</v>
      </c>
      <c r="K197" s="32">
        <f t="shared" si="108"/>
        <v>-6.6666666666666666E-2</v>
      </c>
      <c r="L197" s="18">
        <f>IF(ISNUMBER(J197), $B199 * K197, "")</f>
        <v>-10000</v>
      </c>
      <c r="M197" s="31">
        <v>1320</v>
      </c>
      <c r="N197" s="32">
        <f t="shared" si="109"/>
        <v>-2.2222222222222223E-2</v>
      </c>
      <c r="O197" s="18">
        <f>IF(ISNUMBER(M197), $B199 * N197, "")</f>
        <v>-3333.3333333333335</v>
      </c>
      <c r="Q197" s="289"/>
      <c r="R197" s="290"/>
      <c r="S197" s="291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>
        <v>598</v>
      </c>
      <c r="E198" s="25">
        <f t="shared" si="106"/>
        <v>-5.3797468354430382E-2</v>
      </c>
      <c r="F198" s="100">
        <f>IF(ISNUMBER(D198), $B199 * E198, "")</f>
        <v>-8069.6202531645577</v>
      </c>
      <c r="G198" s="98">
        <v>639</v>
      </c>
      <c r="H198" s="25">
        <f t="shared" si="107"/>
        <v>1.1075949367088608E-2</v>
      </c>
      <c r="I198" s="99">
        <f>IF(ISNUMBER(G198), $B199 * H198, "")</f>
        <v>1661.3924050632911</v>
      </c>
      <c r="J198" s="24">
        <v>615</v>
      </c>
      <c r="K198" s="25">
        <f t="shared" si="108"/>
        <v>-2.6898734177215191E-2</v>
      </c>
      <c r="L198" s="100">
        <f>IF(ISNUMBER(J198), $B199 * K198, "")</f>
        <v>-4034.8101265822788</v>
      </c>
      <c r="M198" s="98">
        <v>616</v>
      </c>
      <c r="N198" s="25">
        <f t="shared" si="109"/>
        <v>-2.5316455696202531E-2</v>
      </c>
      <c r="O198" s="100">
        <f>IF(ISNUMBER(M198), $B199 * N198, "")</f>
        <v>-3797.4683544303798</v>
      </c>
      <c r="Q198" s="292"/>
      <c r="R198" s="293"/>
      <c r="S198" s="294"/>
    </row>
    <row r="199" spans="1:19" ht="17.25" thickBot="1">
      <c r="A199" s="131" t="s">
        <v>301</v>
      </c>
      <c r="B199" s="300">
        <f>$B$37</f>
        <v>150000</v>
      </c>
      <c r="C199" s="301"/>
      <c r="D199" s="26" t="s">
        <v>302</v>
      </c>
      <c r="E199" s="27">
        <f>IF(COUNT(E179:E198), SUM(E179:E198) / COUNT(E179:E198), 0)</f>
        <v>-8.6167982277064181E-2</v>
      </c>
      <c r="F199" s="28">
        <f>SUM(F179:F198)</f>
        <v>-258503.94683119259</v>
      </c>
      <c r="G199" s="26" t="s">
        <v>302</v>
      </c>
      <c r="H199" s="27">
        <f>IF(COUNT(H179:H198), SUM(H179:H198) / COUNT(H179:H198), 0)</f>
        <v>-5.4595778321793666E-2</v>
      </c>
      <c r="I199" s="28">
        <f>SUM(I179:I198)</f>
        <v>-163787.33496538099</v>
      </c>
      <c r="J199" s="26" t="s">
        <v>302</v>
      </c>
      <c r="K199" s="27">
        <f>IF(COUNT(K179:K198), SUM(K179:K198) / COUNT(K179:K198), 0)</f>
        <v>-5.6469500242768936E-2</v>
      </c>
      <c r="L199" s="28">
        <f>SUM(L179:L198)</f>
        <v>-169408.50072830683</v>
      </c>
      <c r="M199" s="26" t="s">
        <v>302</v>
      </c>
      <c r="N199" s="27">
        <f>IF(COUNT(N179:N198), SUM(N179:N198) / COUNT(N179:N198), 0)</f>
        <v>-5.0178887215949319E-2</v>
      </c>
      <c r="O199" s="28">
        <f>SUM(O179:O198)</f>
        <v>-150536.66164784797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91" priority="157">
      <formula>AND($N17 &gt; 0, ISNUMBER($N17))</formula>
    </cfRule>
    <cfRule type="expression" dxfId="890" priority="158">
      <formula>AND($N17 = 0 * ISNUMBER($N17))</formula>
    </cfRule>
    <cfRule type="expression" dxfId="889" priority="159">
      <formula>AND($N17 &lt; 0, ISNUMBER($N17))</formula>
    </cfRule>
  </conditionalFormatting>
  <conditionalFormatting sqref="A17:F36">
    <cfRule type="expression" dxfId="888" priority="166">
      <formula>AND($E17 &gt; 0, ISNUMBER($E17))</formula>
    </cfRule>
    <cfRule type="expression" dxfId="887" priority="167">
      <formula>AND($E17 = 0 * ISNUMBER($E17))</formula>
    </cfRule>
    <cfRule type="expression" dxfId="886" priority="168">
      <formula>AND($E17 &lt; 0, ISNUMBER($E17))</formula>
    </cfRule>
  </conditionalFormatting>
  <conditionalFormatting sqref="A17:C36 G17:I36">
    <cfRule type="expression" dxfId="885" priority="163">
      <formula>AND($H17 &gt; 0, ISNUMBER($H17))</formula>
    </cfRule>
    <cfRule type="expression" dxfId="884" priority="164">
      <formula>AND($H17 = 0 * ISNUMBER($H17))</formula>
    </cfRule>
    <cfRule type="expression" dxfId="883" priority="165">
      <formula>AND($H17 &lt; 0, ISNUMBER($H17))</formula>
    </cfRule>
  </conditionalFormatting>
  <conditionalFormatting sqref="A17:C36 J17:L36">
    <cfRule type="expression" dxfId="882" priority="160">
      <formula>AND($K17 &gt; 0, ISNUMBER($K17))</formula>
    </cfRule>
    <cfRule type="expression" dxfId="881" priority="161">
      <formula>AND($K17 = 0 * ISNUMBER($K17))</formula>
    </cfRule>
    <cfRule type="expression" dxfId="880" priority="162">
      <formula>AND($K17 &lt; 0, ISNUMBER($K17))</formula>
    </cfRule>
  </conditionalFormatting>
  <conditionalFormatting sqref="D15:F16 E37:F37">
    <cfRule type="expression" dxfId="879" priority="154">
      <formula>$E$37 &gt; 0</formula>
    </cfRule>
    <cfRule type="expression" dxfId="878" priority="155">
      <formula>$E$37 = 0</formula>
    </cfRule>
    <cfRule type="expression" dxfId="877" priority="156">
      <formula>$E$37 &lt; 0</formula>
    </cfRule>
  </conditionalFormatting>
  <conditionalFormatting sqref="G15:I16 H37:I37">
    <cfRule type="expression" dxfId="876" priority="151">
      <formula>$H$37 &gt; 0</formula>
    </cfRule>
    <cfRule type="expression" dxfId="875" priority="152">
      <formula>$H$37 = 0</formula>
    </cfRule>
    <cfRule type="expression" dxfId="874" priority="153">
      <formula>$H$37 &lt; 0</formula>
    </cfRule>
  </conditionalFormatting>
  <conditionalFormatting sqref="J15:L16 K37:L37">
    <cfRule type="expression" dxfId="873" priority="148">
      <formula>$K$37 &gt; 0</formula>
    </cfRule>
    <cfRule type="expression" dxfId="872" priority="149">
      <formula>$K$37 = 0</formula>
    </cfRule>
    <cfRule type="expression" dxfId="871" priority="150">
      <formula>$K$37 &lt; 0</formula>
    </cfRule>
  </conditionalFormatting>
  <conditionalFormatting sqref="M15:O16 N37:O37">
    <cfRule type="expression" dxfId="870" priority="145">
      <formula>$N$37 &gt; 0</formula>
    </cfRule>
    <cfRule type="expression" dxfId="869" priority="146">
      <formula>$N$37 = 0</formula>
    </cfRule>
    <cfRule type="expression" dxfId="868" priority="147">
      <formula>$N$37 &lt; 0</formula>
    </cfRule>
  </conditionalFormatting>
  <conditionalFormatting sqref="A44:C63 M44:O63">
    <cfRule type="expression" dxfId="867" priority="133">
      <formula>AND($N44 &gt; 0, ISNUMBER($N44))</formula>
    </cfRule>
    <cfRule type="expression" dxfId="866" priority="134">
      <formula>AND($N44 = 0 * ISNUMBER($N44))</formula>
    </cfRule>
    <cfRule type="expression" dxfId="865" priority="135">
      <formula>AND($N44 &lt; 0, ISNUMBER($N44))</formula>
    </cfRule>
  </conditionalFormatting>
  <conditionalFormatting sqref="A44:F63">
    <cfRule type="expression" dxfId="864" priority="142">
      <formula>AND($E44 &gt; 0, ISNUMBER($E44))</formula>
    </cfRule>
    <cfRule type="expression" dxfId="863" priority="143">
      <formula>AND($E44 = 0 * ISNUMBER($E44))</formula>
    </cfRule>
    <cfRule type="expression" dxfId="862" priority="144">
      <formula>AND($E44 &lt; 0, ISNUMBER($E44))</formula>
    </cfRule>
  </conditionalFormatting>
  <conditionalFormatting sqref="A44:C63 G44:I63">
    <cfRule type="expression" dxfId="861" priority="139">
      <formula>AND($H44 &gt; 0, ISNUMBER($H44))</formula>
    </cfRule>
    <cfRule type="expression" dxfId="860" priority="140">
      <formula>AND($H44 = 0 * ISNUMBER($H44))</formula>
    </cfRule>
    <cfRule type="expression" dxfId="859" priority="141">
      <formula>AND($H44 &lt; 0, ISNUMBER($H44))</formula>
    </cfRule>
  </conditionalFormatting>
  <conditionalFormatting sqref="A44:C63 J44:L63">
    <cfRule type="expression" dxfId="858" priority="136">
      <formula>AND($K44 &gt; 0, ISNUMBER($K44))</formula>
    </cfRule>
    <cfRule type="expression" dxfId="857" priority="137">
      <formula>AND($K44 = 0 * ISNUMBER($K44))</formula>
    </cfRule>
    <cfRule type="expression" dxfId="856" priority="138">
      <formula>AND($K44 &lt; 0, ISNUMBER($K44))</formula>
    </cfRule>
  </conditionalFormatting>
  <conditionalFormatting sqref="D42:F43 E64:F64">
    <cfRule type="expression" dxfId="855" priority="130">
      <formula>$E$64 &gt; 0</formula>
    </cfRule>
    <cfRule type="expression" dxfId="854" priority="131">
      <formula>$E$64 = 0</formula>
    </cfRule>
    <cfRule type="expression" dxfId="853" priority="132">
      <formula>$E$64 &lt; 0</formula>
    </cfRule>
  </conditionalFormatting>
  <conditionalFormatting sqref="G42:I43 H64:I64">
    <cfRule type="expression" dxfId="852" priority="127">
      <formula>$H$64 &gt; 0</formula>
    </cfRule>
    <cfRule type="expression" dxfId="851" priority="128">
      <formula>$H$64 = 0</formula>
    </cfRule>
    <cfRule type="expression" dxfId="850" priority="129">
      <formula>$H$64 &lt; 0</formula>
    </cfRule>
  </conditionalFormatting>
  <conditionalFormatting sqref="J42:L43 K64:L64">
    <cfRule type="expression" dxfId="849" priority="124">
      <formula>$K$64 &gt; 0</formula>
    </cfRule>
    <cfRule type="expression" dxfId="848" priority="125">
      <formula>$K$64 = 0</formula>
    </cfRule>
    <cfRule type="expression" dxfId="847" priority="126">
      <formula>$K$64 &lt; 0</formula>
    </cfRule>
  </conditionalFormatting>
  <conditionalFormatting sqref="M42:O43 N64:O64">
    <cfRule type="expression" dxfId="846" priority="121">
      <formula>$N$64 &gt; 0</formula>
    </cfRule>
    <cfRule type="expression" dxfId="845" priority="122">
      <formula>$N$64 = 0</formula>
    </cfRule>
    <cfRule type="expression" dxfId="844" priority="123">
      <formula>$N$64 &lt; 0</formula>
    </cfRule>
  </conditionalFormatting>
  <conditionalFormatting sqref="A71:C90 M71:O90">
    <cfRule type="expression" dxfId="843" priority="109">
      <formula>AND($N71 &gt; 0, ISNUMBER($N71))</formula>
    </cfRule>
    <cfRule type="expression" dxfId="842" priority="110">
      <formula>AND($N71 = 0 * ISNUMBER($N71))</formula>
    </cfRule>
    <cfRule type="expression" dxfId="841" priority="111">
      <formula>AND($N71 &lt; 0, ISNUMBER($N71))</formula>
    </cfRule>
  </conditionalFormatting>
  <conditionalFormatting sqref="A71:F90">
    <cfRule type="expression" dxfId="840" priority="118">
      <formula>AND($E71 &gt; 0, ISNUMBER($E71))</formula>
    </cfRule>
    <cfRule type="expression" dxfId="839" priority="119">
      <formula>AND($E71 = 0 * ISNUMBER($E71))</formula>
    </cfRule>
    <cfRule type="expression" dxfId="838" priority="120">
      <formula>AND($E71 &lt; 0, ISNUMBER($E71))</formula>
    </cfRule>
  </conditionalFormatting>
  <conditionalFormatting sqref="A71:C90 G71:I90">
    <cfRule type="expression" dxfId="837" priority="115">
      <formula>AND($H71 &gt; 0, ISNUMBER($H71))</formula>
    </cfRule>
    <cfRule type="expression" dxfId="836" priority="116">
      <formula>AND($H71 = 0 * ISNUMBER($H71))</formula>
    </cfRule>
    <cfRule type="expression" dxfId="835" priority="117">
      <formula>AND($H71 &lt; 0, ISNUMBER($H71))</formula>
    </cfRule>
  </conditionalFormatting>
  <conditionalFormatting sqref="A71:C90 J71:L90">
    <cfRule type="expression" dxfId="834" priority="112">
      <formula>AND($K71 &gt; 0, ISNUMBER($K71))</formula>
    </cfRule>
    <cfRule type="expression" dxfId="833" priority="113">
      <formula>AND($K71 = 0 * ISNUMBER($K71))</formula>
    </cfRule>
    <cfRule type="expression" dxfId="832" priority="114">
      <formula>AND($K71 &lt; 0, ISNUMBER($K71))</formula>
    </cfRule>
  </conditionalFormatting>
  <conditionalFormatting sqref="D69:F70 E91:F91">
    <cfRule type="expression" dxfId="831" priority="106">
      <formula>$E$91 &gt; 0</formula>
    </cfRule>
    <cfRule type="expression" dxfId="830" priority="107">
      <formula>$E$91 = 0</formula>
    </cfRule>
    <cfRule type="expression" dxfId="829" priority="108">
      <formula>$E$91 &lt; 0</formula>
    </cfRule>
  </conditionalFormatting>
  <conditionalFormatting sqref="G69:I70 H91:I91">
    <cfRule type="expression" dxfId="828" priority="103">
      <formula>$H$91 &gt; 0</formula>
    </cfRule>
    <cfRule type="expression" dxfId="827" priority="104">
      <formula>$H$91 = 0</formula>
    </cfRule>
    <cfRule type="expression" dxfId="826" priority="105">
      <formula>$H$91 &lt; 0</formula>
    </cfRule>
  </conditionalFormatting>
  <conditionalFormatting sqref="J69:L70 K91:L91">
    <cfRule type="expression" dxfId="825" priority="100">
      <formula>$K$91 &gt; 0</formula>
    </cfRule>
    <cfRule type="expression" dxfId="824" priority="101">
      <formula>$K$91 = 0</formula>
    </cfRule>
    <cfRule type="expression" dxfId="823" priority="102">
      <formula>$K$91 &lt; 0</formula>
    </cfRule>
  </conditionalFormatting>
  <conditionalFormatting sqref="M69:O70 N91:O91">
    <cfRule type="expression" dxfId="822" priority="97">
      <formula>$N$91 &gt; 0</formula>
    </cfRule>
    <cfRule type="expression" dxfId="821" priority="98">
      <formula>$N$91 = 0</formula>
    </cfRule>
    <cfRule type="expression" dxfId="820" priority="99">
      <formula>$N$91 &lt; 0</formula>
    </cfRule>
  </conditionalFormatting>
  <conditionalFormatting sqref="A98:C117 M98:O117">
    <cfRule type="expression" dxfId="819" priority="85">
      <formula>AND($N98 &gt; 0, ISNUMBER($N98))</formula>
    </cfRule>
    <cfRule type="expression" dxfId="818" priority="86">
      <formula>AND($N98 = 0 * ISNUMBER($N98))</formula>
    </cfRule>
    <cfRule type="expression" dxfId="817" priority="87">
      <formula>AND($N98 &lt; 0, ISNUMBER($N98))</formula>
    </cfRule>
  </conditionalFormatting>
  <conditionalFormatting sqref="A98:F117">
    <cfRule type="expression" dxfId="816" priority="94">
      <formula>AND($E98 &gt; 0, ISNUMBER($E98))</formula>
    </cfRule>
    <cfRule type="expression" dxfId="815" priority="95">
      <formula>AND($E98 = 0 * ISNUMBER($E98))</formula>
    </cfRule>
    <cfRule type="expression" dxfId="814" priority="96">
      <formula>AND($E98 &lt; 0, ISNUMBER($E98))</formula>
    </cfRule>
  </conditionalFormatting>
  <conditionalFormatting sqref="A98:C117 G98:I117">
    <cfRule type="expression" dxfId="813" priority="91">
      <formula>AND($H98 &gt; 0, ISNUMBER($H98))</formula>
    </cfRule>
    <cfRule type="expression" dxfId="812" priority="92">
      <formula>AND($H98 = 0 * ISNUMBER($H98))</formula>
    </cfRule>
    <cfRule type="expression" dxfId="811" priority="93">
      <formula>AND($H98 &lt; 0, ISNUMBER($H98))</formula>
    </cfRule>
  </conditionalFormatting>
  <conditionalFormatting sqref="A98:C117 J98:L117">
    <cfRule type="expression" dxfId="810" priority="88">
      <formula>AND($K98 &gt; 0, ISNUMBER($K98))</formula>
    </cfRule>
    <cfRule type="expression" dxfId="809" priority="89">
      <formula>AND($K98 = 0 * ISNUMBER($K98))</formula>
    </cfRule>
    <cfRule type="expression" dxfId="808" priority="90">
      <formula>AND($K98 &lt; 0, ISNUMBER($K98))</formula>
    </cfRule>
  </conditionalFormatting>
  <conditionalFormatting sqref="D96:F97 E118:F118">
    <cfRule type="expression" dxfId="807" priority="82">
      <formula>$E$118 &gt; 0</formula>
    </cfRule>
    <cfRule type="expression" dxfId="806" priority="83">
      <formula>$E$118 = 0</formula>
    </cfRule>
    <cfRule type="expression" dxfId="805" priority="84">
      <formula>$E$118 &lt; 0</formula>
    </cfRule>
  </conditionalFormatting>
  <conditionalFormatting sqref="G96:I97 H118:I118">
    <cfRule type="expression" dxfId="804" priority="79">
      <formula>$H$118 &gt; 0</formula>
    </cfRule>
    <cfRule type="expression" dxfId="803" priority="80">
      <formula>$H$118 = 0</formula>
    </cfRule>
    <cfRule type="expression" dxfId="802" priority="81">
      <formula>$H$118 &lt; 0</formula>
    </cfRule>
  </conditionalFormatting>
  <conditionalFormatting sqref="J96:L97 K118:L118">
    <cfRule type="expression" dxfId="801" priority="76">
      <formula>$K$118 &gt; 0</formula>
    </cfRule>
    <cfRule type="expression" dxfId="800" priority="77">
      <formula>$K$118 = 0</formula>
    </cfRule>
    <cfRule type="expression" dxfId="799" priority="78">
      <formula>$K$118 &lt; 0</formula>
    </cfRule>
  </conditionalFormatting>
  <conditionalFormatting sqref="M96:O97 N118:O118">
    <cfRule type="expression" dxfId="798" priority="73">
      <formula>$N$118 &gt; 0</formula>
    </cfRule>
    <cfRule type="expression" dxfId="797" priority="74">
      <formula>$N$118 = 0</formula>
    </cfRule>
    <cfRule type="expression" dxfId="796" priority="75">
      <formula>$N$118 &lt; 0</formula>
    </cfRule>
  </conditionalFormatting>
  <conditionalFormatting sqref="A125:C144 M125:O144">
    <cfRule type="expression" dxfId="795" priority="61">
      <formula>AND($N125 &gt; 0, ISNUMBER($N125))</formula>
    </cfRule>
    <cfRule type="expression" dxfId="794" priority="62">
      <formula>AND($N125 = 0 * ISNUMBER($N125))</formula>
    </cfRule>
    <cfRule type="expression" dxfId="793" priority="63">
      <formula>AND($N125 &lt; 0, ISNUMBER($N125))</formula>
    </cfRule>
  </conditionalFormatting>
  <conditionalFormatting sqref="A125:F144">
    <cfRule type="expression" dxfId="792" priority="70">
      <formula>AND($E125 &gt; 0, ISNUMBER($E125))</formula>
    </cfRule>
    <cfRule type="expression" dxfId="791" priority="71">
      <formula>AND($E125 = 0 * ISNUMBER($E125))</formula>
    </cfRule>
    <cfRule type="expression" dxfId="790" priority="72">
      <formula>AND($E125 &lt; 0, ISNUMBER($E125))</formula>
    </cfRule>
  </conditionalFormatting>
  <conditionalFormatting sqref="A125:C144 G125:I144">
    <cfRule type="expression" dxfId="789" priority="67">
      <formula>AND($H125 &gt; 0, ISNUMBER($H125))</formula>
    </cfRule>
    <cfRule type="expression" dxfId="788" priority="68">
      <formula>AND($H125 = 0 * ISNUMBER($H125))</formula>
    </cfRule>
    <cfRule type="expression" dxfId="787" priority="69">
      <formula>AND($H125 &lt; 0, ISNUMBER($H125))</formula>
    </cfRule>
  </conditionalFormatting>
  <conditionalFormatting sqref="A125:C144 J125:L144">
    <cfRule type="expression" dxfId="786" priority="64">
      <formula>AND($K125 &gt; 0, ISNUMBER($K125))</formula>
    </cfRule>
    <cfRule type="expression" dxfId="785" priority="65">
      <formula>AND($K125 = 0 * ISNUMBER($K125))</formula>
    </cfRule>
    <cfRule type="expression" dxfId="784" priority="66">
      <formula>AND($K125 &lt; 0, ISNUMBER($K125))</formula>
    </cfRule>
  </conditionalFormatting>
  <conditionalFormatting sqref="D123:F124 E145:F145">
    <cfRule type="expression" dxfId="783" priority="58">
      <formula>$E$145 &gt; 0</formula>
    </cfRule>
    <cfRule type="expression" dxfId="782" priority="59">
      <formula>$E$145 = 0</formula>
    </cfRule>
    <cfRule type="expression" dxfId="781" priority="60">
      <formula>$E$145 &lt; 0</formula>
    </cfRule>
  </conditionalFormatting>
  <conditionalFormatting sqref="G123:I124 H145:I145">
    <cfRule type="expression" dxfId="780" priority="55">
      <formula>$H$145 &gt; 0</formula>
    </cfRule>
    <cfRule type="expression" dxfId="779" priority="56">
      <formula>$H$145 = 0</formula>
    </cfRule>
    <cfRule type="expression" dxfId="778" priority="57">
      <formula>$H$145 &lt; 0</formula>
    </cfRule>
  </conditionalFormatting>
  <conditionalFormatting sqref="J123:L124 K145:L145">
    <cfRule type="expression" dxfId="777" priority="52">
      <formula>$K$145 &gt; 0</formula>
    </cfRule>
    <cfRule type="expression" dxfId="776" priority="53">
      <formula>$K$145 = 0</formula>
    </cfRule>
    <cfRule type="expression" dxfId="775" priority="54">
      <formula>$K$145 &lt; 0</formula>
    </cfRule>
  </conditionalFormatting>
  <conditionalFormatting sqref="M123:O124 N145:O145">
    <cfRule type="expression" dxfId="774" priority="49">
      <formula>$N$145 &gt; 0</formula>
    </cfRule>
    <cfRule type="expression" dxfId="773" priority="50">
      <formula>$N$145 = 0</formula>
    </cfRule>
    <cfRule type="expression" dxfId="772" priority="51">
      <formula>$N$145 &lt; 0</formula>
    </cfRule>
  </conditionalFormatting>
  <conditionalFormatting sqref="A152:C171 M152:O171">
    <cfRule type="expression" dxfId="771" priority="37">
      <formula>AND($N152 &gt; 0, ISNUMBER($N152))</formula>
    </cfRule>
    <cfRule type="expression" dxfId="770" priority="38">
      <formula>AND($N152 = 0 * ISNUMBER($N152))</formula>
    </cfRule>
    <cfRule type="expression" dxfId="769" priority="39">
      <formula>AND($N152 &lt; 0, ISNUMBER($N152))</formula>
    </cfRule>
  </conditionalFormatting>
  <conditionalFormatting sqref="A152:F171">
    <cfRule type="expression" dxfId="768" priority="46">
      <formula>AND($E152 &gt; 0, ISNUMBER($E152))</formula>
    </cfRule>
    <cfRule type="expression" dxfId="767" priority="47">
      <formula>AND($E152 = 0 * ISNUMBER($E152))</formula>
    </cfRule>
    <cfRule type="expression" dxfId="766" priority="48">
      <formula>AND($E152 &lt; 0, ISNUMBER($E152))</formula>
    </cfRule>
  </conditionalFormatting>
  <conditionalFormatting sqref="A152:C171 G152:I171">
    <cfRule type="expression" dxfId="765" priority="43">
      <formula>AND($H152 &gt; 0, ISNUMBER($H152))</formula>
    </cfRule>
    <cfRule type="expression" dxfId="764" priority="44">
      <formula>AND($H152 = 0 * ISNUMBER($H152))</formula>
    </cfRule>
    <cfRule type="expression" dxfId="763" priority="45">
      <formula>AND($H152 &lt; 0, ISNUMBER($H152))</formula>
    </cfRule>
  </conditionalFormatting>
  <conditionalFormatting sqref="A152:C171 J152:L171">
    <cfRule type="expression" dxfId="762" priority="40">
      <formula>AND($K152 &gt; 0, ISNUMBER($K152))</formula>
    </cfRule>
    <cfRule type="expression" dxfId="761" priority="41">
      <formula>AND($K152 = 0 * ISNUMBER($K152))</formula>
    </cfRule>
    <cfRule type="expression" dxfId="760" priority="42">
      <formula>AND($K152 &lt; 0, ISNUMBER($K152))</formula>
    </cfRule>
  </conditionalFormatting>
  <conditionalFormatting sqref="D150:F151 E172:F172">
    <cfRule type="expression" dxfId="759" priority="34">
      <formula>$E$172 &gt; 0</formula>
    </cfRule>
    <cfRule type="expression" dxfId="758" priority="35">
      <formula>$E$172 = 0</formula>
    </cfRule>
    <cfRule type="expression" dxfId="757" priority="36">
      <formula>$E$172 &lt; 0</formula>
    </cfRule>
  </conditionalFormatting>
  <conditionalFormatting sqref="G150:I151 H172:I172">
    <cfRule type="expression" dxfId="756" priority="31">
      <formula>$H$172 &gt; 0</formula>
    </cfRule>
    <cfRule type="expression" dxfId="755" priority="32">
      <formula>$H$172 = 0</formula>
    </cfRule>
    <cfRule type="expression" dxfId="754" priority="33">
      <formula>$H$172 &lt; 0</formula>
    </cfRule>
  </conditionalFormatting>
  <conditionalFormatting sqref="J150:L151 K172:L172">
    <cfRule type="expression" dxfId="753" priority="28">
      <formula>$K$172 &gt; 0</formula>
    </cfRule>
    <cfRule type="expression" dxfId="752" priority="29">
      <formula>$K$172 = 0</formula>
    </cfRule>
    <cfRule type="expression" dxfId="751" priority="30">
      <formula>$K$172 &lt; 0</formula>
    </cfRule>
  </conditionalFormatting>
  <conditionalFormatting sqref="M150:O151 N172:O172">
    <cfRule type="expression" dxfId="750" priority="25">
      <formula>$N$172 &gt; 0</formula>
    </cfRule>
    <cfRule type="expression" dxfId="749" priority="26">
      <formula>$N$172 = 0</formula>
    </cfRule>
    <cfRule type="expression" dxfId="748" priority="27">
      <formula>$N$172 &lt; 0</formula>
    </cfRule>
  </conditionalFormatting>
  <conditionalFormatting sqref="A179:C198 M179:O198">
    <cfRule type="expression" dxfId="747" priority="13">
      <formula>AND($N179 &gt; 0, ISNUMBER($N179))</formula>
    </cfRule>
    <cfRule type="expression" dxfId="746" priority="14">
      <formula>AND($N179 = 0 * ISNUMBER($N179))</formula>
    </cfRule>
    <cfRule type="expression" dxfId="745" priority="15">
      <formula>AND($N179 &lt; 0, ISNUMBER($N179))</formula>
    </cfRule>
  </conditionalFormatting>
  <conditionalFormatting sqref="A179:F198">
    <cfRule type="expression" dxfId="744" priority="22">
      <formula>AND($E179 &gt; 0, ISNUMBER($E179))</formula>
    </cfRule>
    <cfRule type="expression" dxfId="743" priority="23">
      <formula>AND($E179 = 0 * ISNUMBER($E179))</formula>
    </cfRule>
    <cfRule type="expression" dxfId="742" priority="24">
      <formula>AND($E179 &lt; 0, ISNUMBER($E179))</formula>
    </cfRule>
  </conditionalFormatting>
  <conditionalFormatting sqref="A179:C198 G179:I198">
    <cfRule type="expression" dxfId="741" priority="19">
      <formula>AND($H179 &gt; 0, ISNUMBER($H179))</formula>
    </cfRule>
    <cfRule type="expression" dxfId="740" priority="20">
      <formula>AND($H179 = 0 * ISNUMBER($H179))</formula>
    </cfRule>
    <cfRule type="expression" dxfId="739" priority="21">
      <formula>AND($H179 &lt; 0, ISNUMBER($H179))</formula>
    </cfRule>
  </conditionalFormatting>
  <conditionalFormatting sqref="A179:C198 J179:L198">
    <cfRule type="expression" dxfId="738" priority="16">
      <formula>AND($K179 &gt; 0, ISNUMBER($K179))</formula>
    </cfRule>
    <cfRule type="expression" dxfId="737" priority="17">
      <formula>AND($K179 = 0 * ISNUMBER($K179))</formula>
    </cfRule>
    <cfRule type="expression" dxfId="736" priority="18">
      <formula>AND($K179 &lt; 0, ISNUMBER($K179))</formula>
    </cfRule>
  </conditionalFormatting>
  <conditionalFormatting sqref="D177:F178 E199:F199">
    <cfRule type="expression" dxfId="735" priority="10">
      <formula>$E$199 &gt; 0</formula>
    </cfRule>
    <cfRule type="expression" dxfId="734" priority="11">
      <formula>$E$199 = 0</formula>
    </cfRule>
    <cfRule type="expression" dxfId="733" priority="12">
      <formula>$E$199 &lt; 0</formula>
    </cfRule>
  </conditionalFormatting>
  <conditionalFormatting sqref="G177:I178 H199:I199">
    <cfRule type="expression" dxfId="732" priority="7">
      <formula>$H$199 &gt; 0</formula>
    </cfRule>
    <cfRule type="expression" dxfId="731" priority="8">
      <formula>$H$199 = 0</formula>
    </cfRule>
    <cfRule type="expression" dxfId="730" priority="9">
      <formula>$H$199 &lt; 0</formula>
    </cfRule>
  </conditionalFormatting>
  <conditionalFormatting sqref="J177:L178 K199:L199">
    <cfRule type="expression" dxfId="729" priority="4">
      <formula>$K$199 &gt; 0</formula>
    </cfRule>
    <cfRule type="expression" dxfId="728" priority="5">
      <formula>$K$199 = 0</formula>
    </cfRule>
    <cfRule type="expression" dxfId="727" priority="6">
      <formula>$K$199 &lt; 0</formula>
    </cfRule>
  </conditionalFormatting>
  <conditionalFormatting sqref="M177:O178 N199:O199">
    <cfRule type="expression" dxfId="726" priority="1">
      <formula>$N$199 &gt; 0</formula>
    </cfRule>
    <cfRule type="expression" dxfId="725" priority="2">
      <formula>$N$199 = 0</formula>
    </cfRule>
    <cfRule type="expression" dxfId="7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AFF3-BCD6-483B-945E-85C6CA3656EA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44328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6" t="s">
        <v>3</v>
      </c>
      <c r="B2" s="315" t="s">
        <v>8</v>
      </c>
      <c r="C2" s="316"/>
      <c r="D2" s="316"/>
      <c r="E2" s="316"/>
      <c r="F2" s="317"/>
      <c r="G2" s="250" t="s">
        <v>46</v>
      </c>
      <c r="H2" s="251"/>
      <c r="I2" s="252"/>
      <c r="J2" s="116" t="s">
        <v>3</v>
      </c>
      <c r="K2" s="315" t="s">
        <v>376</v>
      </c>
      <c r="L2" s="316"/>
      <c r="M2" s="316"/>
      <c r="N2" s="316"/>
      <c r="O2" s="317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12" t="s">
        <v>384</v>
      </c>
      <c r="C3" s="313"/>
      <c r="D3" s="313"/>
      <c r="E3" s="313"/>
      <c r="F3" s="314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-39,606 KRW (-1.32%)</v>
      </c>
      <c r="H3" s="257"/>
      <c r="I3" s="258"/>
      <c r="J3" s="117" t="s">
        <v>7</v>
      </c>
      <c r="K3" s="312" t="s">
        <v>377</v>
      </c>
      <c r="L3" s="313"/>
      <c r="M3" s="313"/>
      <c r="N3" s="313"/>
      <c r="O3" s="314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12" t="s">
        <v>16</v>
      </c>
      <c r="C4" s="313"/>
      <c r="D4" s="313"/>
      <c r="E4" s="313"/>
      <c r="F4" s="314"/>
      <c r="G4" s="250" t="s">
        <v>44</v>
      </c>
      <c r="H4" s="251"/>
      <c r="I4" s="252"/>
      <c r="J4" s="117" t="s">
        <v>11</v>
      </c>
      <c r="K4" s="312" t="s">
        <v>378</v>
      </c>
      <c r="L4" s="313"/>
      <c r="M4" s="313"/>
      <c r="N4" s="313"/>
      <c r="O4" s="314"/>
      <c r="Q4" s="212" t="s">
        <v>14</v>
      </c>
      <c r="R4" s="198">
        <v>0.95833333333333337</v>
      </c>
    </row>
    <row r="5" spans="1:19" ht="17.25" customHeight="1" thickBot="1">
      <c r="A5" s="117" t="s">
        <v>15</v>
      </c>
      <c r="B5" s="312" t="s">
        <v>374</v>
      </c>
      <c r="C5" s="313"/>
      <c r="D5" s="313"/>
      <c r="E5" s="313"/>
      <c r="F5" s="314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-42,105 KRW (-1.48%)</v>
      </c>
      <c r="H5" s="257"/>
      <c r="I5" s="258"/>
      <c r="J5" s="117" t="s">
        <v>15</v>
      </c>
      <c r="K5" s="312" t="s">
        <v>379</v>
      </c>
      <c r="L5" s="313"/>
      <c r="M5" s="313"/>
      <c r="N5" s="313"/>
      <c r="O5" s="314"/>
    </row>
    <row r="6" spans="1:19">
      <c r="A6" s="117" t="s">
        <v>18</v>
      </c>
      <c r="B6" s="312"/>
      <c r="C6" s="313"/>
      <c r="D6" s="313"/>
      <c r="E6" s="313"/>
      <c r="F6" s="314"/>
      <c r="G6" s="250" t="s">
        <v>45</v>
      </c>
      <c r="H6" s="251"/>
      <c r="I6" s="252"/>
      <c r="J6" s="117" t="s">
        <v>18</v>
      </c>
      <c r="K6" s="312" t="s">
        <v>380</v>
      </c>
      <c r="L6" s="313"/>
      <c r="M6" s="313"/>
      <c r="N6" s="313"/>
      <c r="O6" s="314"/>
    </row>
    <row r="7" spans="1:19" ht="17.25" thickBot="1">
      <c r="A7" s="117" t="s">
        <v>21</v>
      </c>
      <c r="B7" s="312"/>
      <c r="C7" s="313"/>
      <c r="D7" s="313"/>
      <c r="E7" s="313"/>
      <c r="F7" s="314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41,964 KRW (1.40%)</v>
      </c>
      <c r="H7" s="257"/>
      <c r="I7" s="258"/>
      <c r="J7" s="117" t="s">
        <v>21</v>
      </c>
      <c r="K7" s="312" t="s">
        <v>381</v>
      </c>
      <c r="L7" s="313"/>
      <c r="M7" s="313"/>
      <c r="N7" s="313"/>
      <c r="O7" s="314"/>
    </row>
    <row r="8" spans="1:19" ht="17.25" thickBot="1">
      <c r="A8" s="117" t="s">
        <v>24</v>
      </c>
      <c r="B8" s="312"/>
      <c r="C8" s="313"/>
      <c r="D8" s="313"/>
      <c r="E8" s="313"/>
      <c r="F8" s="314"/>
      <c r="G8" s="250" t="s">
        <v>285</v>
      </c>
      <c r="H8" s="251"/>
      <c r="I8" s="252"/>
      <c r="J8" s="117" t="s">
        <v>24</v>
      </c>
      <c r="K8" s="312"/>
      <c r="L8" s="313"/>
      <c r="M8" s="313"/>
      <c r="N8" s="313"/>
      <c r="O8" s="314"/>
      <c r="Q8" s="241" t="s">
        <v>27</v>
      </c>
      <c r="R8" s="243"/>
    </row>
    <row r="9" spans="1:19" ht="17.25" thickBot="1">
      <c r="A9" s="117" t="s">
        <v>28</v>
      </c>
      <c r="B9" s="312"/>
      <c r="C9" s="313"/>
      <c r="D9" s="313"/>
      <c r="E9" s="313"/>
      <c r="F9" s="314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33,391 KRW (1.11%)</v>
      </c>
      <c r="H9" s="257"/>
      <c r="I9" s="258"/>
      <c r="J9" s="117" t="s">
        <v>28</v>
      </c>
      <c r="K9" s="312"/>
      <c r="L9" s="313"/>
      <c r="M9" s="313"/>
      <c r="N9" s="313"/>
      <c r="O9" s="314"/>
      <c r="Q9" s="120" t="s">
        <v>29</v>
      </c>
      <c r="R9" s="199">
        <v>10</v>
      </c>
    </row>
    <row r="10" spans="1:19">
      <c r="A10" s="117" t="s">
        <v>30</v>
      </c>
      <c r="B10" s="312"/>
      <c r="C10" s="313"/>
      <c r="D10" s="313"/>
      <c r="E10" s="313"/>
      <c r="F10" s="314"/>
      <c r="G10" s="250" t="s">
        <v>47</v>
      </c>
      <c r="H10" s="251"/>
      <c r="I10" s="252"/>
      <c r="J10" s="117" t="s">
        <v>30</v>
      </c>
      <c r="K10" s="312" t="s">
        <v>382</v>
      </c>
      <c r="L10" s="313"/>
      <c r="M10" s="313"/>
      <c r="N10" s="313"/>
      <c r="O10" s="314"/>
      <c r="Q10" s="120" t="s">
        <v>31</v>
      </c>
      <c r="R10" s="199">
        <v>100</v>
      </c>
    </row>
    <row r="11" spans="1:19" ht="17.25" thickBot="1">
      <c r="A11" s="118" t="s">
        <v>32</v>
      </c>
      <c r="B11" s="309" t="s">
        <v>383</v>
      </c>
      <c r="C11" s="310"/>
      <c r="D11" s="310"/>
      <c r="E11" s="310"/>
      <c r="F11" s="31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-39,606 KRW (-1.32%)</v>
      </c>
      <c r="H11" s="257"/>
      <c r="I11" s="258"/>
      <c r="J11" s="118" t="s">
        <v>32</v>
      </c>
      <c r="K11" s="309" t="s">
        <v>373</v>
      </c>
      <c r="L11" s="310"/>
      <c r="M11" s="310"/>
      <c r="N11" s="310"/>
      <c r="O11" s="311"/>
      <c r="Q11" s="212" t="s">
        <v>33</v>
      </c>
      <c r="R11" s="200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209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62017000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-1.6680144000000001E-2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2021-05-12(수) 오전 00:00</v>
      </c>
      <c r="C15" s="308"/>
      <c r="D15" s="241" t="str">
        <f>TEXT($G$1, "[$-ko-KR]yyyy-mm-dd(ddd) ") &amp; "오후 14:00"</f>
        <v>2021-05-12(수) 오후 14:00</v>
      </c>
      <c r="E15" s="242"/>
      <c r="F15" s="243"/>
      <c r="G15" s="241" t="str">
        <f>TEXT($G$1, "[$-ko-KR]yyyy-mm-dd(ddd) ") &amp; "오후 19:00"</f>
        <v>2021-05-12(수) 오후 19:00</v>
      </c>
      <c r="H15" s="242"/>
      <c r="I15" s="243"/>
      <c r="J15" s="241" t="str">
        <f>TEXT($G$1, "[$-ko-KR]yyyy-mm-dd(ddd) ") &amp; "오후 21:00"</f>
        <v>2021-05-12(수) 오후 21:00</v>
      </c>
      <c r="K15" s="242"/>
      <c r="L15" s="243"/>
      <c r="M15" s="241" t="str">
        <f>TEXT($G$1+1, "[$-ko-KR]yyyy-mm-dd(ddd) ") &amp; "오전 00:00"</f>
        <v>2021-05-13(목) 오전 00:00</v>
      </c>
      <c r="N15" s="242"/>
      <c r="O15" s="243"/>
      <c r="Q15" s="262"/>
      <c r="R15" s="262"/>
      <c r="S15" s="262"/>
    </row>
    <row r="16" spans="1:19" ht="17.25" customHeight="1" thickBot="1">
      <c r="A16" s="306"/>
      <c r="B16" s="120" t="s">
        <v>37</v>
      </c>
      <c r="C16" s="121" t="s">
        <v>38</v>
      </c>
      <c r="D16" s="120" t="s">
        <v>37</v>
      </c>
      <c r="E16" s="121" t="s">
        <v>40</v>
      </c>
      <c r="F16" s="216" t="s">
        <v>41</v>
      </c>
      <c r="G16" s="209" t="s">
        <v>37</v>
      </c>
      <c r="H16" s="210" t="s">
        <v>40</v>
      </c>
      <c r="I16" s="211" t="s">
        <v>41</v>
      </c>
      <c r="J16" s="121" t="s">
        <v>37</v>
      </c>
      <c r="K16" s="121" t="s">
        <v>40</v>
      </c>
      <c r="L16" s="213" t="s">
        <v>41</v>
      </c>
      <c r="M16" s="120" t="s">
        <v>37</v>
      </c>
      <c r="N16" s="121" t="s">
        <v>40</v>
      </c>
      <c r="O16" s="214" t="s">
        <v>41</v>
      </c>
      <c r="Q16" s="267"/>
      <c r="R16" s="267"/>
      <c r="S16" s="267"/>
    </row>
    <row r="17" spans="1:19" ht="17.25" customHeight="1" thickBot="1">
      <c r="A17" s="122" t="s">
        <v>236</v>
      </c>
      <c r="B17" s="123">
        <f>IF(NOT(ISBLANK(_xlfn.IFNA(VLOOKUP($A17, $A$40:$O$199, 2, FALSE), ))), _xlfn.IFNA(VLOOKUP($A17, $A$40:$O$199, 2, FALSE), ), "")</f>
        <v>99.4</v>
      </c>
      <c r="C17" s="72">
        <f>IF(NOT(ISBLANK(_xlfn.IFNA(VLOOKUP($A17, $A$40:$O$199, 3, FALSE), ))), _xlfn.IFNA(VLOOKUP($A17, $A$40:$O$199, 3, FALSE), ), "")</f>
        <v>0.61363636359999996</v>
      </c>
      <c r="D17" s="123">
        <f>IF(NOT(ISBLANK(_xlfn.IFNA(VLOOKUP($A17, $A$40:$O$199, 4, FALSE), ))), _xlfn.IFNA(VLOOKUP($A17, $A$40:$O$199, 4, FALSE), ), "")</f>
        <v>92.6</v>
      </c>
      <c r="E17" s="72">
        <f>IF(NOT(ISBLANK(_xlfn.IFNA(VLOOKUP($A17, $A$40:$O$199, 5, FALSE), ))), _xlfn.IFNA(VLOOKUP($A17, $A$40:$O$199, 5, FALSE), ), "")</f>
        <v>-6.8410462776660075E-2</v>
      </c>
      <c r="F17" s="140">
        <f>IF(NOT(ISBLANK(_xlfn.IFNA(VLOOKUP($A17, $A$40:$O$199, 6, FALSE), ))), _xlfn.IFNA(VLOOKUP($A17, $A$40:$O$199, 6, FALSE), ), "")</f>
        <v>-10261.569416499011</v>
      </c>
      <c r="G17" s="38">
        <f>IF(NOT(ISBLANK(_xlfn.IFNA(VLOOKUP($A17, $A$40:$O$199, 7, FALSE), ))), _xlfn.IFNA(VLOOKUP($A17, $A$40:$O$199, 7, FALSE), ), "")</f>
        <v>91.3</v>
      </c>
      <c r="H17" s="72">
        <f>IF(NOT(ISBLANK(_xlfn.IFNA(VLOOKUP($A17, $A$40:$O$199, 8, FALSE), ))), _xlfn.IFNA(VLOOKUP($A17, $A$40:$O$199, 8, FALSE), ), "")</f>
        <v>-8.1488933601609734E-2</v>
      </c>
      <c r="I17" s="201">
        <f>IF(NOT(ISBLANK(_xlfn.IFNA(VLOOKUP($A17, $A$40:$O$199, 9, FALSE), ))), _xlfn.IFNA(VLOOKUP($A17, $A$40:$O$199, 9, FALSE), ), "")</f>
        <v>-12223.340040241461</v>
      </c>
      <c r="J17" s="123">
        <f>IF(NOT(ISBLANK(_xlfn.IFNA(VLOOKUP($A17, $A$40:$O$199, 10, FALSE), ))), _xlfn.IFNA(VLOOKUP($A17, $A$40:$O$199, 10, FALSE), ), "")</f>
        <v>90.7</v>
      </c>
      <c r="K17" s="72">
        <f>IF(NOT(ISBLANK(_xlfn.IFNA(VLOOKUP($A17, $A$40:$O$199, 11, FALSE), ))), _xlfn.IFNA(VLOOKUP($A17, $A$40:$O$199, 11, FALSE), ), "")</f>
        <v>-8.7525150905432614E-2</v>
      </c>
      <c r="L17" s="140">
        <f>IF(NOT(ISBLANK(_xlfn.IFNA(VLOOKUP($A17, $A$40:$O$199, 12, FALSE), ))), _xlfn.IFNA(VLOOKUP($A17, $A$40:$O$199, 12, FALSE), ), "")</f>
        <v>-13128.772635814892</v>
      </c>
      <c r="M17" s="38">
        <f>IF(NOT(ISBLANK(_xlfn.IFNA(VLOOKUP($A17, $A$40:$O$199, 13, FALSE), ))), _xlfn.IFNA(VLOOKUP($A17, $A$40:$O$199, 13, FALSE), ), "")</f>
        <v>83.6</v>
      </c>
      <c r="N17" s="72">
        <f>IF(NOT(ISBLANK(_xlfn.IFNA(VLOOKUP($A17, $A$40:$O$199, 14, FALSE), ))), _xlfn.IFNA(VLOOKUP($A17, $A$40:$O$199, 14, FALSE), ), "")</f>
        <v>-0.15895372233400412</v>
      </c>
      <c r="O17" s="140">
        <f>IF(NOT(ISBLANK(_xlfn.IFNA(VLOOKUP($A17, $A$40:$O$199, 15, FALSE), ))), _xlfn.IFNA(VLOOKUP($A17, $A$40:$O$199, 15, FALSE), ), "")</f>
        <v>-23843.058350100619</v>
      </c>
      <c r="Q17" s="262"/>
      <c r="R17" s="262"/>
      <c r="S17" s="262"/>
    </row>
    <row r="18" spans="1:19" ht="17.25" customHeight="1" thickBot="1">
      <c r="A18" s="124" t="s">
        <v>86</v>
      </c>
      <c r="B18" s="125">
        <f t="shared" ref="B18:B36" si="0">IF(NOT(ISBLANK(_xlfn.IFNA(VLOOKUP($A18, $A$40:$O$199, 2, FALSE), ))), _xlfn.IFNA(VLOOKUP($A18, $A$40:$O$199, 2, FALSE), ), "")</f>
        <v>15050</v>
      </c>
      <c r="C18" s="73">
        <f t="shared" ref="C18:C36" si="1">IF(NOT(ISBLANK(_xlfn.IFNA(VLOOKUP($A18, $A$40:$O$199, 3, FALSE), ))), _xlfn.IFNA(VLOOKUP($A18, $A$40:$O$199, 3, FALSE), ), "")</f>
        <v>0.27758913410000002</v>
      </c>
      <c r="D18" s="125">
        <f t="shared" ref="D18:D36" si="2">IF(NOT(ISBLANK(_xlfn.IFNA(VLOOKUP($A18, $A$40:$O$199, 4, FALSE), ))), _xlfn.IFNA(VLOOKUP($A18, $A$40:$O$199, 4, FALSE), ), "")</f>
        <v>16510</v>
      </c>
      <c r="E18" s="73">
        <f t="shared" ref="E18:E36" si="3">IF(NOT(ISBLANK(_xlfn.IFNA(VLOOKUP($A18, $A$40:$O$199, 5, FALSE), ))), _xlfn.IFNA(VLOOKUP($A18, $A$40:$O$199, 5, FALSE), ), "")</f>
        <v>9.700996677740864E-2</v>
      </c>
      <c r="F18" s="136">
        <f t="shared" ref="F18:F36" si="4">IF(NOT(ISBLANK(_xlfn.IFNA(VLOOKUP($A18, $A$40:$O$199, 6, FALSE), ))), _xlfn.IFNA(VLOOKUP($A18, $A$40:$O$199, 6, FALSE), ), "")</f>
        <v>14551.495016611296</v>
      </c>
      <c r="G18" s="39">
        <f t="shared" ref="G18:G36" si="5">IF(NOT(ISBLANK(_xlfn.IFNA(VLOOKUP($A18, $A$40:$O$199, 7, FALSE), ))), _xlfn.IFNA(VLOOKUP($A18, $A$40:$O$199, 7, FALSE), ), "")</f>
        <v>16110</v>
      </c>
      <c r="H18" s="73">
        <f t="shared" ref="H18:H36" si="6">IF(NOT(ISBLANK(_xlfn.IFNA(VLOOKUP($A18, $A$40:$O$199, 8, FALSE), ))), _xlfn.IFNA(VLOOKUP($A18, $A$40:$O$199, 8, FALSE), ), "")</f>
        <v>7.0431893687707636E-2</v>
      </c>
      <c r="I18" s="202">
        <f t="shared" ref="I18:I36" si="7">IF(NOT(ISBLANK(_xlfn.IFNA(VLOOKUP($A18, $A$40:$O$199, 9, FALSE), ))), _xlfn.IFNA(VLOOKUP($A18, $A$40:$O$199, 9, FALSE), ), "")</f>
        <v>10564.784053156145</v>
      </c>
      <c r="J18" s="125">
        <f t="shared" ref="J18:J36" si="8">IF(NOT(ISBLANK(_xlfn.IFNA(VLOOKUP($A18, $A$40:$O$199, 10, FALSE), ))), _xlfn.IFNA(VLOOKUP($A18, $A$40:$O$199, 10, FALSE), ), "")</f>
        <v>16010</v>
      </c>
      <c r="K18" s="73">
        <f t="shared" ref="K18:K36" si="9">IF(NOT(ISBLANK(_xlfn.IFNA(VLOOKUP($A18, $A$40:$O$199, 11, FALSE), ))), _xlfn.IFNA(VLOOKUP($A18, $A$40:$O$199, 11, FALSE), ), "")</f>
        <v>6.3787375415282385E-2</v>
      </c>
      <c r="L18" s="136">
        <f t="shared" ref="L18:L36" si="10">IF(NOT(ISBLANK(_xlfn.IFNA(VLOOKUP($A18, $A$40:$O$199, 12, FALSE), ))), _xlfn.IFNA(VLOOKUP($A18, $A$40:$O$199, 12, FALSE), ), "")</f>
        <v>9568.106312292357</v>
      </c>
      <c r="M18" s="39">
        <f t="shared" ref="M18:M36" si="11">IF(NOT(ISBLANK(_xlfn.IFNA(VLOOKUP($A18, $A$40:$O$199, 13, FALSE), ))), _xlfn.IFNA(VLOOKUP($A18, $A$40:$O$199, 13, FALSE), ), "")</f>
        <v>15160</v>
      </c>
      <c r="N18" s="73">
        <f t="shared" ref="N18:N36" si="12">IF(NOT(ISBLANK(_xlfn.IFNA(VLOOKUP($A18, $A$40:$O$199, 14, FALSE), ))), _xlfn.IFNA(VLOOKUP($A18, $A$40:$O$199, 14, FALSE), ), "")</f>
        <v>7.3089700996677737E-3</v>
      </c>
      <c r="O18" s="136">
        <f t="shared" ref="O18:O36" si="13">IF(NOT(ISBLANK(_xlfn.IFNA(VLOOKUP($A18, $A$40:$O$199, 15, FALSE), ))), _xlfn.IFNA(VLOOKUP($A18, $A$40:$O$199, 15, FALSE), ), "")</f>
        <v>1096.345514950166</v>
      </c>
      <c r="Q18" s="262"/>
      <c r="R18" s="262"/>
      <c r="S18" s="262"/>
    </row>
    <row r="19" spans="1:19" ht="17.25" customHeight="1" thickBot="1">
      <c r="A19" s="124" t="s">
        <v>214</v>
      </c>
      <c r="B19" s="125">
        <f t="shared" si="0"/>
        <v>22.1</v>
      </c>
      <c r="C19" s="73">
        <f t="shared" si="1"/>
        <v>0.15706806279999999</v>
      </c>
      <c r="D19" s="125">
        <f t="shared" si="2"/>
        <v>22.2</v>
      </c>
      <c r="E19" s="73">
        <f t="shared" si="3"/>
        <v>4.5248868778279576E-3</v>
      </c>
      <c r="F19" s="136">
        <f t="shared" si="4"/>
        <v>678.73303167419363</v>
      </c>
      <c r="G19" s="39">
        <f t="shared" si="5"/>
        <v>23.3</v>
      </c>
      <c r="H19" s="73">
        <f t="shared" si="6"/>
        <v>5.4298642533936618E-2</v>
      </c>
      <c r="I19" s="202">
        <f t="shared" si="7"/>
        <v>8144.7963800904927</v>
      </c>
      <c r="J19" s="125">
        <f t="shared" si="8"/>
        <v>25.9</v>
      </c>
      <c r="K19" s="73">
        <f t="shared" si="9"/>
        <v>0.17194570135746592</v>
      </c>
      <c r="L19" s="136">
        <f t="shared" si="10"/>
        <v>25791.855203619889</v>
      </c>
      <c r="M19" s="39">
        <f t="shared" si="11"/>
        <v>22.4</v>
      </c>
      <c r="N19" s="73">
        <f t="shared" si="12"/>
        <v>1.3574660633484033E-2</v>
      </c>
      <c r="O19" s="136">
        <f t="shared" si="13"/>
        <v>2036.199095022605</v>
      </c>
      <c r="Q19" s="267"/>
      <c r="R19" s="267"/>
      <c r="S19" s="267"/>
    </row>
    <row r="20" spans="1:19" ht="17.25" customHeight="1" thickBot="1">
      <c r="A20" s="124" t="s">
        <v>254</v>
      </c>
      <c r="B20" s="125">
        <f t="shared" si="0"/>
        <v>88.5</v>
      </c>
      <c r="C20" s="73">
        <f t="shared" si="1"/>
        <v>0.1538461538</v>
      </c>
      <c r="D20" s="125">
        <f t="shared" si="2"/>
        <v>84.5</v>
      </c>
      <c r="E20" s="73">
        <f t="shared" si="3"/>
        <v>-4.519774011299435E-2</v>
      </c>
      <c r="F20" s="136">
        <f t="shared" si="4"/>
        <v>-6779.6610169491523</v>
      </c>
      <c r="G20" s="39">
        <f t="shared" si="5"/>
        <v>85.2</v>
      </c>
      <c r="H20" s="73">
        <f t="shared" si="6"/>
        <v>-3.7288135593220306E-2</v>
      </c>
      <c r="I20" s="202">
        <f t="shared" si="7"/>
        <v>-5593.2203389830456</v>
      </c>
      <c r="J20" s="125">
        <f t="shared" si="8"/>
        <v>85.4</v>
      </c>
      <c r="K20" s="73">
        <f t="shared" si="9"/>
        <v>-3.502824858757056E-2</v>
      </c>
      <c r="L20" s="136">
        <f t="shared" si="10"/>
        <v>-5254.2372881355841</v>
      </c>
      <c r="M20" s="39">
        <f t="shared" si="11"/>
        <v>82.8</v>
      </c>
      <c r="N20" s="73">
        <f t="shared" si="12"/>
        <v>-6.4406779661016975E-2</v>
      </c>
      <c r="O20" s="136">
        <f t="shared" si="13"/>
        <v>-9661.0169491525467</v>
      </c>
      <c r="Q20" s="267"/>
      <c r="R20" s="267"/>
      <c r="S20" s="267"/>
    </row>
    <row r="21" spans="1:19" ht="17.25" customHeight="1" thickBot="1">
      <c r="A21" s="126" t="s">
        <v>144</v>
      </c>
      <c r="B21" s="127">
        <f t="shared" si="0"/>
        <v>14490</v>
      </c>
      <c r="C21" s="74">
        <f t="shared" si="1"/>
        <v>0.13647058819999999</v>
      </c>
      <c r="D21" s="127">
        <f t="shared" si="2"/>
        <v>14410</v>
      </c>
      <c r="E21" s="74">
        <f t="shared" si="3"/>
        <v>-5.521048999309869E-3</v>
      </c>
      <c r="F21" s="203">
        <f t="shared" si="4"/>
        <v>-828.15734989648035</v>
      </c>
      <c r="G21" s="44">
        <f t="shared" si="5"/>
        <v>13930</v>
      </c>
      <c r="H21" s="74">
        <f t="shared" si="6"/>
        <v>-3.864734299516908E-2</v>
      </c>
      <c r="I21" s="204">
        <f t="shared" si="7"/>
        <v>-5797.101449275362</v>
      </c>
      <c r="J21" s="127">
        <f t="shared" si="8"/>
        <v>14170</v>
      </c>
      <c r="K21" s="74">
        <f t="shared" si="9"/>
        <v>-2.2084195997239476E-2</v>
      </c>
      <c r="L21" s="203">
        <f t="shared" si="10"/>
        <v>-3312.6293995859214</v>
      </c>
      <c r="M21" s="44">
        <f t="shared" si="11"/>
        <v>13770</v>
      </c>
      <c r="N21" s="74">
        <f t="shared" si="12"/>
        <v>-4.9689440993788817E-2</v>
      </c>
      <c r="O21" s="203">
        <f t="shared" si="13"/>
        <v>-7453.4161490683227</v>
      </c>
      <c r="Q21" s="267"/>
      <c r="R21" s="267"/>
      <c r="S21" s="267"/>
    </row>
    <row r="22" spans="1:19" ht="17.25" customHeight="1" thickBot="1">
      <c r="A22" s="124" t="s">
        <v>268</v>
      </c>
      <c r="B22" s="128">
        <f t="shared" si="0"/>
        <v>89.4</v>
      </c>
      <c r="C22" s="76">
        <f t="shared" si="1"/>
        <v>9.9630996299999997E-2</v>
      </c>
      <c r="D22" s="128">
        <f t="shared" si="2"/>
        <v>89.1</v>
      </c>
      <c r="E22" s="76">
        <f t="shared" si="3"/>
        <v>-3.3557046979867042E-3</v>
      </c>
      <c r="F22" s="205">
        <f t="shared" si="4"/>
        <v>-503.35570469800564</v>
      </c>
      <c r="G22" s="45">
        <f t="shared" si="5"/>
        <v>90.5</v>
      </c>
      <c r="H22" s="76">
        <f t="shared" si="6"/>
        <v>1.2304250559284052E-2</v>
      </c>
      <c r="I22" s="206">
        <f t="shared" si="7"/>
        <v>1845.6375838926078</v>
      </c>
      <c r="J22" s="128">
        <f t="shared" si="8"/>
        <v>91.3</v>
      </c>
      <c r="K22" s="76">
        <f t="shared" si="9"/>
        <v>2.125279642058156E-2</v>
      </c>
      <c r="L22" s="205">
        <f t="shared" si="10"/>
        <v>3187.9194630872339</v>
      </c>
      <c r="M22" s="45">
        <f t="shared" si="11"/>
        <v>87.6</v>
      </c>
      <c r="N22" s="76">
        <f t="shared" si="12"/>
        <v>-2.013422818791959E-2</v>
      </c>
      <c r="O22" s="205">
        <f t="shared" si="13"/>
        <v>-3020.1342281879383</v>
      </c>
      <c r="Q22" s="267"/>
      <c r="R22" s="267"/>
      <c r="S22" s="267"/>
    </row>
    <row r="23" spans="1:19" ht="17.25" customHeight="1" thickBot="1">
      <c r="A23" s="124" t="s">
        <v>126</v>
      </c>
      <c r="B23" s="125">
        <f t="shared" si="0"/>
        <v>57.7</v>
      </c>
      <c r="C23" s="73">
        <f t="shared" si="1"/>
        <v>9.4876660299999999E-2</v>
      </c>
      <c r="D23" s="125">
        <f t="shared" si="2"/>
        <v>56.7</v>
      </c>
      <c r="E23" s="73">
        <f t="shared" si="3"/>
        <v>-1.7331022530329289E-2</v>
      </c>
      <c r="F23" s="136">
        <f t="shared" si="4"/>
        <v>-2599.6533795493933</v>
      </c>
      <c r="G23" s="39">
        <f t="shared" si="5"/>
        <v>56.3</v>
      </c>
      <c r="H23" s="73">
        <f t="shared" si="6"/>
        <v>-2.4263431542461102E-2</v>
      </c>
      <c r="I23" s="202">
        <f t="shared" si="7"/>
        <v>-3639.5147313691655</v>
      </c>
      <c r="J23" s="125">
        <f t="shared" si="8"/>
        <v>56.3</v>
      </c>
      <c r="K23" s="73">
        <f t="shared" si="9"/>
        <v>-2.4263431542461102E-2</v>
      </c>
      <c r="L23" s="136">
        <f t="shared" si="10"/>
        <v>-3639.5147313691655</v>
      </c>
      <c r="M23" s="39">
        <f t="shared" si="11"/>
        <v>54.6</v>
      </c>
      <c r="N23" s="73">
        <f t="shared" si="12"/>
        <v>-5.3726169844020816E-2</v>
      </c>
      <c r="O23" s="136">
        <f t="shared" si="13"/>
        <v>-8058.9254766031227</v>
      </c>
      <c r="Q23" s="267"/>
      <c r="R23" s="267"/>
      <c r="S23" s="267"/>
    </row>
    <row r="24" spans="1:19" ht="17.25" customHeight="1" thickBot="1">
      <c r="A24" s="124" t="s">
        <v>230</v>
      </c>
      <c r="B24" s="125">
        <f t="shared" si="0"/>
        <v>164</v>
      </c>
      <c r="C24" s="73">
        <f t="shared" si="1"/>
        <v>7.8947368399999995E-2</v>
      </c>
      <c r="D24" s="125">
        <f t="shared" si="2"/>
        <v>169</v>
      </c>
      <c r="E24" s="73">
        <f t="shared" si="3"/>
        <v>3.048780487804878E-2</v>
      </c>
      <c r="F24" s="136">
        <f t="shared" si="4"/>
        <v>4573.1707317073169</v>
      </c>
      <c r="G24" s="39">
        <f t="shared" si="5"/>
        <v>170</v>
      </c>
      <c r="H24" s="73">
        <f t="shared" si="6"/>
        <v>3.6585365853658534E-2</v>
      </c>
      <c r="I24" s="202">
        <f t="shared" si="7"/>
        <v>5487.8048780487798</v>
      </c>
      <c r="J24" s="125">
        <f t="shared" si="8"/>
        <v>171</v>
      </c>
      <c r="K24" s="73">
        <f t="shared" si="9"/>
        <v>4.2682926829268296E-2</v>
      </c>
      <c r="L24" s="136">
        <f t="shared" si="10"/>
        <v>6402.4390243902444</v>
      </c>
      <c r="M24" s="39">
        <f t="shared" si="11"/>
        <v>168</v>
      </c>
      <c r="N24" s="73">
        <f t="shared" si="12"/>
        <v>2.4390243902439025E-2</v>
      </c>
      <c r="O24" s="136">
        <f t="shared" si="13"/>
        <v>3658.5365853658536</v>
      </c>
      <c r="Q24" s="267"/>
      <c r="R24" s="267"/>
      <c r="S24" s="267"/>
    </row>
    <row r="25" spans="1:19" ht="17.25" customHeight="1" thickBot="1">
      <c r="A25" s="124" t="s">
        <v>158</v>
      </c>
      <c r="B25" s="125">
        <f t="shared" si="0"/>
        <v>9825</v>
      </c>
      <c r="C25" s="73">
        <f t="shared" si="1"/>
        <v>7.7893582000000003E-2</v>
      </c>
      <c r="D25" s="125">
        <f t="shared" si="2"/>
        <v>10350</v>
      </c>
      <c r="E25" s="73">
        <f t="shared" si="3"/>
        <v>5.3435114503816793E-2</v>
      </c>
      <c r="F25" s="136">
        <f t="shared" si="4"/>
        <v>8015.2671755725187</v>
      </c>
      <c r="G25" s="39">
        <f t="shared" si="5"/>
        <v>10490</v>
      </c>
      <c r="H25" s="73">
        <f t="shared" si="6"/>
        <v>6.7684478371501267E-2</v>
      </c>
      <c r="I25" s="202">
        <f t="shared" si="7"/>
        <v>10152.67175572519</v>
      </c>
      <c r="J25" s="125">
        <f t="shared" si="8"/>
        <v>10460</v>
      </c>
      <c r="K25" s="73">
        <f t="shared" si="9"/>
        <v>6.463104325699745E-2</v>
      </c>
      <c r="L25" s="136">
        <f t="shared" si="10"/>
        <v>9694.6564885496173</v>
      </c>
      <c r="M25" s="39">
        <f t="shared" si="11"/>
        <v>10100</v>
      </c>
      <c r="N25" s="73">
        <f t="shared" si="12"/>
        <v>2.7989821882951654E-2</v>
      </c>
      <c r="O25" s="136">
        <f t="shared" si="13"/>
        <v>4198.4732824427483</v>
      </c>
      <c r="Q25" s="33"/>
      <c r="R25" s="33"/>
    </row>
    <row r="26" spans="1:19" ht="17.25" customHeight="1" thickBot="1">
      <c r="A26" s="129" t="s">
        <v>172</v>
      </c>
      <c r="B26" s="130">
        <f t="shared" si="0"/>
        <v>23.9</v>
      </c>
      <c r="C26" s="75">
        <f t="shared" si="1"/>
        <v>7.6576576600000001E-2</v>
      </c>
      <c r="D26" s="130">
        <f t="shared" si="2"/>
        <v>26.3</v>
      </c>
      <c r="E26" s="75">
        <f t="shared" si="3"/>
        <v>0.1004184100418411</v>
      </c>
      <c r="F26" s="137">
        <f t="shared" si="4"/>
        <v>15062.761506276165</v>
      </c>
      <c r="G26" s="37">
        <f t="shared" si="5"/>
        <v>25.5</v>
      </c>
      <c r="H26" s="75">
        <f t="shared" si="6"/>
        <v>6.6945606694560733E-2</v>
      </c>
      <c r="I26" s="207">
        <f t="shared" si="7"/>
        <v>10041.841004184111</v>
      </c>
      <c r="J26" s="130">
        <f t="shared" si="8"/>
        <v>25.8</v>
      </c>
      <c r="K26" s="75">
        <f t="shared" si="9"/>
        <v>7.9497907949790891E-2</v>
      </c>
      <c r="L26" s="137">
        <f t="shared" si="10"/>
        <v>11924.686192468635</v>
      </c>
      <c r="M26" s="37">
        <f t="shared" si="11"/>
        <v>24.3</v>
      </c>
      <c r="N26" s="75">
        <f t="shared" si="12"/>
        <v>1.6736401673640256E-2</v>
      </c>
      <c r="O26" s="137">
        <f t="shared" si="13"/>
        <v>2510.4602510460386</v>
      </c>
      <c r="Q26" s="276"/>
      <c r="R26" s="277"/>
      <c r="S26" s="278"/>
    </row>
    <row r="27" spans="1:19" ht="17.25" customHeight="1">
      <c r="A27" s="122" t="s">
        <v>218</v>
      </c>
      <c r="B27" s="123">
        <f t="shared" si="0"/>
        <v>26.8</v>
      </c>
      <c r="C27" s="72">
        <f t="shared" si="1"/>
        <v>7.1999999999999995E-2</v>
      </c>
      <c r="D27" s="123">
        <f t="shared" si="2"/>
        <v>27.7</v>
      </c>
      <c r="E27" s="72">
        <f t="shared" si="3"/>
        <v>3.358208955223875E-2</v>
      </c>
      <c r="F27" s="140">
        <f t="shared" si="4"/>
        <v>5037.3134328358128</v>
      </c>
      <c r="G27" s="38">
        <f t="shared" si="5"/>
        <v>27.5</v>
      </c>
      <c r="H27" s="72">
        <f t="shared" si="6"/>
        <v>2.6119402985074598E-2</v>
      </c>
      <c r="I27" s="201">
        <f t="shared" si="7"/>
        <v>3917.9104477611895</v>
      </c>
      <c r="J27" s="123">
        <f t="shared" si="8"/>
        <v>27.8</v>
      </c>
      <c r="K27" s="72">
        <f t="shared" si="9"/>
        <v>3.7313432835820892E-2</v>
      </c>
      <c r="L27" s="140">
        <f t="shared" si="10"/>
        <v>5597.0149253731342</v>
      </c>
      <c r="M27" s="38">
        <f t="shared" si="11"/>
        <v>26.7</v>
      </c>
      <c r="N27" s="72">
        <f t="shared" si="12"/>
        <v>-3.7313432835821424E-3</v>
      </c>
      <c r="O27" s="140">
        <f t="shared" si="13"/>
        <v>-559.70149253732131</v>
      </c>
      <c r="Q27" s="279"/>
      <c r="R27" s="280"/>
      <c r="S27" s="281"/>
    </row>
    <row r="28" spans="1:19" ht="17.25" customHeight="1" thickBot="1">
      <c r="A28" s="124" t="s">
        <v>296</v>
      </c>
      <c r="B28" s="125">
        <f t="shared" si="0"/>
        <v>616</v>
      </c>
      <c r="C28" s="73">
        <f t="shared" si="1"/>
        <v>7.1304347800000001E-2</v>
      </c>
      <c r="D28" s="125">
        <f t="shared" si="2"/>
        <v>602</v>
      </c>
      <c r="E28" s="73">
        <f t="shared" si="3"/>
        <v>-2.2727272727272728E-2</v>
      </c>
      <c r="F28" s="136">
        <f t="shared" si="4"/>
        <v>-3409.090909090909</v>
      </c>
      <c r="G28" s="39">
        <f t="shared" si="5"/>
        <v>606</v>
      </c>
      <c r="H28" s="73">
        <f t="shared" si="6"/>
        <v>-1.6233766233766232E-2</v>
      </c>
      <c r="I28" s="202">
        <f t="shared" si="7"/>
        <v>-2435.0649350649346</v>
      </c>
      <c r="J28" s="125">
        <f t="shared" si="8"/>
        <v>609</v>
      </c>
      <c r="K28" s="73">
        <f t="shared" si="9"/>
        <v>-1.1363636363636364E-2</v>
      </c>
      <c r="L28" s="136">
        <f t="shared" si="10"/>
        <v>-1704.5454545454545</v>
      </c>
      <c r="M28" s="39">
        <f t="shared" si="11"/>
        <v>588</v>
      </c>
      <c r="N28" s="73">
        <f t="shared" si="12"/>
        <v>-4.5454545454545456E-2</v>
      </c>
      <c r="O28" s="136">
        <f t="shared" si="13"/>
        <v>-6818.181818181818</v>
      </c>
      <c r="Q28" s="282"/>
      <c r="R28" s="283"/>
      <c r="S28" s="284"/>
    </row>
    <row r="29" spans="1:19" ht="17.25" customHeight="1" thickBot="1">
      <c r="A29" s="124" t="s">
        <v>222</v>
      </c>
      <c r="B29" s="125">
        <f t="shared" si="0"/>
        <v>18.100000000000001</v>
      </c>
      <c r="C29" s="73">
        <f t="shared" si="1"/>
        <v>6.4705882399999998E-2</v>
      </c>
      <c r="D29" s="125">
        <f t="shared" si="2"/>
        <v>18.899999999999999</v>
      </c>
      <c r="E29" s="73">
        <f t="shared" si="3"/>
        <v>4.4198895027624148E-2</v>
      </c>
      <c r="F29" s="136">
        <f t="shared" si="4"/>
        <v>6629.8342541436223</v>
      </c>
      <c r="G29" s="39">
        <f t="shared" si="5"/>
        <v>18.600000000000001</v>
      </c>
      <c r="H29" s="73">
        <f t="shared" si="6"/>
        <v>2.7624309392265192E-2</v>
      </c>
      <c r="I29" s="202">
        <f t="shared" si="7"/>
        <v>4143.6464088397788</v>
      </c>
      <c r="J29" s="125">
        <f t="shared" si="8"/>
        <v>19</v>
      </c>
      <c r="K29" s="73">
        <f t="shared" si="9"/>
        <v>4.9723756906077263E-2</v>
      </c>
      <c r="L29" s="136">
        <f t="shared" si="10"/>
        <v>7458.5635359115895</v>
      </c>
      <c r="M29" s="39">
        <f t="shared" si="11"/>
        <v>18.100000000000001</v>
      </c>
      <c r="N29" s="73">
        <f t="shared" si="12"/>
        <v>0</v>
      </c>
      <c r="O29" s="136">
        <f t="shared" si="13"/>
        <v>0</v>
      </c>
      <c r="Q29" s="267"/>
      <c r="R29" s="267"/>
      <c r="S29" s="267"/>
    </row>
    <row r="30" spans="1:19" ht="17.25" customHeight="1" thickBot="1">
      <c r="A30" s="124" t="s">
        <v>112</v>
      </c>
      <c r="B30" s="125">
        <f t="shared" si="0"/>
        <v>252</v>
      </c>
      <c r="C30" s="73">
        <f t="shared" si="1"/>
        <v>6.3291139199999999E-2</v>
      </c>
      <c r="D30" s="125">
        <f t="shared" si="2"/>
        <v>265</v>
      </c>
      <c r="E30" s="73">
        <f t="shared" si="3"/>
        <v>5.1587301587301584E-2</v>
      </c>
      <c r="F30" s="136">
        <f t="shared" si="4"/>
        <v>7738.0952380952376</v>
      </c>
      <c r="G30" s="39">
        <f t="shared" si="5"/>
        <v>260</v>
      </c>
      <c r="H30" s="73">
        <f t="shared" si="6"/>
        <v>3.1746031746031744E-2</v>
      </c>
      <c r="I30" s="202">
        <f t="shared" si="7"/>
        <v>4761.9047619047615</v>
      </c>
      <c r="J30" s="125">
        <f t="shared" si="8"/>
        <v>260</v>
      </c>
      <c r="K30" s="73">
        <f t="shared" si="9"/>
        <v>3.1746031746031744E-2</v>
      </c>
      <c r="L30" s="136">
        <f t="shared" si="10"/>
        <v>4761.9047619047615</v>
      </c>
      <c r="M30" s="39">
        <f t="shared" si="11"/>
        <v>252</v>
      </c>
      <c r="N30" s="73">
        <f t="shared" si="12"/>
        <v>0</v>
      </c>
      <c r="O30" s="136">
        <f t="shared" si="13"/>
        <v>0</v>
      </c>
      <c r="Q30" s="262"/>
      <c r="R30" s="262"/>
      <c r="S30" s="262"/>
    </row>
    <row r="31" spans="1:19" ht="17.25" customHeight="1" thickBot="1">
      <c r="A31" s="126" t="s">
        <v>134</v>
      </c>
      <c r="B31" s="127">
        <f t="shared" si="0"/>
        <v>156</v>
      </c>
      <c r="C31" s="74">
        <f t="shared" si="1"/>
        <v>6.1224489799999997E-2</v>
      </c>
      <c r="D31" s="127">
        <f t="shared" si="2"/>
        <v>172</v>
      </c>
      <c r="E31" s="74">
        <f t="shared" si="3"/>
        <v>0.10256410256410256</v>
      </c>
      <c r="F31" s="203">
        <f t="shared" si="4"/>
        <v>15384.615384615385</v>
      </c>
      <c r="G31" s="44">
        <f t="shared" si="5"/>
        <v>165</v>
      </c>
      <c r="H31" s="74">
        <f t="shared" si="6"/>
        <v>5.7692307692307696E-2</v>
      </c>
      <c r="I31" s="204">
        <f t="shared" si="7"/>
        <v>8653.8461538461543</v>
      </c>
      <c r="J31" s="127">
        <f t="shared" si="8"/>
        <v>167</v>
      </c>
      <c r="K31" s="74">
        <f t="shared" si="9"/>
        <v>7.0512820512820512E-2</v>
      </c>
      <c r="L31" s="203">
        <f t="shared" si="10"/>
        <v>10576.923076923076</v>
      </c>
      <c r="M31" s="44">
        <f t="shared" si="11"/>
        <v>160</v>
      </c>
      <c r="N31" s="74">
        <f t="shared" si="12"/>
        <v>2.564102564102564E-2</v>
      </c>
      <c r="O31" s="203">
        <f t="shared" si="13"/>
        <v>3846.1538461538462</v>
      </c>
      <c r="Q31" s="262"/>
      <c r="R31" s="262"/>
      <c r="S31" s="262"/>
    </row>
    <row r="32" spans="1:19" ht="17.25" customHeight="1" thickBot="1">
      <c r="A32" s="124" t="s">
        <v>98</v>
      </c>
      <c r="B32" s="128">
        <f t="shared" si="0"/>
        <v>8330</v>
      </c>
      <c r="C32" s="76">
        <f t="shared" si="1"/>
        <v>6.1146496799999998E-2</v>
      </c>
      <c r="D32" s="128">
        <f t="shared" si="2"/>
        <v>8510</v>
      </c>
      <c r="E32" s="76">
        <f t="shared" si="3"/>
        <v>2.1608643457382955E-2</v>
      </c>
      <c r="F32" s="205">
        <f t="shared" si="4"/>
        <v>3241.2965186074434</v>
      </c>
      <c r="G32" s="45">
        <f t="shared" si="5"/>
        <v>8560</v>
      </c>
      <c r="H32" s="76">
        <f t="shared" si="6"/>
        <v>2.7611044417767107E-2</v>
      </c>
      <c r="I32" s="206">
        <f t="shared" si="7"/>
        <v>4141.6566626650656</v>
      </c>
      <c r="J32" s="128">
        <f t="shared" si="8"/>
        <v>8535</v>
      </c>
      <c r="K32" s="76">
        <f t="shared" si="9"/>
        <v>2.4609843937575031E-2</v>
      </c>
      <c r="L32" s="205">
        <f t="shared" si="10"/>
        <v>3691.4765906362545</v>
      </c>
      <c r="M32" s="45">
        <f t="shared" si="11"/>
        <v>8390</v>
      </c>
      <c r="N32" s="76">
        <f t="shared" si="12"/>
        <v>7.2028811524609843E-3</v>
      </c>
      <c r="O32" s="205">
        <f t="shared" si="13"/>
        <v>1080.4321728691477</v>
      </c>
      <c r="Q32" s="267"/>
      <c r="R32" s="267"/>
      <c r="S32" s="267"/>
    </row>
    <row r="33" spans="1:19" ht="17.25" customHeight="1" thickBot="1">
      <c r="A33" s="124" t="s">
        <v>78</v>
      </c>
      <c r="B33" s="125">
        <f t="shared" si="0"/>
        <v>1776500</v>
      </c>
      <c r="C33" s="73">
        <f t="shared" si="1"/>
        <v>5.8070279900000001E-2</v>
      </c>
      <c r="D33" s="125">
        <f t="shared" si="2"/>
        <v>1903500</v>
      </c>
      <c r="E33" s="73">
        <f t="shared" si="3"/>
        <v>7.1488882634393472E-2</v>
      </c>
      <c r="F33" s="136">
        <f t="shared" si="4"/>
        <v>10723.332395159021</v>
      </c>
      <c r="G33" s="39">
        <f t="shared" si="5"/>
        <v>1830000</v>
      </c>
      <c r="H33" s="73">
        <f t="shared" si="6"/>
        <v>3.0115395440472838E-2</v>
      </c>
      <c r="I33" s="202">
        <f t="shared" si="7"/>
        <v>4517.3093160709259</v>
      </c>
      <c r="J33" s="125">
        <f t="shared" si="8"/>
        <v>1833000</v>
      </c>
      <c r="K33" s="73">
        <f t="shared" si="9"/>
        <v>3.1804109203490007E-2</v>
      </c>
      <c r="L33" s="136">
        <f t="shared" si="10"/>
        <v>4770.616380523501</v>
      </c>
      <c r="M33" s="39">
        <f t="shared" si="11"/>
        <v>1792500</v>
      </c>
      <c r="N33" s="73">
        <f t="shared" si="12"/>
        <v>9.0064734027582322E-3</v>
      </c>
      <c r="O33" s="136">
        <f t="shared" si="13"/>
        <v>1350.9710104137348</v>
      </c>
      <c r="Q33" s="267"/>
      <c r="R33" s="267"/>
      <c r="S33" s="267"/>
    </row>
    <row r="34" spans="1:19" ht="17.25" customHeight="1" thickBot="1">
      <c r="A34" s="124" t="s">
        <v>250</v>
      </c>
      <c r="B34" s="125">
        <f t="shared" si="0"/>
        <v>201</v>
      </c>
      <c r="C34" s="73">
        <f t="shared" si="1"/>
        <v>5.7894736799999999E-2</v>
      </c>
      <c r="D34" s="125">
        <f t="shared" si="2"/>
        <v>207</v>
      </c>
      <c r="E34" s="73">
        <f t="shared" si="3"/>
        <v>2.9850746268656716E-2</v>
      </c>
      <c r="F34" s="136">
        <f t="shared" si="4"/>
        <v>4477.6119402985078</v>
      </c>
      <c r="G34" s="39">
        <f t="shared" si="5"/>
        <v>206</v>
      </c>
      <c r="H34" s="73">
        <f t="shared" si="6"/>
        <v>2.4875621890547265E-2</v>
      </c>
      <c r="I34" s="202">
        <f t="shared" si="7"/>
        <v>3731.34328358209</v>
      </c>
      <c r="J34" s="125">
        <f t="shared" si="8"/>
        <v>205</v>
      </c>
      <c r="K34" s="73">
        <f t="shared" si="9"/>
        <v>1.9900497512437811E-2</v>
      </c>
      <c r="L34" s="136">
        <f t="shared" si="10"/>
        <v>2985.0746268656717</v>
      </c>
      <c r="M34" s="39">
        <f t="shared" si="11"/>
        <v>200</v>
      </c>
      <c r="N34" s="73">
        <f t="shared" si="12"/>
        <v>-4.9751243781094526E-3</v>
      </c>
      <c r="O34" s="136">
        <f t="shared" si="13"/>
        <v>-746.26865671641792</v>
      </c>
      <c r="Q34" s="267"/>
      <c r="R34" s="267"/>
      <c r="S34" s="267"/>
    </row>
    <row r="35" spans="1:19" ht="17.25" customHeight="1">
      <c r="A35" s="124" t="s">
        <v>186</v>
      </c>
      <c r="B35" s="125">
        <f t="shared" si="0"/>
        <v>23.8</v>
      </c>
      <c r="C35" s="73">
        <f t="shared" si="1"/>
        <v>5.7777777799999999E-2</v>
      </c>
      <c r="D35" s="125">
        <f t="shared" si="2"/>
        <v>24.8</v>
      </c>
      <c r="E35" s="73">
        <f t="shared" si="3"/>
        <v>4.2016806722689072E-2</v>
      </c>
      <c r="F35" s="136">
        <f t="shared" si="4"/>
        <v>6302.5210084033606</v>
      </c>
      <c r="G35" s="39">
        <f t="shared" si="5"/>
        <v>24.9</v>
      </c>
      <c r="H35" s="73">
        <f t="shared" si="6"/>
        <v>4.6218487394957895E-2</v>
      </c>
      <c r="I35" s="202">
        <f t="shared" si="7"/>
        <v>6932.7731092436843</v>
      </c>
      <c r="J35" s="125">
        <f t="shared" si="8"/>
        <v>25.1</v>
      </c>
      <c r="K35" s="73">
        <f t="shared" si="9"/>
        <v>5.4621848739495826E-2</v>
      </c>
      <c r="L35" s="136">
        <f t="shared" si="10"/>
        <v>8193.2773109243735</v>
      </c>
      <c r="M35" s="39">
        <f t="shared" si="11"/>
        <v>23.8</v>
      </c>
      <c r="N35" s="73">
        <f t="shared" si="12"/>
        <v>0</v>
      </c>
      <c r="O35" s="136">
        <f t="shared" si="13"/>
        <v>0</v>
      </c>
      <c r="Q35" s="289"/>
      <c r="R35" s="290"/>
      <c r="S35" s="291"/>
    </row>
    <row r="36" spans="1:19" ht="17.25" customHeight="1" thickBot="1">
      <c r="A36" s="129" t="s">
        <v>196</v>
      </c>
      <c r="B36" s="130">
        <f t="shared" si="0"/>
        <v>19.3</v>
      </c>
      <c r="C36" s="75">
        <f t="shared" si="1"/>
        <v>5.4644808699999999E-2</v>
      </c>
      <c r="D36" s="130">
        <f t="shared" si="2"/>
        <v>20.100000000000001</v>
      </c>
      <c r="E36" s="75">
        <f t="shared" si="3"/>
        <v>4.1450777202072575E-2</v>
      </c>
      <c r="F36" s="137">
        <f t="shared" si="4"/>
        <v>6217.6165803108861</v>
      </c>
      <c r="G36" s="37">
        <f t="shared" si="5"/>
        <v>20.100000000000001</v>
      </c>
      <c r="H36" s="75">
        <f t="shared" si="6"/>
        <v>4.1450777202072575E-2</v>
      </c>
      <c r="I36" s="207">
        <f t="shared" si="7"/>
        <v>6217.6165803108861</v>
      </c>
      <c r="J36" s="130">
        <f t="shared" si="8"/>
        <v>20</v>
      </c>
      <c r="K36" s="75">
        <f t="shared" si="9"/>
        <v>3.6269430051813434E-2</v>
      </c>
      <c r="L36" s="137">
        <f t="shared" si="10"/>
        <v>5440.414507772015</v>
      </c>
      <c r="M36" s="37">
        <f t="shared" si="11"/>
        <v>19.399999999999999</v>
      </c>
      <c r="N36" s="75">
        <f t="shared" si="12"/>
        <v>5.1813471502589565E-3</v>
      </c>
      <c r="O36" s="137">
        <f t="shared" si="13"/>
        <v>777.20207253884348</v>
      </c>
      <c r="Q36" s="292"/>
      <c r="R36" s="293"/>
      <c r="S36" s="294"/>
    </row>
    <row r="37" spans="1:19" ht="17.25" customHeight="1" thickBot="1">
      <c r="A37" s="131" t="s">
        <v>42</v>
      </c>
      <c r="B37" s="300">
        <v>150000</v>
      </c>
      <c r="C37" s="301"/>
      <c r="D37" s="131" t="s">
        <v>43</v>
      </c>
      <c r="E37" s="215">
        <f>IF(COUNT(E17:E36), SUM(E17:E36) / COUNT(E17:E36), 0)</f>
        <v>2.8084058812542601E-2</v>
      </c>
      <c r="F37" s="208">
        <f>SUM(F17:F36)</f>
        <v>84252.176437627815</v>
      </c>
      <c r="G37" s="131" t="s">
        <v>43</v>
      </c>
      <c r="H37" s="215">
        <f>IF(COUNT(H17:H36), SUM(H17:H36) / COUNT(H17:H36), 0)</f>
        <v>2.1189100294795961E-2</v>
      </c>
      <c r="I37" s="208">
        <f>SUM(I17:I36)</f>
        <v>63567.300884387907</v>
      </c>
      <c r="J37" s="131" t="s">
        <v>43</v>
      </c>
      <c r="K37" s="215">
        <f>IF(COUNT(K17:K36), SUM(K17:K36) / COUNT(K17:K36), 0)</f>
        <v>3.1001742963930445E-2</v>
      </c>
      <c r="L37" s="208">
        <f>SUM(L17:L36)</f>
        <v>93005.228891791325</v>
      </c>
      <c r="M37" s="131" t="s">
        <v>43</v>
      </c>
      <c r="N37" s="215">
        <f>IF(COUNT(N17:N36), SUM(N17:N36) / COUNT(N17:N36), 0)</f>
        <v>-1.3201976429915042E-2</v>
      </c>
      <c r="O37" s="208">
        <f>SUM(O17:O36)</f>
        <v>-39605.929289745131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209" t="s">
        <v>298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62017000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-1.6680144000000001E-2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2021-05-12(수) 오전 00:00</v>
      </c>
      <c r="C42" s="305"/>
      <c r="D42" s="241" t="str">
        <f>TEXT($G$1, "[$-ko-KR]yyyy-mm-dd(ddd) ") &amp; "오후 14:00"</f>
        <v>2021-05-12(수) 오후 14:00</v>
      </c>
      <c r="E42" s="242"/>
      <c r="F42" s="243"/>
      <c r="G42" s="241" t="str">
        <f>TEXT($G$1, "[$-ko-KR]yyyy-mm-dd(ddd) ") &amp; "오후 19:00"</f>
        <v>2021-05-12(수) 오후 19:00</v>
      </c>
      <c r="H42" s="242"/>
      <c r="I42" s="243"/>
      <c r="J42" s="241" t="str">
        <f>TEXT($G$1, "[$-ko-KR]yyyy-mm-dd(ddd) ") &amp; "오후 21:00"</f>
        <v>2021-05-12(수) 오후 21:00</v>
      </c>
      <c r="K42" s="242"/>
      <c r="L42" s="243"/>
      <c r="M42" s="241" t="str">
        <f>TEXT($G$1+1, "[$-ko-KR]yyyy-mm-dd(ddd) ") &amp; "오전 00:00"</f>
        <v>2021-05-13(목) 오전 00:00</v>
      </c>
      <c r="N42" s="242"/>
      <c r="O42" s="243"/>
      <c r="Q42" s="262"/>
      <c r="R42" s="262"/>
      <c r="S42" s="262"/>
    </row>
    <row r="43" spans="1:19" ht="17.25" customHeight="1" thickBot="1">
      <c r="A43" s="303"/>
      <c r="B43" s="120" t="s">
        <v>58</v>
      </c>
      <c r="C43" s="121" t="s">
        <v>59</v>
      </c>
      <c r="D43" s="120" t="s">
        <v>58</v>
      </c>
      <c r="E43" s="121" t="s">
        <v>299</v>
      </c>
      <c r="F43" s="216" t="s">
        <v>300</v>
      </c>
      <c r="G43" s="209" t="s">
        <v>58</v>
      </c>
      <c r="H43" s="210" t="s">
        <v>299</v>
      </c>
      <c r="I43" s="211" t="s">
        <v>300</v>
      </c>
      <c r="J43" s="121" t="s">
        <v>58</v>
      </c>
      <c r="K43" s="121" t="s">
        <v>299</v>
      </c>
      <c r="L43" s="213" t="s">
        <v>300</v>
      </c>
      <c r="M43" s="120" t="s">
        <v>58</v>
      </c>
      <c r="N43" s="121" t="s">
        <v>299</v>
      </c>
      <c r="O43" s="214" t="s">
        <v>300</v>
      </c>
      <c r="Q43" s="267"/>
      <c r="R43" s="267"/>
      <c r="S43" s="267"/>
    </row>
    <row r="44" spans="1:19" ht="17.25" customHeight="1" thickBot="1">
      <c r="A44" s="122" t="s">
        <v>236</v>
      </c>
      <c r="B44" s="123">
        <v>99.4</v>
      </c>
      <c r="C44" s="72">
        <v>0.61363636359999996</v>
      </c>
      <c r="D44" s="123">
        <v>92.6</v>
      </c>
      <c r="E44" s="72">
        <f>IF(ISNUMBER(D44), (D44 - $B44) / $B44, "")</f>
        <v>-6.8410462776660075E-2</v>
      </c>
      <c r="F44" s="140">
        <f>IF(ISNUMBER(D44), $B64 * E44, "")</f>
        <v>-10261.569416499011</v>
      </c>
      <c r="G44" s="38">
        <v>91.3</v>
      </c>
      <c r="H44" s="72">
        <f>IF(ISNUMBER(G44), (G44 - $B44) / $B44, "")</f>
        <v>-8.1488933601609734E-2</v>
      </c>
      <c r="I44" s="201">
        <f>IF(ISNUMBER(G44), $B64 * H44, "")</f>
        <v>-12223.340040241461</v>
      </c>
      <c r="J44" s="123">
        <v>90.7</v>
      </c>
      <c r="K44" s="72">
        <f>IF(ISNUMBER(J44), (J44 - $B44) / $B44, "")</f>
        <v>-8.7525150905432614E-2</v>
      </c>
      <c r="L44" s="140">
        <f>IF(ISNUMBER(J44), $B64 * K44, "")</f>
        <v>-13128.772635814892</v>
      </c>
      <c r="M44" s="38">
        <v>83.6</v>
      </c>
      <c r="N44" s="72">
        <f>IF(ISNUMBER(M44), (M44 - $B44) / $B44, "")</f>
        <v>-0.15895372233400412</v>
      </c>
      <c r="O44" s="140">
        <f>IF(ISNUMBER(M44), $B64 * N44, "")</f>
        <v>-23843.058350100619</v>
      </c>
      <c r="Q44" s="262"/>
      <c r="R44" s="262"/>
      <c r="S44" s="262"/>
    </row>
    <row r="45" spans="1:19" ht="17.25" customHeight="1" thickBot="1">
      <c r="A45" s="124" t="s">
        <v>214</v>
      </c>
      <c r="B45" s="125">
        <v>22.1</v>
      </c>
      <c r="C45" s="73">
        <v>0.15706806279999999</v>
      </c>
      <c r="D45" s="125">
        <v>22.2</v>
      </c>
      <c r="E45" s="73">
        <f t="shared" ref="E45:E48" si="14">IF(ISNUMBER(D45), (D45 - $B45) / $B45, "")</f>
        <v>4.5248868778279576E-3</v>
      </c>
      <c r="F45" s="136">
        <f>IF(ISNUMBER(D45), $B64 * E45, "")</f>
        <v>678.73303167419363</v>
      </c>
      <c r="G45" s="39">
        <v>23.3</v>
      </c>
      <c r="H45" s="73">
        <f t="shared" ref="H45:H48" si="15">IF(ISNUMBER(G45), (G45 - $B45) / $B45, "")</f>
        <v>5.4298642533936618E-2</v>
      </c>
      <c r="I45" s="202">
        <f>IF(ISNUMBER(G45), $B64 * H45, "")</f>
        <v>8144.7963800904927</v>
      </c>
      <c r="J45" s="125">
        <v>25.9</v>
      </c>
      <c r="K45" s="73">
        <f t="shared" ref="K45:K48" si="16">IF(ISNUMBER(J45), (J45 - $B45) / $B45, "")</f>
        <v>0.17194570135746592</v>
      </c>
      <c r="L45" s="136">
        <f>IF(ISNUMBER(J45), $B64 * K45, "")</f>
        <v>25791.855203619889</v>
      </c>
      <c r="M45" s="39">
        <v>22.4</v>
      </c>
      <c r="N45" s="73">
        <f t="shared" ref="N45:N48" si="17">IF(ISNUMBER(M45), (M45 - $B45) / $B45, "")</f>
        <v>1.3574660633484033E-2</v>
      </c>
      <c r="O45" s="136">
        <f>IF(ISNUMBER(M45), $B64 * N45, "")</f>
        <v>2036.199095022605</v>
      </c>
      <c r="Q45" s="262"/>
      <c r="R45" s="262"/>
      <c r="S45" s="262"/>
    </row>
    <row r="46" spans="1:19" ht="17.25" customHeight="1" thickBot="1">
      <c r="A46" s="124" t="s">
        <v>254</v>
      </c>
      <c r="B46" s="125">
        <v>88.5</v>
      </c>
      <c r="C46" s="73">
        <v>0.1538461538</v>
      </c>
      <c r="D46" s="125">
        <v>84.5</v>
      </c>
      <c r="E46" s="73">
        <f t="shared" si="14"/>
        <v>-4.519774011299435E-2</v>
      </c>
      <c r="F46" s="136">
        <f>IF(ISNUMBER(D46), $B64 * E46, "")</f>
        <v>-6779.6610169491523</v>
      </c>
      <c r="G46" s="39">
        <v>85.2</v>
      </c>
      <c r="H46" s="73">
        <f t="shared" si="15"/>
        <v>-3.7288135593220306E-2</v>
      </c>
      <c r="I46" s="202">
        <f>IF(ISNUMBER(G46), $B64 * H46, "")</f>
        <v>-5593.2203389830456</v>
      </c>
      <c r="J46" s="125">
        <v>85.4</v>
      </c>
      <c r="K46" s="73">
        <f t="shared" si="16"/>
        <v>-3.502824858757056E-2</v>
      </c>
      <c r="L46" s="136">
        <f>IF(ISNUMBER(J46), $B64 * K46, "")</f>
        <v>-5254.2372881355841</v>
      </c>
      <c r="M46" s="39">
        <v>82.8</v>
      </c>
      <c r="N46" s="73">
        <f t="shared" si="17"/>
        <v>-6.4406779661016975E-2</v>
      </c>
      <c r="O46" s="136">
        <f>IF(ISNUMBER(M46), $B64 * N46, "")</f>
        <v>-9661.0169491525467</v>
      </c>
      <c r="Q46" s="267"/>
      <c r="R46" s="267"/>
      <c r="S46" s="267"/>
    </row>
    <row r="47" spans="1:19" ht="17.25" customHeight="1" thickBot="1">
      <c r="A47" s="124" t="s">
        <v>268</v>
      </c>
      <c r="B47" s="125">
        <v>89.4</v>
      </c>
      <c r="C47" s="73">
        <v>9.9630996299999997E-2</v>
      </c>
      <c r="D47" s="125">
        <v>89.1</v>
      </c>
      <c r="E47" s="73">
        <f t="shared" si="14"/>
        <v>-3.3557046979867042E-3</v>
      </c>
      <c r="F47" s="136">
        <f>IF(ISNUMBER(D47), $B64 * E47, "")</f>
        <v>-503.35570469800564</v>
      </c>
      <c r="G47" s="39">
        <v>90.5</v>
      </c>
      <c r="H47" s="73">
        <f t="shared" si="15"/>
        <v>1.2304250559284052E-2</v>
      </c>
      <c r="I47" s="202">
        <f>IF(ISNUMBER(G47), $B64 * H47, "")</f>
        <v>1845.6375838926078</v>
      </c>
      <c r="J47" s="125">
        <v>91.3</v>
      </c>
      <c r="K47" s="73">
        <f t="shared" si="16"/>
        <v>2.125279642058156E-2</v>
      </c>
      <c r="L47" s="136">
        <f>IF(ISNUMBER(J47), $B64 * K47, "")</f>
        <v>3187.9194630872339</v>
      </c>
      <c r="M47" s="39">
        <v>87.6</v>
      </c>
      <c r="N47" s="73">
        <f t="shared" si="17"/>
        <v>-2.013422818791959E-2</v>
      </c>
      <c r="O47" s="136">
        <f>IF(ISNUMBER(M47), $B64 * N47, "")</f>
        <v>-3020.1342281879383</v>
      </c>
      <c r="Q47" s="267"/>
      <c r="R47" s="267"/>
      <c r="S47" s="267"/>
    </row>
    <row r="48" spans="1:19" ht="17.25" customHeight="1" thickBot="1">
      <c r="A48" s="126" t="s">
        <v>126</v>
      </c>
      <c r="B48" s="127">
        <v>57.7</v>
      </c>
      <c r="C48" s="74">
        <v>9.4876660299999999E-2</v>
      </c>
      <c r="D48" s="127">
        <v>56.7</v>
      </c>
      <c r="E48" s="74">
        <f t="shared" si="14"/>
        <v>-1.7331022530329289E-2</v>
      </c>
      <c r="F48" s="203">
        <f>IF(ISNUMBER(D48), $B64 * E48, "")</f>
        <v>-2599.6533795493933</v>
      </c>
      <c r="G48" s="44">
        <v>56.3</v>
      </c>
      <c r="H48" s="74">
        <f t="shared" si="15"/>
        <v>-2.4263431542461102E-2</v>
      </c>
      <c r="I48" s="204">
        <f>IF(ISNUMBER(G48), $B64 * H48, "")</f>
        <v>-3639.5147313691655</v>
      </c>
      <c r="J48" s="127">
        <v>56.3</v>
      </c>
      <c r="K48" s="74">
        <f t="shared" si="16"/>
        <v>-2.4263431542461102E-2</v>
      </c>
      <c r="L48" s="203">
        <f>IF(ISNUMBER(J48), $B64 * K48, "")</f>
        <v>-3639.5147313691655</v>
      </c>
      <c r="M48" s="44">
        <v>54.6</v>
      </c>
      <c r="N48" s="74">
        <f t="shared" si="17"/>
        <v>-5.3726169844020816E-2</v>
      </c>
      <c r="O48" s="203">
        <f>IF(ISNUMBER(M48), $B64 * N48, "")</f>
        <v>-8058.9254766031227</v>
      </c>
      <c r="Q48" s="267"/>
      <c r="R48" s="267"/>
      <c r="S48" s="267"/>
    </row>
    <row r="49" spans="1:19" ht="17.25" customHeight="1" thickBot="1">
      <c r="A49" s="124" t="s">
        <v>172</v>
      </c>
      <c r="B49" s="128">
        <v>23.9</v>
      </c>
      <c r="C49" s="76">
        <v>7.6576576600000001E-2</v>
      </c>
      <c r="D49" s="128">
        <v>26.3</v>
      </c>
      <c r="E49" s="76">
        <f>IF(ISNUMBER(D49), (D49 - $B49) / $B49, "")</f>
        <v>0.1004184100418411</v>
      </c>
      <c r="F49" s="205">
        <f>IF(ISNUMBER(D49), $B64 * E49, "")</f>
        <v>15062.761506276165</v>
      </c>
      <c r="G49" s="45">
        <v>25.5</v>
      </c>
      <c r="H49" s="76">
        <f>IF(ISNUMBER(G49), (G49 - $B49) / $B49, "")</f>
        <v>6.6945606694560733E-2</v>
      </c>
      <c r="I49" s="206">
        <f>IF(ISNUMBER(G49), $B64 * H49, "")</f>
        <v>10041.841004184111</v>
      </c>
      <c r="J49" s="128">
        <v>25.8</v>
      </c>
      <c r="K49" s="76">
        <f>IF(ISNUMBER(J49), (J49 - $B49) / $B49, "")</f>
        <v>7.9497907949790891E-2</v>
      </c>
      <c r="L49" s="205">
        <f>IF(ISNUMBER(J49), $B64 * K49, "")</f>
        <v>11924.686192468635</v>
      </c>
      <c r="M49" s="45">
        <v>24.3</v>
      </c>
      <c r="N49" s="76">
        <f>IF(ISNUMBER(M49), (M49 - $B49) / $B49, "")</f>
        <v>1.6736401673640256E-2</v>
      </c>
      <c r="O49" s="205">
        <f>IF(ISNUMBER(M49), $B64 * N49, "")</f>
        <v>2510.4602510460386</v>
      </c>
      <c r="Q49" s="267"/>
      <c r="R49" s="267"/>
      <c r="S49" s="267"/>
    </row>
    <row r="50" spans="1:19" ht="17.25" customHeight="1" thickBot="1">
      <c r="A50" s="124" t="s">
        <v>218</v>
      </c>
      <c r="B50" s="125">
        <v>26.8</v>
      </c>
      <c r="C50" s="73">
        <v>7.1999999999999995E-2</v>
      </c>
      <c r="D50" s="125">
        <v>27.7</v>
      </c>
      <c r="E50" s="73">
        <f t="shared" ref="E50:E53" si="18">IF(ISNUMBER(D50), (D50 - $B50) / $B50, "")</f>
        <v>3.358208955223875E-2</v>
      </c>
      <c r="F50" s="136">
        <f>IF(ISNUMBER(D50), $B64 * E50, "")</f>
        <v>5037.3134328358128</v>
      </c>
      <c r="G50" s="39">
        <v>27.5</v>
      </c>
      <c r="H50" s="73">
        <f t="shared" ref="H50:H53" si="19">IF(ISNUMBER(G50), (G50 - $B50) / $B50, "")</f>
        <v>2.6119402985074598E-2</v>
      </c>
      <c r="I50" s="202">
        <f>IF(ISNUMBER(G50), $B64 * H50, "")</f>
        <v>3917.9104477611895</v>
      </c>
      <c r="J50" s="125">
        <v>27.8</v>
      </c>
      <c r="K50" s="73">
        <f t="shared" ref="K50:K53" si="20">IF(ISNUMBER(J50), (J50 - $B50) / $B50, "")</f>
        <v>3.7313432835820892E-2</v>
      </c>
      <c r="L50" s="136">
        <f>IF(ISNUMBER(J50), $B64 * K50, "")</f>
        <v>5597.0149253731342</v>
      </c>
      <c r="M50" s="39">
        <v>26.7</v>
      </c>
      <c r="N50" s="73">
        <f t="shared" ref="N50:N53" si="21">IF(ISNUMBER(M50), (M50 - $B50) / $B50, "")</f>
        <v>-3.7313432835821424E-3</v>
      </c>
      <c r="O50" s="136">
        <f>IF(ISNUMBER(M50), $B64 * N50, "")</f>
        <v>-559.70149253732131</v>
      </c>
      <c r="Q50" s="267"/>
      <c r="R50" s="267"/>
      <c r="S50" s="267"/>
    </row>
    <row r="51" spans="1:19" ht="17.25" customHeight="1" thickBot="1">
      <c r="A51" s="124" t="s">
        <v>222</v>
      </c>
      <c r="B51" s="125">
        <v>18.100000000000001</v>
      </c>
      <c r="C51" s="73">
        <v>6.4705882399999998E-2</v>
      </c>
      <c r="D51" s="125">
        <v>18.899999999999999</v>
      </c>
      <c r="E51" s="73">
        <f t="shared" si="18"/>
        <v>4.4198895027624148E-2</v>
      </c>
      <c r="F51" s="136">
        <f>IF(ISNUMBER(D51), $B64 * E51, "")</f>
        <v>6629.8342541436223</v>
      </c>
      <c r="G51" s="39">
        <v>18.600000000000001</v>
      </c>
      <c r="H51" s="73">
        <f t="shared" si="19"/>
        <v>2.7624309392265192E-2</v>
      </c>
      <c r="I51" s="202">
        <f>IF(ISNUMBER(G51), $B64 * H51, "")</f>
        <v>4143.6464088397788</v>
      </c>
      <c r="J51" s="125">
        <v>19</v>
      </c>
      <c r="K51" s="73">
        <f t="shared" si="20"/>
        <v>4.9723756906077263E-2</v>
      </c>
      <c r="L51" s="136">
        <f>IF(ISNUMBER(J51), $B64 * K51, "")</f>
        <v>7458.5635359115895</v>
      </c>
      <c r="M51" s="39">
        <v>18.100000000000001</v>
      </c>
      <c r="N51" s="73">
        <f t="shared" si="21"/>
        <v>0</v>
      </c>
      <c r="O51" s="136">
        <f>IF(ISNUMBER(M51), $B64 * N51, "")</f>
        <v>0</v>
      </c>
      <c r="Q51" s="267"/>
      <c r="R51" s="267"/>
      <c r="S51" s="267"/>
    </row>
    <row r="52" spans="1:19" ht="17.25" customHeight="1" thickBot="1">
      <c r="A52" s="124" t="s">
        <v>186</v>
      </c>
      <c r="B52" s="125">
        <v>23.8</v>
      </c>
      <c r="C52" s="73">
        <v>5.7777777799999999E-2</v>
      </c>
      <c r="D52" s="125">
        <v>24.8</v>
      </c>
      <c r="E52" s="73">
        <f t="shared" si="18"/>
        <v>4.2016806722689072E-2</v>
      </c>
      <c r="F52" s="136">
        <f>IF(ISNUMBER(D52), $B64 * E52, "")</f>
        <v>6302.5210084033606</v>
      </c>
      <c r="G52" s="39">
        <v>24.9</v>
      </c>
      <c r="H52" s="73">
        <f t="shared" si="19"/>
        <v>4.6218487394957895E-2</v>
      </c>
      <c r="I52" s="202">
        <f>IF(ISNUMBER(G52), $B64 * H52, "")</f>
        <v>6932.7731092436843</v>
      </c>
      <c r="J52" s="125">
        <v>25.1</v>
      </c>
      <c r="K52" s="73">
        <f t="shared" si="20"/>
        <v>5.4621848739495826E-2</v>
      </c>
      <c r="L52" s="136">
        <f>IF(ISNUMBER(J52), $B64 * K52, "")</f>
        <v>8193.2773109243735</v>
      </c>
      <c r="M52" s="39">
        <v>23.8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196</v>
      </c>
      <c r="B53" s="130">
        <v>19.3</v>
      </c>
      <c r="C53" s="75">
        <v>5.4644808699999999E-2</v>
      </c>
      <c r="D53" s="130">
        <v>20.100000000000001</v>
      </c>
      <c r="E53" s="75">
        <f t="shared" si="18"/>
        <v>4.1450777202072575E-2</v>
      </c>
      <c r="F53" s="137">
        <f>IF(ISNUMBER(D53), $B64 * E53, "")</f>
        <v>6217.6165803108861</v>
      </c>
      <c r="G53" s="37">
        <v>20.100000000000001</v>
      </c>
      <c r="H53" s="75">
        <f t="shared" si="19"/>
        <v>4.1450777202072575E-2</v>
      </c>
      <c r="I53" s="207">
        <f>IF(ISNUMBER(G53), $B64 * H53, "")</f>
        <v>6217.6165803108861</v>
      </c>
      <c r="J53" s="130">
        <v>20</v>
      </c>
      <c r="K53" s="75">
        <f t="shared" si="20"/>
        <v>3.6269430051813434E-2</v>
      </c>
      <c r="L53" s="137">
        <f>IF(ISNUMBER(J53), $B64 * K53, "")</f>
        <v>5440.414507772015</v>
      </c>
      <c r="M53" s="37">
        <v>19.399999999999999</v>
      </c>
      <c r="N53" s="75">
        <f t="shared" si="21"/>
        <v>5.1813471502589565E-3</v>
      </c>
      <c r="O53" s="137">
        <f>IF(ISNUMBER(M53), $B64 * N53, "")</f>
        <v>777.20207253884348</v>
      </c>
      <c r="Q53" s="276"/>
      <c r="R53" s="277"/>
      <c r="S53" s="278"/>
    </row>
    <row r="54" spans="1:19" ht="17.25" customHeight="1">
      <c r="A54" s="122" t="s">
        <v>228</v>
      </c>
      <c r="B54" s="123">
        <v>18</v>
      </c>
      <c r="C54" s="72">
        <v>5.2631578900000003E-2</v>
      </c>
      <c r="D54" s="123">
        <v>18.3</v>
      </c>
      <c r="E54" s="72">
        <f>IF(ISNUMBER(D54), (D54 - $B54) / $B54, "")</f>
        <v>1.6666666666666705E-2</v>
      </c>
      <c r="F54" s="140">
        <f>IF(ISNUMBER(D54), $B64 * E54, "")</f>
        <v>2500.0000000000059</v>
      </c>
      <c r="G54" s="38">
        <v>18.399999999999999</v>
      </c>
      <c r="H54" s="72">
        <f>IF(ISNUMBER(G54), (G54 - $B54) / $B54, "")</f>
        <v>2.2222222222222143E-2</v>
      </c>
      <c r="I54" s="201">
        <f>IF(ISNUMBER(G54), $B64 * H54, "")</f>
        <v>3333.3333333333217</v>
      </c>
      <c r="J54" s="123">
        <v>18.600000000000001</v>
      </c>
      <c r="K54" s="72">
        <f>IF(ISNUMBER(J54), (J54 - $B54) / $B54, "")</f>
        <v>3.3333333333333409E-2</v>
      </c>
      <c r="L54" s="140">
        <f>IF(ISNUMBER(J54), $B64 * K54, "")</f>
        <v>5000.0000000000118</v>
      </c>
      <c r="M54" s="38">
        <v>18.100000000000001</v>
      </c>
      <c r="N54" s="72">
        <f>IF(ISNUMBER(M54), (M54 - $B54) / $B54, "")</f>
        <v>5.5555555555556347E-3</v>
      </c>
      <c r="O54" s="140">
        <f>IF(ISNUMBER(M54), $B64 * N54, "")</f>
        <v>833.33333333334519</v>
      </c>
      <c r="Q54" s="279"/>
      <c r="R54" s="280"/>
      <c r="S54" s="281"/>
    </row>
    <row r="55" spans="1:19" ht="17.25" customHeight="1" thickBot="1">
      <c r="A55" s="124" t="s">
        <v>198</v>
      </c>
      <c r="B55" s="125">
        <v>26.3</v>
      </c>
      <c r="C55" s="73">
        <v>5.1999999999999998E-2</v>
      </c>
      <c r="D55" s="125">
        <v>28.8</v>
      </c>
      <c r="E55" s="73">
        <f t="shared" ref="E55:E58" si="22">IF(ISNUMBER(D55), (D55 - $B55) / $B55, "")</f>
        <v>9.5057034220532313E-2</v>
      </c>
      <c r="F55" s="136">
        <f>IF(ISNUMBER(D55), $B64 * E55, "")</f>
        <v>14258.555133079846</v>
      </c>
      <c r="G55" s="39">
        <v>27.9</v>
      </c>
      <c r="H55" s="73">
        <f t="shared" ref="H55:H58" si="23">IF(ISNUMBER(G55), (G55 - $B55) / $B55, "")</f>
        <v>6.0836501901140601E-2</v>
      </c>
      <c r="I55" s="202">
        <f>IF(ISNUMBER(G55), $B64 * H55, "")</f>
        <v>9125.4752851710909</v>
      </c>
      <c r="J55" s="125">
        <v>27.8</v>
      </c>
      <c r="K55" s="73">
        <f t="shared" ref="K55:K58" si="24">IF(ISNUMBER(J55), (J55 - $B55) / $B55, "")</f>
        <v>5.7034220532319393E-2</v>
      </c>
      <c r="L55" s="136">
        <f>IF(ISNUMBER(J55), $B64 * K55, "")</f>
        <v>8555.1330798479084</v>
      </c>
      <c r="M55" s="39">
        <v>28</v>
      </c>
      <c r="N55" s="73">
        <f t="shared" ref="N55:N58" si="25">IF(ISNUMBER(M55), (M55 - $B55) / $B55, "")</f>
        <v>6.4638783269961947E-2</v>
      </c>
      <c r="O55" s="136">
        <f>IF(ISNUMBER(M55), $B64 * N55, "")</f>
        <v>9695.8174904942916</v>
      </c>
      <c r="Q55" s="282"/>
      <c r="R55" s="283"/>
      <c r="S55" s="284"/>
    </row>
    <row r="56" spans="1:19" ht="17.25" customHeight="1" thickBot="1">
      <c r="A56" s="124" t="s">
        <v>154</v>
      </c>
      <c r="B56" s="125">
        <v>20</v>
      </c>
      <c r="C56" s="73">
        <v>4.16666667E-2</v>
      </c>
      <c r="D56" s="125">
        <v>21</v>
      </c>
      <c r="E56" s="73">
        <f t="shared" si="22"/>
        <v>0.05</v>
      </c>
      <c r="F56" s="136">
        <f>IF(ISNUMBER(D56), $B64 * E56, "")</f>
        <v>7500</v>
      </c>
      <c r="G56" s="39">
        <v>20.5</v>
      </c>
      <c r="H56" s="73">
        <f t="shared" si="23"/>
        <v>2.5000000000000001E-2</v>
      </c>
      <c r="I56" s="202">
        <f>IF(ISNUMBER(G56), $B64 * H56, "")</f>
        <v>3750</v>
      </c>
      <c r="J56" s="125">
        <v>21</v>
      </c>
      <c r="K56" s="73">
        <f t="shared" si="24"/>
        <v>0.05</v>
      </c>
      <c r="L56" s="136">
        <f>IF(ISNUMBER(J56), $B64 * K56, "")</f>
        <v>7500</v>
      </c>
      <c r="M56" s="39">
        <v>20.100000000000001</v>
      </c>
      <c r="N56" s="73">
        <f t="shared" si="25"/>
        <v>5.0000000000000712E-3</v>
      </c>
      <c r="O56" s="136">
        <f>IF(ISNUMBER(M56), $B64 * N56, "")</f>
        <v>750.00000000001069</v>
      </c>
      <c r="Q56" s="267"/>
      <c r="R56" s="267"/>
      <c r="S56" s="267"/>
    </row>
    <row r="57" spans="1:19" ht="17.25" customHeight="1" thickBot="1">
      <c r="A57" s="124" t="s">
        <v>266</v>
      </c>
      <c r="B57" s="125">
        <v>92.3</v>
      </c>
      <c r="C57" s="73">
        <v>2.89855072E-2</v>
      </c>
      <c r="D57" s="125">
        <v>94.1</v>
      </c>
      <c r="E57" s="73">
        <f t="shared" si="22"/>
        <v>1.950162513542792E-2</v>
      </c>
      <c r="F57" s="136">
        <f>IF(ISNUMBER(D57), $B64 * E57, "")</f>
        <v>2925.2437703141882</v>
      </c>
      <c r="G57" s="39">
        <v>94.2</v>
      </c>
      <c r="H57" s="73">
        <f t="shared" si="23"/>
        <v>2.0585048754062901E-2</v>
      </c>
      <c r="I57" s="202">
        <f>IF(ISNUMBER(G57), $B64 * H57, "")</f>
        <v>3087.757313109435</v>
      </c>
      <c r="J57" s="125">
        <v>95.1</v>
      </c>
      <c r="K57" s="73">
        <f t="shared" si="24"/>
        <v>3.0335861321776784E-2</v>
      </c>
      <c r="L57" s="136">
        <f>IF(ISNUMBER(J57), $B64 * K57, "")</f>
        <v>4550.379198266518</v>
      </c>
      <c r="M57" s="39">
        <v>90.1</v>
      </c>
      <c r="N57" s="73">
        <f t="shared" si="25"/>
        <v>-2.3835319609967529E-2</v>
      </c>
      <c r="O57" s="136">
        <f>IF(ISNUMBER(M57), $B64 * N57, "")</f>
        <v>-3575.2979414951292</v>
      </c>
      <c r="Q57" s="262"/>
      <c r="R57" s="262"/>
      <c r="S57" s="262"/>
    </row>
    <row r="58" spans="1:19" ht="17.25" customHeight="1" thickBot="1">
      <c r="A58" s="126" t="s">
        <v>220</v>
      </c>
      <c r="B58" s="127">
        <v>18.899999999999999</v>
      </c>
      <c r="C58" s="74">
        <v>2.7173913000000001E-2</v>
      </c>
      <c r="D58" s="127">
        <v>19.600000000000001</v>
      </c>
      <c r="E58" s="74">
        <f t="shared" si="22"/>
        <v>3.7037037037037188E-2</v>
      </c>
      <c r="F58" s="203">
        <f>IF(ISNUMBER(D58), $B64 * E58, "")</f>
        <v>5555.5555555555784</v>
      </c>
      <c r="G58" s="44">
        <v>19.399999999999999</v>
      </c>
      <c r="H58" s="74">
        <f t="shared" si="23"/>
        <v>2.6455026455026457E-2</v>
      </c>
      <c r="I58" s="204">
        <f>IF(ISNUMBER(G58), $B64 * H58, "")</f>
        <v>3968.2539682539687</v>
      </c>
      <c r="J58" s="127">
        <v>19.7</v>
      </c>
      <c r="K58" s="74">
        <f t="shared" si="24"/>
        <v>4.2328042328042367E-2</v>
      </c>
      <c r="L58" s="203">
        <f>IF(ISNUMBER(J58), $B64 * K58, "")</f>
        <v>6349.2063492063553</v>
      </c>
      <c r="M58" s="44">
        <v>18.5</v>
      </c>
      <c r="N58" s="74">
        <f t="shared" si="25"/>
        <v>-2.116402116402109E-2</v>
      </c>
      <c r="O58" s="203">
        <f>IF(ISNUMBER(M58), $B64 * N58, "")</f>
        <v>-3174.6031746031636</v>
      </c>
      <c r="Q58" s="262"/>
      <c r="R58" s="262"/>
      <c r="S58" s="262"/>
    </row>
    <row r="59" spans="1:19" ht="17.25" customHeight="1" thickBot="1">
      <c r="A59" s="124" t="s">
        <v>152</v>
      </c>
      <c r="B59" s="128">
        <v>44.9</v>
      </c>
      <c r="C59" s="76">
        <v>2.51141553E-2</v>
      </c>
      <c r="D59" s="128">
        <v>46</v>
      </c>
      <c r="E59" s="76">
        <f>IF(ISNUMBER(D59), (D59 - $B59) / $B59, "")</f>
        <v>2.4498886414253931E-2</v>
      </c>
      <c r="F59" s="205">
        <f>IF(ISNUMBER(D59), $B64 * E59, "")</f>
        <v>3674.8329621380894</v>
      </c>
      <c r="G59" s="45">
        <v>45</v>
      </c>
      <c r="H59" s="76">
        <f>IF(ISNUMBER(G59), (G59 - $B59) / $B59, "")</f>
        <v>2.2271714922049313E-3</v>
      </c>
      <c r="I59" s="206">
        <f>IF(ISNUMBER(G59), $B64 * H59, "")</f>
        <v>334.07572383073972</v>
      </c>
      <c r="J59" s="128">
        <v>45.1</v>
      </c>
      <c r="K59" s="76">
        <f>IF(ISNUMBER(J59), (J59 - $B59) / $B59, "")</f>
        <v>4.4543429844098627E-3</v>
      </c>
      <c r="L59" s="205">
        <f>IF(ISNUMBER(J59), $B64 * K59, "")</f>
        <v>668.15144766147944</v>
      </c>
      <c r="M59" s="45">
        <v>44.1</v>
      </c>
      <c r="N59" s="76">
        <f>IF(ISNUMBER(M59), (M59 - $B59) / $B59, "")</f>
        <v>-1.7817371937639135E-2</v>
      </c>
      <c r="O59" s="205">
        <f>IF(ISNUMBER(M59), $B64 * N59, "")</f>
        <v>-2672.6057906458705</v>
      </c>
      <c r="Q59" s="267"/>
      <c r="R59" s="267"/>
      <c r="S59" s="267"/>
    </row>
    <row r="60" spans="1:19" ht="17.25" customHeight="1" thickBot="1">
      <c r="A60" s="124" t="s">
        <v>100</v>
      </c>
      <c r="B60" s="125">
        <v>8.2899999999999991</v>
      </c>
      <c r="C60" s="73">
        <v>1.8427518399999999E-2</v>
      </c>
      <c r="D60" s="125">
        <v>8.39</v>
      </c>
      <c r="E60" s="73">
        <f t="shared" ref="E60:E63" si="26">IF(ISNUMBER(D60), (D60 - $B60) / $B60, "")</f>
        <v>1.2062726176115975E-2</v>
      </c>
      <c r="F60" s="136">
        <f>IF(ISNUMBER(D60), $B64 * E60, "")</f>
        <v>1809.4089264173963</v>
      </c>
      <c r="G60" s="39">
        <v>8.25</v>
      </c>
      <c r="H60" s="73">
        <f t="shared" ref="H60:H63" si="27">IF(ISNUMBER(G60), (G60 - $B60) / $B60, "")</f>
        <v>-4.8250904704462182E-3</v>
      </c>
      <c r="I60" s="202">
        <f>IF(ISNUMBER(G60), $B64 * H60, "")</f>
        <v>-723.76357056693269</v>
      </c>
      <c r="J60" s="125">
        <v>8.24</v>
      </c>
      <c r="K60" s="73">
        <f t="shared" ref="K60:K63" si="28">IF(ISNUMBER(J60), (J60 - $B60) / $B60, "")</f>
        <v>-6.0313630880577734E-3</v>
      </c>
      <c r="L60" s="136">
        <f>IF(ISNUMBER(J60), $B64 * K60, "")</f>
        <v>-904.70446320866597</v>
      </c>
      <c r="M60" s="39">
        <v>8.1199999999999992</v>
      </c>
      <c r="N60" s="73">
        <f t="shared" ref="N60:N63" si="29">IF(ISNUMBER(M60), (M60 - $B60) / $B60, "")</f>
        <v>-2.0506634499396856E-2</v>
      </c>
      <c r="O60" s="136">
        <f>IF(ISNUMBER(M60), $B64 * N60, "")</f>
        <v>-3075.9951749095285</v>
      </c>
      <c r="Q60" s="267"/>
      <c r="R60" s="267"/>
      <c r="S60" s="267"/>
    </row>
    <row r="61" spans="1:19" ht="17.25" customHeight="1" thickBot="1">
      <c r="A61" s="124" t="s">
        <v>65</v>
      </c>
      <c r="B61" s="125">
        <v>71.3</v>
      </c>
      <c r="C61" s="73">
        <v>1.5669515700000001E-2</v>
      </c>
      <c r="D61" s="125">
        <v>72.3</v>
      </c>
      <c r="E61" s="73">
        <f t="shared" si="26"/>
        <v>1.4025245441795233E-2</v>
      </c>
      <c r="F61" s="136">
        <f>IF(ISNUMBER(D61), $B64 * E61, "")</f>
        <v>2103.7868162692848</v>
      </c>
      <c r="G61" s="39">
        <v>70.5</v>
      </c>
      <c r="H61" s="73">
        <f t="shared" si="27"/>
        <v>-1.1220196353436145E-2</v>
      </c>
      <c r="I61" s="202">
        <f>IF(ISNUMBER(G61), $B64 * H61, "")</f>
        <v>-1683.0294530154217</v>
      </c>
      <c r="J61" s="125">
        <v>70.8</v>
      </c>
      <c r="K61" s="73">
        <f t="shared" si="28"/>
        <v>-7.0126227208976164E-3</v>
      </c>
      <c r="L61" s="136">
        <f>IF(ISNUMBER(J61), $B64 * K61, "")</f>
        <v>-1051.8934081346424</v>
      </c>
      <c r="M61" s="39">
        <v>69.8</v>
      </c>
      <c r="N61" s="73">
        <f t="shared" si="29"/>
        <v>-2.1037868162692847E-2</v>
      </c>
      <c r="O61" s="136">
        <f>IF(ISNUMBER(M61), $B64 * N61, "")</f>
        <v>-3155.6802244039268</v>
      </c>
      <c r="Q61" s="267"/>
      <c r="R61" s="267"/>
      <c r="S61" s="267"/>
    </row>
    <row r="62" spans="1:19" ht="17.25" customHeight="1">
      <c r="A62" s="124" t="s">
        <v>72</v>
      </c>
      <c r="B62" s="125">
        <v>35.9</v>
      </c>
      <c r="C62" s="73">
        <v>1.41242938E-2</v>
      </c>
      <c r="D62" s="125">
        <v>37.1</v>
      </c>
      <c r="E62" s="73">
        <f t="shared" si="26"/>
        <v>3.342618384401122E-2</v>
      </c>
      <c r="F62" s="136">
        <f>IF(ISNUMBER(D62), $B64 * E62, "")</f>
        <v>5013.9275766016826</v>
      </c>
      <c r="G62" s="39">
        <v>36.9</v>
      </c>
      <c r="H62" s="73">
        <f t="shared" si="27"/>
        <v>2.7855153203342621E-2</v>
      </c>
      <c r="I62" s="202">
        <f>IF(ISNUMBER(G62), $B64 * H62, "")</f>
        <v>4178.2729805013932</v>
      </c>
      <c r="J62" s="125">
        <v>36.700000000000003</v>
      </c>
      <c r="K62" s="73">
        <f t="shared" si="28"/>
        <v>2.2284122562674213E-2</v>
      </c>
      <c r="L62" s="136">
        <f>IF(ISNUMBER(J62), $B64 * K62, "")</f>
        <v>3342.6183844011321</v>
      </c>
      <c r="M62" s="39">
        <v>36.4</v>
      </c>
      <c r="N62" s="73">
        <f t="shared" si="29"/>
        <v>1.3927576601671311E-2</v>
      </c>
      <c r="O62" s="136">
        <f>IF(ISNUMBER(M62), $B64 * N62, "")</f>
        <v>2089.1364902506966</v>
      </c>
      <c r="Q62" s="289"/>
      <c r="R62" s="290"/>
      <c r="S62" s="291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292"/>
      <c r="R63" s="293"/>
      <c r="S63" s="294"/>
    </row>
    <row r="64" spans="1:19" ht="17.25" customHeight="1" thickBot="1">
      <c r="A64" s="131" t="s">
        <v>301</v>
      </c>
      <c r="B64" s="300">
        <f>$B$37</f>
        <v>150000</v>
      </c>
      <c r="C64" s="301"/>
      <c r="D64" s="131" t="s">
        <v>302</v>
      </c>
      <c r="E64" s="215">
        <f>IF(COUNT(E44:E63), SUM(E44:E63) / COUNT(E44:E63), 0)</f>
        <v>2.285117580221914E-2</v>
      </c>
      <c r="F64" s="208">
        <f>SUM(F44:F63)</f>
        <v>65125.851036324551</v>
      </c>
      <c r="G64" s="131" t="s">
        <v>302</v>
      </c>
      <c r="H64" s="215">
        <f>IF(COUNT(H44:H63), SUM(H44:H63) / COUNT(H44:H63), 0)</f>
        <v>1.5845095433104094E-2</v>
      </c>
      <c r="I64" s="208">
        <f>SUM(I44:I63)</f>
        <v>45158.521984346677</v>
      </c>
      <c r="J64" s="131" t="s">
        <v>302</v>
      </c>
      <c r="K64" s="215">
        <f>IF(COUNT(K44:K63), SUM(K44:K63) / COUNT(K44:K63), 0)</f>
        <v>2.7922841077851691E-2</v>
      </c>
      <c r="L64" s="208">
        <f>SUM(L44:L63)</f>
        <v>79580.097071877331</v>
      </c>
      <c r="M64" s="131" t="s">
        <v>302</v>
      </c>
      <c r="N64" s="215">
        <f>IF(COUNT(N44:N63), SUM(N44:N63) / COUNT(N44:N63), 0)</f>
        <v>-1.4773638621036252E-2</v>
      </c>
      <c r="O64" s="208">
        <f>SUM(O44:O63)</f>
        <v>-42104.870069953344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209" t="s">
        <v>298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62017000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-1.6680144000000001E-2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2021-05-12(수) 오전 00:00</v>
      </c>
      <c r="C69" s="305"/>
      <c r="D69" s="241" t="str">
        <f>TEXT($G$1, "[$-ko-KR]yyyy-mm-dd(ddd) ") &amp; "오후 14:00"</f>
        <v>2021-05-12(수) 오후 14:00</v>
      </c>
      <c r="E69" s="242"/>
      <c r="F69" s="243"/>
      <c r="G69" s="241" t="str">
        <f>TEXT($G$1, "[$-ko-KR]yyyy-mm-dd(ddd) ") &amp; "오후 19:00"</f>
        <v>2021-05-12(수) 오후 19:00</v>
      </c>
      <c r="H69" s="242"/>
      <c r="I69" s="243"/>
      <c r="J69" s="241" t="str">
        <f>TEXT($G$1, "[$-ko-KR]yyyy-mm-dd(ddd) ") &amp; "오후 21:00"</f>
        <v>2021-05-12(수) 오후 21:00</v>
      </c>
      <c r="K69" s="242"/>
      <c r="L69" s="243"/>
      <c r="M69" s="241" t="str">
        <f>TEXT($G$1+1, "[$-ko-KR]yyyy-mm-dd(ddd) ") &amp; "오전 00:00"</f>
        <v>2021-05-13(목) 오전 00:00</v>
      </c>
      <c r="N69" s="242"/>
      <c r="O69" s="243"/>
      <c r="Q69" s="262"/>
      <c r="R69" s="262"/>
      <c r="S69" s="262"/>
    </row>
    <row r="70" spans="1:19" ht="17.25" thickBot="1">
      <c r="A70" s="303"/>
      <c r="B70" s="120" t="s">
        <v>58</v>
      </c>
      <c r="C70" s="121" t="s">
        <v>59</v>
      </c>
      <c r="D70" s="120" t="s">
        <v>58</v>
      </c>
      <c r="E70" s="121" t="s">
        <v>299</v>
      </c>
      <c r="F70" s="216" t="s">
        <v>300</v>
      </c>
      <c r="G70" s="209" t="s">
        <v>58</v>
      </c>
      <c r="H70" s="210" t="s">
        <v>299</v>
      </c>
      <c r="I70" s="211" t="s">
        <v>300</v>
      </c>
      <c r="J70" s="121" t="s">
        <v>58</v>
      </c>
      <c r="K70" s="121" t="s">
        <v>299</v>
      </c>
      <c r="L70" s="213" t="s">
        <v>300</v>
      </c>
      <c r="M70" s="120" t="s">
        <v>58</v>
      </c>
      <c r="N70" s="121" t="s">
        <v>299</v>
      </c>
      <c r="O70" s="214" t="s">
        <v>300</v>
      </c>
      <c r="Q70" s="267"/>
      <c r="R70" s="267"/>
      <c r="S70" s="267"/>
    </row>
    <row r="71" spans="1:19" ht="17.25" thickBot="1">
      <c r="A71" s="122" t="s">
        <v>230</v>
      </c>
      <c r="B71" s="123">
        <v>164</v>
      </c>
      <c r="C71" s="72">
        <v>7.8947368399999995E-2</v>
      </c>
      <c r="D71" s="123">
        <v>169</v>
      </c>
      <c r="E71" s="72">
        <f>IF(ISNUMBER(D71), (D71 - $B71) / $B71, "")</f>
        <v>3.048780487804878E-2</v>
      </c>
      <c r="F71" s="140">
        <f>IF(ISNUMBER(D71), $B91 * E71, "")</f>
        <v>4573.1707317073169</v>
      </c>
      <c r="G71" s="38">
        <v>170</v>
      </c>
      <c r="H71" s="72">
        <f>IF(ISNUMBER(G71), (G71 - $B71) / $B71, "")</f>
        <v>3.6585365853658534E-2</v>
      </c>
      <c r="I71" s="201">
        <f>IF(ISNUMBER(G71), $B91 * H71, "")</f>
        <v>5487.8048780487798</v>
      </c>
      <c r="J71" s="123">
        <v>171</v>
      </c>
      <c r="K71" s="72">
        <f>IF(ISNUMBER(J71), (J71 - $B71) / $B71, "")</f>
        <v>4.2682926829268296E-2</v>
      </c>
      <c r="L71" s="140">
        <f>IF(ISNUMBER(J71), $B91 * K71, "")</f>
        <v>6402.4390243902444</v>
      </c>
      <c r="M71" s="38">
        <v>168</v>
      </c>
      <c r="N71" s="72">
        <f>IF(ISNUMBER(M71), (M71 - $B71) / $B71, "")</f>
        <v>2.4390243902439025E-2</v>
      </c>
      <c r="O71" s="140">
        <f>IF(ISNUMBER(M71), $B91 * N71, "")</f>
        <v>3658.5365853658536</v>
      </c>
      <c r="Q71" s="262"/>
      <c r="R71" s="262"/>
      <c r="S71" s="262"/>
    </row>
    <row r="72" spans="1:19" ht="17.25" thickBot="1">
      <c r="A72" s="124" t="s">
        <v>296</v>
      </c>
      <c r="B72" s="125">
        <v>616</v>
      </c>
      <c r="C72" s="73">
        <v>7.1304347800000001E-2</v>
      </c>
      <c r="D72" s="125">
        <v>602</v>
      </c>
      <c r="E72" s="73">
        <f t="shared" ref="E72:E75" si="30">IF(ISNUMBER(D72), (D72 - $B72) / $B72, "")</f>
        <v>-2.2727272727272728E-2</v>
      </c>
      <c r="F72" s="136">
        <f>IF(ISNUMBER(D72), $B91 * E72, "")</f>
        <v>-3409.090909090909</v>
      </c>
      <c r="G72" s="39">
        <v>606</v>
      </c>
      <c r="H72" s="73">
        <f t="shared" ref="H72:H75" si="31">IF(ISNUMBER(G72), (G72 - $B72) / $B72, "")</f>
        <v>-1.6233766233766232E-2</v>
      </c>
      <c r="I72" s="202">
        <f>IF(ISNUMBER(G72), $B91 * H72, "")</f>
        <v>-2435.0649350649346</v>
      </c>
      <c r="J72" s="125">
        <v>609</v>
      </c>
      <c r="K72" s="73">
        <f t="shared" ref="K72:K75" si="32">IF(ISNUMBER(J72), (J72 - $B72) / $B72, "")</f>
        <v>-1.1363636363636364E-2</v>
      </c>
      <c r="L72" s="136">
        <f>IF(ISNUMBER(J72), $B91 * K72, "")</f>
        <v>-1704.5454545454545</v>
      </c>
      <c r="M72" s="39">
        <v>588</v>
      </c>
      <c r="N72" s="73">
        <f t="shared" ref="N72:N75" si="33">IF(ISNUMBER(M72), (M72 - $B72) / $B72, "")</f>
        <v>-4.5454545454545456E-2</v>
      </c>
      <c r="O72" s="136">
        <f>IF(ISNUMBER(M72), $B91 * N72, "")</f>
        <v>-6818.181818181818</v>
      </c>
      <c r="Q72" s="262"/>
      <c r="R72" s="262"/>
      <c r="S72" s="262"/>
    </row>
    <row r="73" spans="1:19" ht="17.25" thickBot="1">
      <c r="A73" s="124" t="s">
        <v>112</v>
      </c>
      <c r="B73" s="125">
        <v>252</v>
      </c>
      <c r="C73" s="73">
        <v>6.3291139199999999E-2</v>
      </c>
      <c r="D73" s="125">
        <v>265</v>
      </c>
      <c r="E73" s="73">
        <f t="shared" si="30"/>
        <v>5.1587301587301584E-2</v>
      </c>
      <c r="F73" s="136">
        <f>IF(ISNUMBER(D73), $B91 * E73, "")</f>
        <v>7738.0952380952376</v>
      </c>
      <c r="G73" s="39">
        <v>260</v>
      </c>
      <c r="H73" s="73">
        <f t="shared" si="31"/>
        <v>3.1746031746031744E-2</v>
      </c>
      <c r="I73" s="202">
        <f>IF(ISNUMBER(G73), $B91 * H73, "")</f>
        <v>4761.9047619047615</v>
      </c>
      <c r="J73" s="125">
        <v>260</v>
      </c>
      <c r="K73" s="73">
        <f t="shared" si="32"/>
        <v>3.1746031746031744E-2</v>
      </c>
      <c r="L73" s="136">
        <f>IF(ISNUMBER(J73), $B91 * K73, "")</f>
        <v>4761.9047619047615</v>
      </c>
      <c r="M73" s="39">
        <v>252</v>
      </c>
      <c r="N73" s="73">
        <f t="shared" si="33"/>
        <v>0</v>
      </c>
      <c r="O73" s="136">
        <f>IF(ISNUMBER(M73), $B91 * N73, "")</f>
        <v>0</v>
      </c>
      <c r="Q73" s="267"/>
      <c r="R73" s="267"/>
      <c r="S73" s="267"/>
    </row>
    <row r="74" spans="1:19" ht="17.25" thickBot="1">
      <c r="A74" s="124" t="s">
        <v>134</v>
      </c>
      <c r="B74" s="125">
        <v>156</v>
      </c>
      <c r="C74" s="73">
        <v>6.1224489799999997E-2</v>
      </c>
      <c r="D74" s="125">
        <v>172</v>
      </c>
      <c r="E74" s="73">
        <f t="shared" si="30"/>
        <v>0.10256410256410256</v>
      </c>
      <c r="F74" s="136">
        <f>IF(ISNUMBER(D74), $B91 * E74, "")</f>
        <v>15384.615384615385</v>
      </c>
      <c r="G74" s="39">
        <v>165</v>
      </c>
      <c r="H74" s="73">
        <f t="shared" si="31"/>
        <v>5.7692307692307696E-2</v>
      </c>
      <c r="I74" s="202">
        <f>IF(ISNUMBER(G74), $B91 * H74, "")</f>
        <v>8653.8461538461543</v>
      </c>
      <c r="J74" s="125">
        <v>167</v>
      </c>
      <c r="K74" s="73">
        <f t="shared" si="32"/>
        <v>7.0512820512820512E-2</v>
      </c>
      <c r="L74" s="136">
        <f>IF(ISNUMBER(J74), $B91 * K74, "")</f>
        <v>10576.923076923076</v>
      </c>
      <c r="M74" s="39">
        <v>160</v>
      </c>
      <c r="N74" s="73">
        <f t="shared" si="33"/>
        <v>2.564102564102564E-2</v>
      </c>
      <c r="O74" s="136">
        <f>IF(ISNUMBER(M74), $B91 * N74, "")</f>
        <v>3846.1538461538462</v>
      </c>
      <c r="Q74" s="267"/>
      <c r="R74" s="267"/>
      <c r="S74" s="267"/>
    </row>
    <row r="75" spans="1:19" ht="17.25" thickBot="1">
      <c r="A75" s="126" t="s">
        <v>250</v>
      </c>
      <c r="B75" s="127">
        <v>201</v>
      </c>
      <c r="C75" s="74">
        <v>5.7894736799999999E-2</v>
      </c>
      <c r="D75" s="127">
        <v>207</v>
      </c>
      <c r="E75" s="74">
        <f t="shared" si="30"/>
        <v>2.9850746268656716E-2</v>
      </c>
      <c r="F75" s="203">
        <f>IF(ISNUMBER(D75), $B91 * E75, "")</f>
        <v>4477.6119402985078</v>
      </c>
      <c r="G75" s="44">
        <v>206</v>
      </c>
      <c r="H75" s="74">
        <f t="shared" si="31"/>
        <v>2.4875621890547265E-2</v>
      </c>
      <c r="I75" s="204">
        <f>IF(ISNUMBER(G75), $B91 * H75, "")</f>
        <v>3731.34328358209</v>
      </c>
      <c r="J75" s="127">
        <v>205</v>
      </c>
      <c r="K75" s="74">
        <f t="shared" si="32"/>
        <v>1.9900497512437811E-2</v>
      </c>
      <c r="L75" s="203">
        <f>IF(ISNUMBER(J75), $B91 * K75, "")</f>
        <v>2985.0746268656717</v>
      </c>
      <c r="M75" s="44">
        <v>200</v>
      </c>
      <c r="N75" s="74">
        <f t="shared" si="33"/>
        <v>-4.9751243781094526E-3</v>
      </c>
      <c r="O75" s="203">
        <f>IF(ISNUMBER(M75), $B91 * N75, "")</f>
        <v>-746.26865671641792</v>
      </c>
      <c r="Q75" s="267"/>
      <c r="R75" s="267"/>
      <c r="S75" s="267"/>
    </row>
    <row r="76" spans="1:19" ht="17.25" thickBot="1">
      <c r="A76" s="124" t="s">
        <v>122</v>
      </c>
      <c r="B76" s="128">
        <v>113</v>
      </c>
      <c r="C76" s="76">
        <v>4.6296296299999998E-2</v>
      </c>
      <c r="D76" s="128">
        <v>117</v>
      </c>
      <c r="E76" s="76">
        <f>IF(ISNUMBER(D76), (D76 - $B76) / $B76, "")</f>
        <v>3.5398230088495575E-2</v>
      </c>
      <c r="F76" s="205">
        <f>IF(ISNUMBER(D76), $B91 * E76, "")</f>
        <v>5309.7345132743358</v>
      </c>
      <c r="G76" s="45">
        <v>116</v>
      </c>
      <c r="H76" s="76">
        <f>IF(ISNUMBER(G76), (G76 - $B76) / $B76, "")</f>
        <v>2.6548672566371681E-2</v>
      </c>
      <c r="I76" s="206">
        <f>IF(ISNUMBER(G76), $B91 * H76, "")</f>
        <v>3982.3008849557523</v>
      </c>
      <c r="J76" s="128">
        <v>115</v>
      </c>
      <c r="K76" s="76">
        <f>IF(ISNUMBER(J76), (J76 - $B76) / $B76, "")</f>
        <v>1.7699115044247787E-2</v>
      </c>
      <c r="L76" s="205">
        <f>IF(ISNUMBER(J76), $B91 * K76, "")</f>
        <v>2654.8672566371679</v>
      </c>
      <c r="M76" s="45">
        <v>112</v>
      </c>
      <c r="N76" s="76">
        <f>IF(ISNUMBER(M76), (M76 - $B76) / $B76, "")</f>
        <v>-8.8495575221238937E-3</v>
      </c>
      <c r="O76" s="205">
        <f>IF(ISNUMBER(M76), $B91 * N76, "")</f>
        <v>-1327.4336283185839</v>
      </c>
      <c r="Q76" s="267"/>
      <c r="R76" s="267"/>
      <c r="S76" s="267"/>
    </row>
    <row r="77" spans="1:19" ht="17.25" thickBot="1">
      <c r="A77" s="124" t="s">
        <v>238</v>
      </c>
      <c r="B77" s="125">
        <v>277</v>
      </c>
      <c r="C77" s="73">
        <v>4.5283018899999999E-2</v>
      </c>
      <c r="D77" s="125">
        <v>288</v>
      </c>
      <c r="E77" s="73">
        <f t="shared" ref="E77:E80" si="34">IF(ISNUMBER(D77), (D77 - $B77) / $B77, "")</f>
        <v>3.9711191335740074E-2</v>
      </c>
      <c r="F77" s="136">
        <f>IF(ISNUMBER(D77), $B91 * E77, "")</f>
        <v>5956.6787003610116</v>
      </c>
      <c r="G77" s="39">
        <v>283</v>
      </c>
      <c r="H77" s="73">
        <f t="shared" ref="H77:H80" si="35">IF(ISNUMBER(G77), (G77 - $B77) / $B77, "")</f>
        <v>2.1660649819494584E-2</v>
      </c>
      <c r="I77" s="202">
        <f>IF(ISNUMBER(G77), $B91 * H77, "")</f>
        <v>3249.0974729241875</v>
      </c>
      <c r="J77" s="125">
        <v>282</v>
      </c>
      <c r="K77" s="73">
        <f t="shared" ref="K77:K80" si="36">IF(ISNUMBER(J77), (J77 - $B77) / $B77, "")</f>
        <v>1.8050541516245487E-2</v>
      </c>
      <c r="L77" s="136">
        <f>IF(ISNUMBER(J77), $B91 * K77, "")</f>
        <v>2707.5812274368232</v>
      </c>
      <c r="M77" s="39">
        <v>276</v>
      </c>
      <c r="N77" s="73">
        <f t="shared" ref="N77:N80" si="37">IF(ISNUMBER(M77), (M77 - $B77) / $B77, "")</f>
        <v>-3.6101083032490976E-3</v>
      </c>
      <c r="O77" s="136">
        <f>IF(ISNUMBER(M77), $B91 * N77, "")</f>
        <v>-541.51624548736459</v>
      </c>
      <c r="Q77" s="267"/>
      <c r="R77" s="267"/>
      <c r="S77" s="267"/>
    </row>
    <row r="78" spans="1:19" ht="17.25" thickBot="1">
      <c r="A78" s="124" t="s">
        <v>210</v>
      </c>
      <c r="B78" s="125">
        <v>180</v>
      </c>
      <c r="C78" s="73">
        <v>4.0462427699999998E-2</v>
      </c>
      <c r="D78" s="125">
        <v>190</v>
      </c>
      <c r="E78" s="73">
        <f t="shared" si="34"/>
        <v>5.5555555555555552E-2</v>
      </c>
      <c r="F78" s="136">
        <f>IF(ISNUMBER(D78), $B91 * E78, "")</f>
        <v>8333.3333333333321</v>
      </c>
      <c r="G78" s="39">
        <v>188</v>
      </c>
      <c r="H78" s="73">
        <f t="shared" si="35"/>
        <v>4.4444444444444446E-2</v>
      </c>
      <c r="I78" s="202">
        <f>IF(ISNUMBER(G78), $B91 * H78, "")</f>
        <v>6666.666666666667</v>
      </c>
      <c r="J78" s="125">
        <v>188</v>
      </c>
      <c r="K78" s="73">
        <f t="shared" si="36"/>
        <v>4.4444444444444446E-2</v>
      </c>
      <c r="L78" s="136">
        <f>IF(ISNUMBER(J78), $B91 * K78, "")</f>
        <v>6666.666666666667</v>
      </c>
      <c r="M78" s="39">
        <v>181</v>
      </c>
      <c r="N78" s="73">
        <f t="shared" si="37"/>
        <v>5.5555555555555558E-3</v>
      </c>
      <c r="O78" s="136">
        <f>IF(ISNUMBER(M78), $B91 * N78, "")</f>
        <v>833.33333333333337</v>
      </c>
      <c r="Q78" s="267"/>
      <c r="R78" s="267"/>
      <c r="S78" s="267"/>
    </row>
    <row r="79" spans="1:19" ht="17.25" thickBot="1">
      <c r="A79" s="124" t="s">
        <v>120</v>
      </c>
      <c r="B79" s="125">
        <v>209</v>
      </c>
      <c r="C79" s="73">
        <v>3.4653465299999998E-2</v>
      </c>
      <c r="D79" s="125">
        <v>214</v>
      </c>
      <c r="E79" s="73">
        <f t="shared" si="34"/>
        <v>2.3923444976076555E-2</v>
      </c>
      <c r="F79" s="136">
        <f>IF(ISNUMBER(D79), $B91 * E79, "")</f>
        <v>3588.5167464114834</v>
      </c>
      <c r="G79" s="39">
        <v>214</v>
      </c>
      <c r="H79" s="73">
        <f t="shared" si="35"/>
        <v>2.3923444976076555E-2</v>
      </c>
      <c r="I79" s="202">
        <f>IF(ISNUMBER(G79), $B91 * H79, "")</f>
        <v>3588.5167464114834</v>
      </c>
      <c r="J79" s="125">
        <v>215</v>
      </c>
      <c r="K79" s="73">
        <f t="shared" si="36"/>
        <v>2.8708133971291867E-2</v>
      </c>
      <c r="L79" s="136">
        <f>IF(ISNUMBER(J79), $B91 * K79, "")</f>
        <v>4306.2200956937804</v>
      </c>
      <c r="M79" s="39">
        <v>215</v>
      </c>
      <c r="N79" s="73">
        <f t="shared" si="37"/>
        <v>2.8708133971291867E-2</v>
      </c>
      <c r="O79" s="136">
        <f>IF(ISNUMBER(M79), $B91 * N79, "")</f>
        <v>4306.2200956937804</v>
      </c>
      <c r="Q79" s="33"/>
      <c r="R79" s="33"/>
    </row>
    <row r="80" spans="1:19" ht="17.25" thickBot="1">
      <c r="A80" s="129" t="s">
        <v>116</v>
      </c>
      <c r="B80" s="130">
        <v>608</v>
      </c>
      <c r="C80" s="75">
        <v>3.2258064500000003E-2</v>
      </c>
      <c r="D80" s="130">
        <v>643</v>
      </c>
      <c r="E80" s="75">
        <f t="shared" si="34"/>
        <v>5.7565789473684209E-2</v>
      </c>
      <c r="F80" s="137">
        <f>IF(ISNUMBER(D80), $B91 * E80, "")</f>
        <v>8634.8684210526317</v>
      </c>
      <c r="G80" s="37">
        <v>623</v>
      </c>
      <c r="H80" s="75">
        <f t="shared" si="35"/>
        <v>2.4671052631578948E-2</v>
      </c>
      <c r="I80" s="207">
        <f>IF(ISNUMBER(G80), $B91 * H80, "")</f>
        <v>3700.6578947368421</v>
      </c>
      <c r="J80" s="130">
        <v>622</v>
      </c>
      <c r="K80" s="75">
        <f t="shared" si="36"/>
        <v>2.3026315789473683E-2</v>
      </c>
      <c r="L80" s="137">
        <f>IF(ISNUMBER(J80), $B91 * K80, "")</f>
        <v>3453.9473684210525</v>
      </c>
      <c r="M80" s="37">
        <v>605</v>
      </c>
      <c r="N80" s="75">
        <f t="shared" si="37"/>
        <v>-4.9342105263157892E-3</v>
      </c>
      <c r="O80" s="137">
        <f>IF(ISNUMBER(M80), $B91 * N80, "")</f>
        <v>-740.13157894736833</v>
      </c>
      <c r="Q80" s="276"/>
      <c r="R80" s="277"/>
      <c r="S80" s="278"/>
    </row>
    <row r="81" spans="1:19">
      <c r="A81" s="122" t="s">
        <v>156</v>
      </c>
      <c r="B81" s="123">
        <v>166</v>
      </c>
      <c r="C81" s="72">
        <v>3.1055900599999998E-2</v>
      </c>
      <c r="D81" s="123">
        <v>177</v>
      </c>
      <c r="E81" s="72">
        <f>IF(ISNUMBER(D81), (D81 - $B81) / $B81, "")</f>
        <v>6.6265060240963861E-2</v>
      </c>
      <c r="F81" s="140">
        <f>IF(ISNUMBER(D81), $B91 * E81, "")</f>
        <v>9939.7590361445782</v>
      </c>
      <c r="G81" s="38">
        <v>170</v>
      </c>
      <c r="H81" s="72">
        <f>IF(ISNUMBER(G81), (G81 - $B81) / $B81, "")</f>
        <v>2.4096385542168676E-2</v>
      </c>
      <c r="I81" s="201">
        <f>IF(ISNUMBER(G81), $B91 * H81, "")</f>
        <v>3614.4578313253014</v>
      </c>
      <c r="J81" s="123">
        <v>169</v>
      </c>
      <c r="K81" s="72">
        <f>IF(ISNUMBER(J81), (J81 - $B81) / $B81, "")</f>
        <v>1.8072289156626505E-2</v>
      </c>
      <c r="L81" s="140">
        <f>IF(ISNUMBER(J81), $B91 * K81, "")</f>
        <v>2710.8433734939758</v>
      </c>
      <c r="M81" s="38">
        <v>167</v>
      </c>
      <c r="N81" s="72">
        <f>IF(ISNUMBER(M81), (M81 - $B81) / $B81, "")</f>
        <v>6.024096385542169E-3</v>
      </c>
      <c r="O81" s="140">
        <f>IF(ISNUMBER(M81), $B91 * N81, "")</f>
        <v>903.61445783132535</v>
      </c>
      <c r="Q81" s="279"/>
      <c r="R81" s="280"/>
      <c r="S81" s="281"/>
    </row>
    <row r="82" spans="1:19" ht="17.25" thickBot="1">
      <c r="A82" s="124" t="s">
        <v>240</v>
      </c>
      <c r="B82" s="125">
        <v>169</v>
      </c>
      <c r="C82" s="73">
        <v>3.0487804899999998E-2</v>
      </c>
      <c r="D82" s="125">
        <v>194</v>
      </c>
      <c r="E82" s="73">
        <f t="shared" ref="E82:E85" si="38">IF(ISNUMBER(D82), (D82 - $B82) / $B82, "")</f>
        <v>0.14792899408284024</v>
      </c>
      <c r="F82" s="136">
        <f>IF(ISNUMBER(D82), $B91 * E82, "")</f>
        <v>22189.349112426036</v>
      </c>
      <c r="G82" s="39">
        <v>182</v>
      </c>
      <c r="H82" s="73">
        <f t="shared" ref="H82:H85" si="39">IF(ISNUMBER(G82), (G82 - $B82) / $B82, "")</f>
        <v>7.6923076923076927E-2</v>
      </c>
      <c r="I82" s="202">
        <f>IF(ISNUMBER(G82), $B91 * H82, "")</f>
        <v>11538.461538461539</v>
      </c>
      <c r="J82" s="125">
        <v>181</v>
      </c>
      <c r="K82" s="73">
        <f t="shared" ref="K82:K85" si="40">IF(ISNUMBER(J82), (J82 - $B82) / $B82, "")</f>
        <v>7.1005917159763315E-2</v>
      </c>
      <c r="L82" s="136">
        <f>IF(ISNUMBER(J82), $B91 * K82, "")</f>
        <v>10650.887573964497</v>
      </c>
      <c r="M82" s="39">
        <v>173</v>
      </c>
      <c r="N82" s="73">
        <f t="shared" ref="N82:N85" si="41">IF(ISNUMBER(M82), (M82 - $B82) / $B82, "")</f>
        <v>2.3668639053254437E-2</v>
      </c>
      <c r="O82" s="136">
        <f>IF(ISNUMBER(M82), $B91 * N82, "")</f>
        <v>3550.2958579881656</v>
      </c>
      <c r="Q82" s="282"/>
      <c r="R82" s="283"/>
      <c r="S82" s="284"/>
    </row>
    <row r="83" spans="1:19" ht="17.25" thickBot="1">
      <c r="A83" s="124" t="s">
        <v>258</v>
      </c>
      <c r="B83" s="125">
        <v>665</v>
      </c>
      <c r="C83" s="73">
        <v>2.9411764699999999E-2</v>
      </c>
      <c r="D83" s="125">
        <v>686</v>
      </c>
      <c r="E83" s="73">
        <f t="shared" si="38"/>
        <v>3.1578947368421054E-2</v>
      </c>
      <c r="F83" s="136">
        <f>IF(ISNUMBER(D83), $B91 * E83, "")</f>
        <v>4736.8421052631584</v>
      </c>
      <c r="G83" s="39">
        <v>677</v>
      </c>
      <c r="H83" s="73">
        <f t="shared" si="39"/>
        <v>1.8045112781954888E-2</v>
      </c>
      <c r="I83" s="202">
        <f>IF(ISNUMBER(G83), $B91 * H83, "")</f>
        <v>2706.7669172932333</v>
      </c>
      <c r="J83" s="125">
        <v>675</v>
      </c>
      <c r="K83" s="73">
        <f t="shared" si="40"/>
        <v>1.5037593984962405E-2</v>
      </c>
      <c r="L83" s="136">
        <f>IF(ISNUMBER(J83), $B91 * K83, "")</f>
        <v>2255.6390977443607</v>
      </c>
      <c r="M83" s="39">
        <v>662</v>
      </c>
      <c r="N83" s="73">
        <f t="shared" si="41"/>
        <v>-4.5112781954887221E-3</v>
      </c>
      <c r="O83" s="136">
        <f>IF(ISNUMBER(M83), $B91 * N83, "")</f>
        <v>-676.69172932330832</v>
      </c>
      <c r="Q83" s="267"/>
      <c r="R83" s="267"/>
      <c r="S83" s="267"/>
    </row>
    <row r="84" spans="1:19" ht="17.25" thickBot="1">
      <c r="A84" s="124" t="s">
        <v>174</v>
      </c>
      <c r="B84" s="125">
        <v>260</v>
      </c>
      <c r="C84" s="73">
        <v>2.7667984199999999E-2</v>
      </c>
      <c r="D84" s="125">
        <v>274</v>
      </c>
      <c r="E84" s="73">
        <f t="shared" si="38"/>
        <v>5.3846153846153849E-2</v>
      </c>
      <c r="F84" s="136">
        <f>IF(ISNUMBER(D84), $B91 * E84, "")</f>
        <v>8076.9230769230771</v>
      </c>
      <c r="G84" s="39">
        <v>272</v>
      </c>
      <c r="H84" s="73">
        <f t="shared" si="39"/>
        <v>4.6153846153846156E-2</v>
      </c>
      <c r="I84" s="202">
        <f>IF(ISNUMBER(G84), $B91 * H84, "")</f>
        <v>6923.0769230769238</v>
      </c>
      <c r="J84" s="125">
        <v>274</v>
      </c>
      <c r="K84" s="73">
        <f t="shared" si="40"/>
        <v>5.3846153846153849E-2</v>
      </c>
      <c r="L84" s="136">
        <f>IF(ISNUMBER(J84), $B91 * K84, "")</f>
        <v>8076.9230769230771</v>
      </c>
      <c r="M84" s="39">
        <v>267</v>
      </c>
      <c r="N84" s="73">
        <f t="shared" si="41"/>
        <v>2.6923076923076925E-2</v>
      </c>
      <c r="O84" s="136">
        <f>IF(ISNUMBER(M84), $B91 * N84, "")</f>
        <v>4038.4615384615386</v>
      </c>
      <c r="Q84" s="262"/>
      <c r="R84" s="262"/>
      <c r="S84" s="262"/>
    </row>
    <row r="85" spans="1:19" ht="17.25" thickBot="1">
      <c r="A85" s="126" t="s">
        <v>202</v>
      </c>
      <c r="B85" s="127">
        <v>189</v>
      </c>
      <c r="C85" s="74">
        <v>2.7173913000000001E-2</v>
      </c>
      <c r="D85" s="127">
        <v>202</v>
      </c>
      <c r="E85" s="74">
        <f t="shared" si="38"/>
        <v>6.8783068783068779E-2</v>
      </c>
      <c r="F85" s="203">
        <f>IF(ISNUMBER(D85), $B91 * E85, "")</f>
        <v>10317.460317460316</v>
      </c>
      <c r="G85" s="44">
        <v>199</v>
      </c>
      <c r="H85" s="74">
        <f t="shared" si="39"/>
        <v>5.2910052910052907E-2</v>
      </c>
      <c r="I85" s="204">
        <f>IF(ISNUMBER(G85), $B91 * H85, "")</f>
        <v>7936.5079365079364</v>
      </c>
      <c r="J85" s="127">
        <v>199</v>
      </c>
      <c r="K85" s="74">
        <f t="shared" si="40"/>
        <v>5.2910052910052907E-2</v>
      </c>
      <c r="L85" s="203">
        <f>IF(ISNUMBER(J85), $B91 * K85, "")</f>
        <v>7936.5079365079364</v>
      </c>
      <c r="M85" s="44">
        <v>190</v>
      </c>
      <c r="N85" s="74">
        <f t="shared" si="41"/>
        <v>5.2910052910052907E-3</v>
      </c>
      <c r="O85" s="203">
        <f>IF(ISNUMBER(M85), $B91 * N85, "")</f>
        <v>793.65079365079362</v>
      </c>
      <c r="Q85" s="262"/>
      <c r="R85" s="262"/>
      <c r="S85" s="262"/>
    </row>
    <row r="86" spans="1:19" ht="17.25" thickBot="1">
      <c r="A86" s="124" t="s">
        <v>278</v>
      </c>
      <c r="B86" s="128">
        <v>155</v>
      </c>
      <c r="C86" s="76">
        <v>2.6490066199999999E-2</v>
      </c>
      <c r="D86" s="128">
        <v>160</v>
      </c>
      <c r="E86" s="76">
        <f>IF(ISNUMBER(D86), (D86 - $B86) / $B86, "")</f>
        <v>3.2258064516129031E-2</v>
      </c>
      <c r="F86" s="205">
        <f>IF(ISNUMBER(D86), $B91 * E86, "")</f>
        <v>4838.7096774193551</v>
      </c>
      <c r="G86" s="45">
        <v>156</v>
      </c>
      <c r="H86" s="76">
        <f>IF(ISNUMBER(G86), (G86 - $B86) / $B86, "")</f>
        <v>6.4516129032258064E-3</v>
      </c>
      <c r="I86" s="206">
        <f>IF(ISNUMBER(G86), $B91 * H86, "")</f>
        <v>967.74193548387098</v>
      </c>
      <c r="J86" s="128">
        <v>156</v>
      </c>
      <c r="K86" s="76">
        <f>IF(ISNUMBER(J86), (J86 - $B86) / $B86, "")</f>
        <v>6.4516129032258064E-3</v>
      </c>
      <c r="L86" s="205">
        <f>IF(ISNUMBER(J86), $B91 * K86, "")</f>
        <v>967.74193548387098</v>
      </c>
      <c r="M86" s="45">
        <v>153</v>
      </c>
      <c r="N86" s="76">
        <f>IF(ISNUMBER(M86), (M86 - $B86) / $B86, "")</f>
        <v>-1.2903225806451613E-2</v>
      </c>
      <c r="O86" s="205">
        <f>IF(ISNUMBER(M86), $B91 * N86, "")</f>
        <v>-1935.483870967742</v>
      </c>
      <c r="Q86" s="267"/>
      <c r="R86" s="267"/>
      <c r="S86" s="267"/>
    </row>
    <row r="87" spans="1:19" ht="17.25" thickBot="1">
      <c r="A87" s="124" t="s">
        <v>208</v>
      </c>
      <c r="B87" s="125">
        <v>461</v>
      </c>
      <c r="C87" s="73">
        <v>2.4444444400000001E-2</v>
      </c>
      <c r="D87" s="125">
        <v>562</v>
      </c>
      <c r="E87" s="73">
        <f t="shared" ref="E87:E90" si="42">IF(ISNUMBER(D87), (D87 - $B87) / $B87, "")</f>
        <v>0.21908893709327548</v>
      </c>
      <c r="F87" s="136">
        <f>IF(ISNUMBER(D87), $B91 * E87, "")</f>
        <v>32863.340563991325</v>
      </c>
      <c r="G87" s="39">
        <v>662</v>
      </c>
      <c r="H87" s="73">
        <f t="shared" ref="H87:H90" si="43">IF(ISNUMBER(G87), (G87 - $B87) / $B87, "")</f>
        <v>0.43600867678958788</v>
      </c>
      <c r="I87" s="202">
        <f>IF(ISNUMBER(G87), $B91 * H87, "")</f>
        <v>65401.30151843818</v>
      </c>
      <c r="J87" s="125">
        <v>619</v>
      </c>
      <c r="K87" s="73">
        <f t="shared" ref="K87:K90" si="44">IF(ISNUMBER(J87), (J87 - $B87) / $B87, "")</f>
        <v>0.34273318872017355</v>
      </c>
      <c r="L87" s="136">
        <f>IF(ISNUMBER(J87), $B91 * K87, "")</f>
        <v>51409.978308026031</v>
      </c>
      <c r="M87" s="39">
        <v>555</v>
      </c>
      <c r="N87" s="73">
        <f t="shared" ref="N87:N90" si="45">IF(ISNUMBER(M87), (M87 - $B87) / $B87, "")</f>
        <v>0.20390455531453361</v>
      </c>
      <c r="O87" s="136">
        <f>IF(ISNUMBER(M87), $B91 * N87, "")</f>
        <v>30585.68329718004</v>
      </c>
      <c r="Q87" s="267"/>
      <c r="R87" s="267"/>
      <c r="S87" s="267"/>
    </row>
    <row r="88" spans="1:19" ht="17.25" thickBot="1">
      <c r="A88" s="124" t="s">
        <v>260</v>
      </c>
      <c r="B88" s="125">
        <v>128</v>
      </c>
      <c r="C88" s="73">
        <v>2.4E-2</v>
      </c>
      <c r="D88" s="125">
        <v>134</v>
      </c>
      <c r="E88" s="73">
        <f t="shared" si="42"/>
        <v>4.6875E-2</v>
      </c>
      <c r="F88" s="136">
        <f>IF(ISNUMBER(D88), $B91 * E88, "")</f>
        <v>7031.25</v>
      </c>
      <c r="G88" s="39">
        <v>136</v>
      </c>
      <c r="H88" s="73">
        <f t="shared" si="43"/>
        <v>6.25E-2</v>
      </c>
      <c r="I88" s="202">
        <f>IF(ISNUMBER(G88), $B91 * H88, "")</f>
        <v>9375</v>
      </c>
      <c r="J88" s="125">
        <v>134</v>
      </c>
      <c r="K88" s="73">
        <f t="shared" si="44"/>
        <v>4.6875E-2</v>
      </c>
      <c r="L88" s="136">
        <f>IF(ISNUMBER(J88), $B91 * K88, "")</f>
        <v>7031.25</v>
      </c>
      <c r="M88" s="39">
        <v>126</v>
      </c>
      <c r="N88" s="73">
        <f t="shared" si="45"/>
        <v>-1.5625E-2</v>
      </c>
      <c r="O88" s="136">
        <f>IF(ISNUMBER(M88), $B91 * N88, "")</f>
        <v>-2343.75</v>
      </c>
      <c r="Q88" s="267"/>
      <c r="R88" s="267"/>
      <c r="S88" s="267"/>
    </row>
    <row r="89" spans="1:19">
      <c r="A89" s="124" t="s">
        <v>200</v>
      </c>
      <c r="B89" s="125">
        <v>334</v>
      </c>
      <c r="C89" s="73">
        <v>2.1406727800000001E-2</v>
      </c>
      <c r="D89" s="125">
        <v>351</v>
      </c>
      <c r="E89" s="73">
        <f t="shared" si="42"/>
        <v>5.089820359281437E-2</v>
      </c>
      <c r="F89" s="136">
        <f>IF(ISNUMBER(D89), $B91 * E89, "")</f>
        <v>7634.7305389221556</v>
      </c>
      <c r="G89" s="39">
        <v>347</v>
      </c>
      <c r="H89" s="73">
        <f t="shared" si="43"/>
        <v>3.8922155688622756E-2</v>
      </c>
      <c r="I89" s="202">
        <f>IF(ISNUMBER(G89), $B91 * H89, "")</f>
        <v>5838.3233532934137</v>
      </c>
      <c r="J89" s="125">
        <v>346</v>
      </c>
      <c r="K89" s="73">
        <f t="shared" si="44"/>
        <v>3.5928143712574849E-2</v>
      </c>
      <c r="L89" s="136">
        <f>IF(ISNUMBER(J89), $B91 * K89, "")</f>
        <v>5389.2215568862275</v>
      </c>
      <c r="M89" s="39">
        <v>340</v>
      </c>
      <c r="N89" s="73">
        <f t="shared" si="45"/>
        <v>1.7964071856287425E-2</v>
      </c>
      <c r="O89" s="136">
        <f>IF(ISNUMBER(M89), $B91 * N89, "")</f>
        <v>2694.6107784431138</v>
      </c>
      <c r="Q89" s="289"/>
      <c r="R89" s="290"/>
      <c r="S89" s="291"/>
    </row>
    <row r="90" spans="1:19" ht="17.25" thickBot="1">
      <c r="A90" s="129" t="s">
        <v>226</v>
      </c>
      <c r="B90" s="130">
        <v>478</v>
      </c>
      <c r="C90" s="75">
        <v>1.9189765500000001E-2</v>
      </c>
      <c r="D90" s="130">
        <v>505</v>
      </c>
      <c r="E90" s="75">
        <f t="shared" si="42"/>
        <v>5.6485355648535567E-2</v>
      </c>
      <c r="F90" s="137">
        <f>IF(ISNUMBER(D90), $B91 * E90, "")</f>
        <v>8472.8033472803345</v>
      </c>
      <c r="G90" s="37">
        <v>502</v>
      </c>
      <c r="H90" s="75">
        <f t="shared" si="43"/>
        <v>5.0209205020920501E-2</v>
      </c>
      <c r="I90" s="207">
        <f>IF(ISNUMBER(G90), $B91 * H90, "")</f>
        <v>7531.3807531380753</v>
      </c>
      <c r="J90" s="130">
        <v>502</v>
      </c>
      <c r="K90" s="75">
        <f t="shared" si="44"/>
        <v>5.0209205020920501E-2</v>
      </c>
      <c r="L90" s="137">
        <f>IF(ISNUMBER(J90), $B91 * K90, "")</f>
        <v>7531.3807531380753</v>
      </c>
      <c r="M90" s="37">
        <v>484</v>
      </c>
      <c r="N90" s="75">
        <f t="shared" si="45"/>
        <v>1.2552301255230125E-2</v>
      </c>
      <c r="O90" s="137">
        <f>IF(ISNUMBER(M90), $B91 * N90, "")</f>
        <v>1882.8451882845188</v>
      </c>
      <c r="Q90" s="292"/>
      <c r="R90" s="293"/>
      <c r="S90" s="294"/>
    </row>
    <row r="91" spans="1:19" ht="17.25" thickBot="1">
      <c r="A91" s="131" t="s">
        <v>301</v>
      </c>
      <c r="B91" s="300">
        <f>$B$37</f>
        <v>150000</v>
      </c>
      <c r="C91" s="301"/>
      <c r="D91" s="131" t="s">
        <v>302</v>
      </c>
      <c r="E91" s="215">
        <f>IF(COUNT(E71:E90), SUM(E71:E90) / COUNT(E71:E90), 0)</f>
        <v>5.8896233958629564E-2</v>
      </c>
      <c r="F91" s="208">
        <f>SUM(F71:F90)</f>
        <v>176688.70187588866</v>
      </c>
      <c r="G91" s="131" t="s">
        <v>302</v>
      </c>
      <c r="H91" s="215">
        <f>IF(COUNT(H71:H90), SUM(H71:H90) / COUNT(H71:H90), 0)</f>
        <v>5.4406697505010079E-2</v>
      </c>
      <c r="I91" s="208">
        <f>SUM(I71:I90)</f>
        <v>163220.09251503026</v>
      </c>
      <c r="J91" s="131" t="s">
        <v>302</v>
      </c>
      <c r="K91" s="215">
        <f>IF(COUNT(K71:K90), SUM(K71:K90) / COUNT(K71:K90), 0)</f>
        <v>4.892381742085395E-2</v>
      </c>
      <c r="L91" s="208">
        <f>SUM(L71:L90)</f>
        <v>146771.4522625618</v>
      </c>
      <c r="M91" s="131" t="s">
        <v>302</v>
      </c>
      <c r="N91" s="215">
        <f>IF(COUNT(N71:N90), SUM(N71:N90) / COUNT(N71:N90), 0)</f>
        <v>1.3987982748147901E-2</v>
      </c>
      <c r="O91" s="208">
        <f>SUM(O71:O90)</f>
        <v>41963.948244443702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209" t="s">
        <v>298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62017000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-1.6680144000000001E-2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2021-05-12(수) 오전 00:00</v>
      </c>
      <c r="C96" s="305"/>
      <c r="D96" s="241" t="str">
        <f>TEXT($G$1, "[$-ko-KR]yyyy-mm-dd(ddd) ") &amp; "오후 14:00"</f>
        <v>2021-05-12(수) 오후 14:00</v>
      </c>
      <c r="E96" s="242"/>
      <c r="F96" s="243"/>
      <c r="G96" s="241" t="str">
        <f>TEXT($G$1, "[$-ko-KR]yyyy-mm-dd(ddd) ") &amp; "오후 19:00"</f>
        <v>2021-05-12(수) 오후 19:00</v>
      </c>
      <c r="H96" s="242"/>
      <c r="I96" s="243"/>
      <c r="J96" s="241" t="str">
        <f>TEXT($G$1, "[$-ko-KR]yyyy-mm-dd(ddd) ") &amp; "오후 21:00"</f>
        <v>2021-05-12(수) 오후 21:00</v>
      </c>
      <c r="K96" s="242"/>
      <c r="L96" s="243"/>
      <c r="M96" s="241" t="str">
        <f>TEXT($G$1+1, "[$-ko-KR]yyyy-mm-dd(ddd) ") &amp; "오전 00:00"</f>
        <v>2021-05-13(목) 오전 00:00</v>
      </c>
      <c r="N96" s="242"/>
      <c r="O96" s="243"/>
      <c r="Q96" s="262"/>
      <c r="R96" s="262"/>
      <c r="S96" s="262"/>
    </row>
    <row r="97" spans="1:19" ht="17.25" thickBot="1">
      <c r="A97" s="303"/>
      <c r="B97" s="120" t="s">
        <v>58</v>
      </c>
      <c r="C97" s="121" t="s">
        <v>59</v>
      </c>
      <c r="D97" s="120" t="s">
        <v>58</v>
      </c>
      <c r="E97" s="121" t="s">
        <v>299</v>
      </c>
      <c r="F97" s="216" t="s">
        <v>300</v>
      </c>
      <c r="G97" s="209" t="s">
        <v>58</v>
      </c>
      <c r="H97" s="210" t="s">
        <v>299</v>
      </c>
      <c r="I97" s="211" t="s">
        <v>300</v>
      </c>
      <c r="J97" s="121" t="s">
        <v>58</v>
      </c>
      <c r="K97" s="121" t="s">
        <v>299</v>
      </c>
      <c r="L97" s="213" t="s">
        <v>300</v>
      </c>
      <c r="M97" s="120" t="s">
        <v>58</v>
      </c>
      <c r="N97" s="121" t="s">
        <v>299</v>
      </c>
      <c r="O97" s="214" t="s">
        <v>300</v>
      </c>
      <c r="Q97" s="267"/>
      <c r="R97" s="267"/>
      <c r="S97" s="267"/>
    </row>
    <row r="98" spans="1:19" ht="17.25" thickBot="1">
      <c r="A98" s="122" t="s">
        <v>236</v>
      </c>
      <c r="B98" s="123">
        <v>99.4</v>
      </c>
      <c r="C98" s="72">
        <v>0.61363636359999996</v>
      </c>
      <c r="D98" s="123">
        <v>92.6</v>
      </c>
      <c r="E98" s="72">
        <f>IF(ISNUMBER(D98), (D98 - $B98) / $B98, "")</f>
        <v>-6.8410462776660075E-2</v>
      </c>
      <c r="F98" s="140">
        <f>IF(ISNUMBER(D98), $B118 * E98, "")</f>
        <v>-10261.569416499011</v>
      </c>
      <c r="G98" s="38">
        <v>91.3</v>
      </c>
      <c r="H98" s="72">
        <f>IF(ISNUMBER(G98), (G98 - $B98) / $B98, "")</f>
        <v>-8.1488933601609734E-2</v>
      </c>
      <c r="I98" s="201">
        <f>IF(ISNUMBER(G98), $B118 * H98, "")</f>
        <v>-12223.340040241461</v>
      </c>
      <c r="J98" s="123">
        <v>90.7</v>
      </c>
      <c r="K98" s="72">
        <f>IF(ISNUMBER(J98), (J98 - $B98) / $B98, "")</f>
        <v>-8.7525150905432614E-2</v>
      </c>
      <c r="L98" s="140">
        <f>IF(ISNUMBER(J98), $B118 * K98, "")</f>
        <v>-13128.772635814892</v>
      </c>
      <c r="M98" s="38">
        <v>83.6</v>
      </c>
      <c r="N98" s="72">
        <f>IF(ISNUMBER(M98), (M98 - $B98) / $B98, "")</f>
        <v>-0.15895372233400412</v>
      </c>
      <c r="O98" s="140">
        <f>IF(ISNUMBER(M98), $B118 * N98, "")</f>
        <v>-23843.058350100619</v>
      </c>
      <c r="Q98" s="262"/>
      <c r="R98" s="262"/>
      <c r="S98" s="262"/>
    </row>
    <row r="99" spans="1:19" ht="17.25" thickBot="1">
      <c r="A99" s="124" t="s">
        <v>86</v>
      </c>
      <c r="B99" s="125">
        <v>15050</v>
      </c>
      <c r="C99" s="73">
        <v>0.27758913410000002</v>
      </c>
      <c r="D99" s="125">
        <v>16510</v>
      </c>
      <c r="E99" s="73">
        <f t="shared" ref="E99:E102" si="46">IF(ISNUMBER(D99), (D99 - $B99) / $B99, "")</f>
        <v>9.700996677740864E-2</v>
      </c>
      <c r="F99" s="136">
        <f>IF(ISNUMBER(D99), $B118 * E99, "")</f>
        <v>14551.495016611296</v>
      </c>
      <c r="G99" s="39">
        <v>16110</v>
      </c>
      <c r="H99" s="73">
        <f t="shared" ref="H99:H102" si="47">IF(ISNUMBER(G99), (G99 - $B99) / $B99, "")</f>
        <v>7.0431893687707636E-2</v>
      </c>
      <c r="I99" s="202">
        <f>IF(ISNUMBER(G99), $B118 * H99, "")</f>
        <v>10564.784053156145</v>
      </c>
      <c r="J99" s="125">
        <v>16010</v>
      </c>
      <c r="K99" s="73">
        <f t="shared" ref="K99:K102" si="48">IF(ISNUMBER(J99), (J99 - $B99) / $B99, "")</f>
        <v>6.3787375415282385E-2</v>
      </c>
      <c r="L99" s="136">
        <f>IF(ISNUMBER(J99), $B118 * K99, "")</f>
        <v>9568.106312292357</v>
      </c>
      <c r="M99" s="39">
        <v>15160</v>
      </c>
      <c r="N99" s="73">
        <f t="shared" ref="N99:N102" si="49">IF(ISNUMBER(M99), (M99 - $B99) / $B99, "")</f>
        <v>7.3089700996677737E-3</v>
      </c>
      <c r="O99" s="136">
        <f>IF(ISNUMBER(M99), $B118 * N99, "")</f>
        <v>1096.345514950166</v>
      </c>
      <c r="Q99" s="262"/>
      <c r="R99" s="262"/>
      <c r="S99" s="262"/>
    </row>
    <row r="100" spans="1:19" ht="17.25" thickBot="1">
      <c r="A100" s="124" t="s">
        <v>214</v>
      </c>
      <c r="B100" s="125">
        <v>22.1</v>
      </c>
      <c r="C100" s="73">
        <v>0.15706806279999999</v>
      </c>
      <c r="D100" s="125">
        <v>22.2</v>
      </c>
      <c r="E100" s="73">
        <f t="shared" si="46"/>
        <v>4.5248868778279576E-3</v>
      </c>
      <c r="F100" s="136">
        <f>IF(ISNUMBER(D100), $B118 * E100, "")</f>
        <v>678.73303167419363</v>
      </c>
      <c r="G100" s="39">
        <v>23.3</v>
      </c>
      <c r="H100" s="73">
        <f t="shared" si="47"/>
        <v>5.4298642533936618E-2</v>
      </c>
      <c r="I100" s="202">
        <f>IF(ISNUMBER(G100), $B118 * H100, "")</f>
        <v>8144.7963800904927</v>
      </c>
      <c r="J100" s="125">
        <v>25.9</v>
      </c>
      <c r="K100" s="73">
        <f t="shared" si="48"/>
        <v>0.17194570135746592</v>
      </c>
      <c r="L100" s="136">
        <f>IF(ISNUMBER(J100), $B118 * K100, "")</f>
        <v>25791.855203619889</v>
      </c>
      <c r="M100" s="39">
        <v>22.4</v>
      </c>
      <c r="N100" s="73">
        <f t="shared" si="49"/>
        <v>1.3574660633484033E-2</v>
      </c>
      <c r="O100" s="136">
        <f>IF(ISNUMBER(M100), $B118 * N100, "")</f>
        <v>2036.199095022605</v>
      </c>
      <c r="Q100" s="267"/>
      <c r="R100" s="267"/>
      <c r="S100" s="267"/>
    </row>
    <row r="101" spans="1:19" ht="17.25" thickBot="1">
      <c r="A101" s="124" t="s">
        <v>254</v>
      </c>
      <c r="B101" s="125">
        <v>88.5</v>
      </c>
      <c r="C101" s="73">
        <v>0.1538461538</v>
      </c>
      <c r="D101" s="125">
        <v>84.5</v>
      </c>
      <c r="E101" s="73">
        <f t="shared" si="46"/>
        <v>-4.519774011299435E-2</v>
      </c>
      <c r="F101" s="136">
        <f>IF(ISNUMBER(D101), $B118 * E101, "")</f>
        <v>-6779.6610169491523</v>
      </c>
      <c r="G101" s="39">
        <v>85.2</v>
      </c>
      <c r="H101" s="73">
        <f t="shared" si="47"/>
        <v>-3.7288135593220306E-2</v>
      </c>
      <c r="I101" s="202">
        <f>IF(ISNUMBER(G101), $B118 * H101, "")</f>
        <v>-5593.2203389830456</v>
      </c>
      <c r="J101" s="125">
        <v>85.4</v>
      </c>
      <c r="K101" s="73">
        <f t="shared" si="48"/>
        <v>-3.502824858757056E-2</v>
      </c>
      <c r="L101" s="136">
        <f>IF(ISNUMBER(J101), $B118 * K101, "")</f>
        <v>-5254.2372881355841</v>
      </c>
      <c r="M101" s="39">
        <v>82.8</v>
      </c>
      <c r="N101" s="73">
        <f t="shared" si="49"/>
        <v>-6.4406779661016975E-2</v>
      </c>
      <c r="O101" s="136">
        <f>IF(ISNUMBER(M101), $B118 * N101, "")</f>
        <v>-9661.0169491525467</v>
      </c>
      <c r="Q101" s="267"/>
      <c r="R101" s="267"/>
      <c r="S101" s="267"/>
    </row>
    <row r="102" spans="1:19" ht="17.25" thickBot="1">
      <c r="A102" s="126" t="s">
        <v>144</v>
      </c>
      <c r="B102" s="127">
        <v>14490</v>
      </c>
      <c r="C102" s="74">
        <v>0.13647058819999999</v>
      </c>
      <c r="D102" s="127">
        <v>14410</v>
      </c>
      <c r="E102" s="74">
        <f t="shared" si="46"/>
        <v>-5.521048999309869E-3</v>
      </c>
      <c r="F102" s="203">
        <f>IF(ISNUMBER(D102), $B118 * E102, "")</f>
        <v>-828.15734989648035</v>
      </c>
      <c r="G102" s="44">
        <v>13930</v>
      </c>
      <c r="H102" s="74">
        <f t="shared" si="47"/>
        <v>-3.864734299516908E-2</v>
      </c>
      <c r="I102" s="204">
        <f>IF(ISNUMBER(G102), $B118 * H102, "")</f>
        <v>-5797.101449275362</v>
      </c>
      <c r="J102" s="127">
        <v>14170</v>
      </c>
      <c r="K102" s="74">
        <f t="shared" si="48"/>
        <v>-2.2084195997239476E-2</v>
      </c>
      <c r="L102" s="203">
        <f>IF(ISNUMBER(J102), $B118 * K102, "")</f>
        <v>-3312.6293995859214</v>
      </c>
      <c r="M102" s="44">
        <v>13770</v>
      </c>
      <c r="N102" s="74">
        <f t="shared" si="49"/>
        <v>-4.9689440993788817E-2</v>
      </c>
      <c r="O102" s="203">
        <f>IF(ISNUMBER(M102), $B118 * N102, "")</f>
        <v>-7453.4161490683227</v>
      </c>
      <c r="Q102" s="267"/>
      <c r="R102" s="267"/>
      <c r="S102" s="267"/>
    </row>
    <row r="103" spans="1:19" ht="17.25" thickBot="1">
      <c r="A103" s="124" t="s">
        <v>268</v>
      </c>
      <c r="B103" s="128">
        <v>89.4</v>
      </c>
      <c r="C103" s="76">
        <v>9.9630996299999997E-2</v>
      </c>
      <c r="D103" s="128">
        <v>89.1</v>
      </c>
      <c r="E103" s="76">
        <f>IF(ISNUMBER(D103), (D103 - $B103) / $B103, "")</f>
        <v>-3.3557046979867042E-3</v>
      </c>
      <c r="F103" s="205">
        <f>IF(ISNUMBER(D103), $B118 * E103, "")</f>
        <v>-503.35570469800564</v>
      </c>
      <c r="G103" s="45">
        <v>90.5</v>
      </c>
      <c r="H103" s="76">
        <f>IF(ISNUMBER(G103), (G103 - $B103) / $B103, "")</f>
        <v>1.2304250559284052E-2</v>
      </c>
      <c r="I103" s="206">
        <f>IF(ISNUMBER(G103), $B118 * H103, "")</f>
        <v>1845.6375838926078</v>
      </c>
      <c r="J103" s="128">
        <v>91.3</v>
      </c>
      <c r="K103" s="76">
        <f>IF(ISNUMBER(J103), (J103 - $B103) / $B103, "")</f>
        <v>2.125279642058156E-2</v>
      </c>
      <c r="L103" s="205">
        <f>IF(ISNUMBER(J103), $B118 * K103, "")</f>
        <v>3187.9194630872339</v>
      </c>
      <c r="M103" s="45">
        <v>87.6</v>
      </c>
      <c r="N103" s="76">
        <f>IF(ISNUMBER(M103), (M103 - $B103) / $B103, "")</f>
        <v>-2.013422818791959E-2</v>
      </c>
      <c r="O103" s="205">
        <f>IF(ISNUMBER(M103), $B118 * N103, "")</f>
        <v>-3020.1342281879383</v>
      </c>
      <c r="Q103" s="267"/>
      <c r="R103" s="267"/>
      <c r="S103" s="267"/>
    </row>
    <row r="104" spans="1:19" ht="17.25" thickBot="1">
      <c r="A104" s="124" t="s">
        <v>126</v>
      </c>
      <c r="B104" s="125">
        <v>57.7</v>
      </c>
      <c r="C104" s="73">
        <v>9.4876660299999999E-2</v>
      </c>
      <c r="D104" s="125">
        <v>56.7</v>
      </c>
      <c r="E104" s="73">
        <f t="shared" ref="E104:E107" si="50">IF(ISNUMBER(D104), (D104 - $B104) / $B104, "")</f>
        <v>-1.7331022530329289E-2</v>
      </c>
      <c r="F104" s="136">
        <f>IF(ISNUMBER(D104), $B118 * E104, "")</f>
        <v>-2599.6533795493933</v>
      </c>
      <c r="G104" s="39">
        <v>56.3</v>
      </c>
      <c r="H104" s="73">
        <f t="shared" ref="H104:H107" si="51">IF(ISNUMBER(G104), (G104 - $B104) / $B104, "")</f>
        <v>-2.4263431542461102E-2</v>
      </c>
      <c r="I104" s="202">
        <f>IF(ISNUMBER(G104), $B118 * H104, "")</f>
        <v>-3639.5147313691655</v>
      </c>
      <c r="J104" s="125">
        <v>56.3</v>
      </c>
      <c r="K104" s="73">
        <f t="shared" ref="K104:K107" si="52">IF(ISNUMBER(J104), (J104 - $B104) / $B104, "")</f>
        <v>-2.4263431542461102E-2</v>
      </c>
      <c r="L104" s="136">
        <f>IF(ISNUMBER(J104), $B118 * K104, "")</f>
        <v>-3639.5147313691655</v>
      </c>
      <c r="M104" s="39">
        <v>54.6</v>
      </c>
      <c r="N104" s="73">
        <f t="shared" ref="N104:N107" si="53">IF(ISNUMBER(M104), (M104 - $B104) / $B104, "")</f>
        <v>-5.3726169844020816E-2</v>
      </c>
      <c r="O104" s="136">
        <f>IF(ISNUMBER(M104), $B118 * N104, "")</f>
        <v>-8058.9254766031227</v>
      </c>
      <c r="Q104" s="267"/>
      <c r="R104" s="267"/>
      <c r="S104" s="267"/>
    </row>
    <row r="105" spans="1:19" ht="17.25" thickBot="1">
      <c r="A105" s="124" t="s">
        <v>230</v>
      </c>
      <c r="B105" s="125">
        <v>164</v>
      </c>
      <c r="C105" s="73">
        <v>7.8947368399999995E-2</v>
      </c>
      <c r="D105" s="125">
        <v>169</v>
      </c>
      <c r="E105" s="73">
        <f t="shared" si="50"/>
        <v>3.048780487804878E-2</v>
      </c>
      <c r="F105" s="136">
        <f>IF(ISNUMBER(D105), $B118 * E105, "")</f>
        <v>4573.1707317073169</v>
      </c>
      <c r="G105" s="39">
        <v>170</v>
      </c>
      <c r="H105" s="73">
        <f t="shared" si="51"/>
        <v>3.6585365853658534E-2</v>
      </c>
      <c r="I105" s="202">
        <f>IF(ISNUMBER(G105), $B118 * H105, "")</f>
        <v>5487.8048780487798</v>
      </c>
      <c r="J105" s="125">
        <v>171</v>
      </c>
      <c r="K105" s="73">
        <f t="shared" si="52"/>
        <v>4.2682926829268296E-2</v>
      </c>
      <c r="L105" s="136">
        <f>IF(ISNUMBER(J105), $B118 * K105, "")</f>
        <v>6402.4390243902444</v>
      </c>
      <c r="M105" s="39">
        <v>168</v>
      </c>
      <c r="N105" s="73">
        <f t="shared" si="53"/>
        <v>2.4390243902439025E-2</v>
      </c>
      <c r="O105" s="136">
        <f>IF(ISNUMBER(M105), $B118 * N105, "")</f>
        <v>3658.5365853658536</v>
      </c>
      <c r="Q105" s="267"/>
      <c r="R105" s="267"/>
      <c r="S105" s="267"/>
    </row>
    <row r="106" spans="1:19" ht="17.25" thickBot="1">
      <c r="A106" s="124" t="s">
        <v>158</v>
      </c>
      <c r="B106" s="125">
        <v>9825</v>
      </c>
      <c r="C106" s="73">
        <v>7.7893582000000003E-2</v>
      </c>
      <c r="D106" s="125">
        <v>10350</v>
      </c>
      <c r="E106" s="73">
        <f t="shared" si="50"/>
        <v>5.3435114503816793E-2</v>
      </c>
      <c r="F106" s="136">
        <f>IF(ISNUMBER(D106), $B118 * E106, "")</f>
        <v>8015.2671755725187</v>
      </c>
      <c r="G106" s="39">
        <v>10490</v>
      </c>
      <c r="H106" s="73">
        <f t="shared" si="51"/>
        <v>6.7684478371501267E-2</v>
      </c>
      <c r="I106" s="202">
        <f>IF(ISNUMBER(G106), $B118 * H106, "")</f>
        <v>10152.67175572519</v>
      </c>
      <c r="J106" s="125">
        <v>10460</v>
      </c>
      <c r="K106" s="73">
        <f t="shared" si="52"/>
        <v>6.463104325699745E-2</v>
      </c>
      <c r="L106" s="136">
        <f>IF(ISNUMBER(J106), $B118 * K106, "")</f>
        <v>9694.6564885496173</v>
      </c>
      <c r="M106" s="39">
        <v>10100</v>
      </c>
      <c r="N106" s="73">
        <f t="shared" si="53"/>
        <v>2.7989821882951654E-2</v>
      </c>
      <c r="O106" s="136">
        <f>IF(ISNUMBER(M106), $B118 * N106, "")</f>
        <v>4198.4732824427483</v>
      </c>
      <c r="Q106" s="33"/>
      <c r="R106" s="33"/>
    </row>
    <row r="107" spans="1:19" ht="17.25" thickBot="1">
      <c r="A107" s="129" t="s">
        <v>172</v>
      </c>
      <c r="B107" s="130">
        <v>23.9</v>
      </c>
      <c r="C107" s="75">
        <v>7.6576576600000001E-2</v>
      </c>
      <c r="D107" s="130">
        <v>26.3</v>
      </c>
      <c r="E107" s="75">
        <f t="shared" si="50"/>
        <v>0.1004184100418411</v>
      </c>
      <c r="F107" s="137">
        <f>IF(ISNUMBER(D107), $B118 * E107, "")</f>
        <v>15062.761506276165</v>
      </c>
      <c r="G107" s="37">
        <v>25.5</v>
      </c>
      <c r="H107" s="75">
        <f t="shared" si="51"/>
        <v>6.6945606694560733E-2</v>
      </c>
      <c r="I107" s="207">
        <f>IF(ISNUMBER(G107), $B118 * H107, "")</f>
        <v>10041.841004184111</v>
      </c>
      <c r="J107" s="130">
        <v>25.8</v>
      </c>
      <c r="K107" s="75">
        <f t="shared" si="52"/>
        <v>7.9497907949790891E-2</v>
      </c>
      <c r="L107" s="137">
        <f>IF(ISNUMBER(J107), $B118 * K107, "")</f>
        <v>11924.686192468635</v>
      </c>
      <c r="M107" s="37">
        <v>24.3</v>
      </c>
      <c r="N107" s="75">
        <f t="shared" si="53"/>
        <v>1.6736401673640256E-2</v>
      </c>
      <c r="O107" s="137">
        <f>IF(ISNUMBER(M107), $B118 * N107, "")</f>
        <v>2510.4602510460386</v>
      </c>
      <c r="Q107" s="276"/>
      <c r="R107" s="277"/>
      <c r="S107" s="278"/>
    </row>
    <row r="108" spans="1:19">
      <c r="A108" s="122" t="s">
        <v>218</v>
      </c>
      <c r="B108" s="123">
        <v>26.8</v>
      </c>
      <c r="C108" s="72">
        <v>7.1999999999999995E-2</v>
      </c>
      <c r="D108" s="123">
        <v>27.7</v>
      </c>
      <c r="E108" s="72">
        <f>IF(ISNUMBER(D108), (D108 - $B108) / $B108, "")</f>
        <v>3.358208955223875E-2</v>
      </c>
      <c r="F108" s="140">
        <f>IF(ISNUMBER(D108), $B118 * E108, "")</f>
        <v>5037.3134328358128</v>
      </c>
      <c r="G108" s="38">
        <v>27.5</v>
      </c>
      <c r="H108" s="72">
        <f>IF(ISNUMBER(G108), (G108 - $B108) / $B108, "")</f>
        <v>2.6119402985074598E-2</v>
      </c>
      <c r="I108" s="201">
        <f>IF(ISNUMBER(G108), $B118 * H108, "")</f>
        <v>3917.9104477611895</v>
      </c>
      <c r="J108" s="123">
        <v>27.8</v>
      </c>
      <c r="K108" s="72">
        <f>IF(ISNUMBER(J108), (J108 - $B108) / $B108, "")</f>
        <v>3.7313432835820892E-2</v>
      </c>
      <c r="L108" s="140">
        <f>IF(ISNUMBER(J108), $B118 * K108, "")</f>
        <v>5597.0149253731342</v>
      </c>
      <c r="M108" s="38">
        <v>26.7</v>
      </c>
      <c r="N108" s="72">
        <f>IF(ISNUMBER(M108), (M108 - $B108) / $B108, "")</f>
        <v>-3.7313432835821424E-3</v>
      </c>
      <c r="O108" s="140">
        <f>IF(ISNUMBER(M108), $B118 * N108, "")</f>
        <v>-559.70149253732131</v>
      </c>
      <c r="Q108" s="279"/>
      <c r="R108" s="280"/>
      <c r="S108" s="281"/>
    </row>
    <row r="109" spans="1:19" ht="17.25" thickBot="1">
      <c r="A109" s="124" t="s">
        <v>296</v>
      </c>
      <c r="B109" s="125">
        <v>616</v>
      </c>
      <c r="C109" s="73">
        <v>7.1304347800000001E-2</v>
      </c>
      <c r="D109" s="125">
        <v>602</v>
      </c>
      <c r="E109" s="73">
        <f t="shared" ref="E109:E112" si="54">IF(ISNUMBER(D109), (D109 - $B109) / $B109, "")</f>
        <v>-2.2727272727272728E-2</v>
      </c>
      <c r="F109" s="136">
        <f>IF(ISNUMBER(D109), $B118 * E109, "")</f>
        <v>-3409.090909090909</v>
      </c>
      <c r="G109" s="39">
        <v>606</v>
      </c>
      <c r="H109" s="73">
        <f t="shared" ref="H109:H112" si="55">IF(ISNUMBER(G109), (G109 - $B109) / $B109, "")</f>
        <v>-1.6233766233766232E-2</v>
      </c>
      <c r="I109" s="202">
        <f>IF(ISNUMBER(G109), $B118 * H109, "")</f>
        <v>-2435.0649350649346</v>
      </c>
      <c r="J109" s="125">
        <v>609</v>
      </c>
      <c r="K109" s="73">
        <f t="shared" ref="K109:K112" si="56">IF(ISNUMBER(J109), (J109 - $B109) / $B109, "")</f>
        <v>-1.1363636363636364E-2</v>
      </c>
      <c r="L109" s="136">
        <f>IF(ISNUMBER(J109), $B118 * K109, "")</f>
        <v>-1704.5454545454545</v>
      </c>
      <c r="M109" s="39">
        <v>588</v>
      </c>
      <c r="N109" s="73">
        <f t="shared" ref="N109:N112" si="57">IF(ISNUMBER(M109), (M109 - $B109) / $B109, "")</f>
        <v>-4.5454545454545456E-2</v>
      </c>
      <c r="O109" s="136">
        <f>IF(ISNUMBER(M109), $B118 * N109, "")</f>
        <v>-6818.181818181818</v>
      </c>
      <c r="Q109" s="282"/>
      <c r="R109" s="283"/>
      <c r="S109" s="284"/>
    </row>
    <row r="110" spans="1:19" ht="17.25" thickBot="1">
      <c r="A110" s="124" t="s">
        <v>222</v>
      </c>
      <c r="B110" s="125">
        <v>18.100000000000001</v>
      </c>
      <c r="C110" s="73">
        <v>6.4705882399999998E-2</v>
      </c>
      <c r="D110" s="125">
        <v>18.899999999999999</v>
      </c>
      <c r="E110" s="73">
        <f t="shared" si="54"/>
        <v>4.4198895027624148E-2</v>
      </c>
      <c r="F110" s="136">
        <f>IF(ISNUMBER(D110), $B118 * E110, "")</f>
        <v>6629.8342541436223</v>
      </c>
      <c r="G110" s="39">
        <v>18.600000000000001</v>
      </c>
      <c r="H110" s="73">
        <f t="shared" si="55"/>
        <v>2.7624309392265192E-2</v>
      </c>
      <c r="I110" s="202">
        <f>IF(ISNUMBER(G110), $B118 * H110, "")</f>
        <v>4143.6464088397788</v>
      </c>
      <c r="J110" s="125">
        <v>19</v>
      </c>
      <c r="K110" s="73">
        <f t="shared" si="56"/>
        <v>4.9723756906077263E-2</v>
      </c>
      <c r="L110" s="136">
        <f>IF(ISNUMBER(J110), $B118 * K110, "")</f>
        <v>7458.5635359115895</v>
      </c>
      <c r="M110" s="39">
        <v>18.100000000000001</v>
      </c>
      <c r="N110" s="73">
        <f t="shared" si="57"/>
        <v>0</v>
      </c>
      <c r="O110" s="136">
        <f>IF(ISNUMBER(M110), $B118 * N110, "")</f>
        <v>0</v>
      </c>
      <c r="Q110" s="267"/>
      <c r="R110" s="267"/>
      <c r="S110" s="267"/>
    </row>
    <row r="111" spans="1:19" ht="17.25" thickBot="1">
      <c r="A111" s="124" t="s">
        <v>112</v>
      </c>
      <c r="B111" s="125">
        <v>252</v>
      </c>
      <c r="C111" s="73">
        <v>6.3291139199999999E-2</v>
      </c>
      <c r="D111" s="125">
        <v>265</v>
      </c>
      <c r="E111" s="73">
        <f t="shared" si="54"/>
        <v>5.1587301587301584E-2</v>
      </c>
      <c r="F111" s="136">
        <f>IF(ISNUMBER(D111), $B118 * E111, "")</f>
        <v>7738.0952380952376</v>
      </c>
      <c r="G111" s="39">
        <v>260</v>
      </c>
      <c r="H111" s="73">
        <f t="shared" si="55"/>
        <v>3.1746031746031744E-2</v>
      </c>
      <c r="I111" s="202">
        <f>IF(ISNUMBER(G111), $B118 * H111, "")</f>
        <v>4761.9047619047615</v>
      </c>
      <c r="J111" s="125">
        <v>260</v>
      </c>
      <c r="K111" s="73">
        <f t="shared" si="56"/>
        <v>3.1746031746031744E-2</v>
      </c>
      <c r="L111" s="136">
        <f>IF(ISNUMBER(J111), $B118 * K111, "")</f>
        <v>4761.9047619047615</v>
      </c>
      <c r="M111" s="39">
        <v>252</v>
      </c>
      <c r="N111" s="73">
        <f t="shared" si="57"/>
        <v>0</v>
      </c>
      <c r="O111" s="136">
        <f>IF(ISNUMBER(M111), $B118 * N111, "")</f>
        <v>0</v>
      </c>
      <c r="Q111" s="262"/>
      <c r="R111" s="262"/>
      <c r="S111" s="262"/>
    </row>
    <row r="112" spans="1:19" ht="17.25" thickBot="1">
      <c r="A112" s="126" t="s">
        <v>134</v>
      </c>
      <c r="B112" s="127">
        <v>156</v>
      </c>
      <c r="C112" s="74">
        <v>6.1224489799999997E-2</v>
      </c>
      <c r="D112" s="127">
        <v>172</v>
      </c>
      <c r="E112" s="74">
        <f t="shared" si="54"/>
        <v>0.10256410256410256</v>
      </c>
      <c r="F112" s="203">
        <f>IF(ISNUMBER(D112), $B118 * E112, "")</f>
        <v>15384.615384615385</v>
      </c>
      <c r="G112" s="44">
        <v>165</v>
      </c>
      <c r="H112" s="74">
        <f t="shared" si="55"/>
        <v>5.7692307692307696E-2</v>
      </c>
      <c r="I112" s="204">
        <f>IF(ISNUMBER(G112), $B118 * H112, "")</f>
        <v>8653.8461538461543</v>
      </c>
      <c r="J112" s="127">
        <v>167</v>
      </c>
      <c r="K112" s="74">
        <f t="shared" si="56"/>
        <v>7.0512820512820512E-2</v>
      </c>
      <c r="L112" s="203">
        <f>IF(ISNUMBER(J112), $B118 * K112, "")</f>
        <v>10576.923076923076</v>
      </c>
      <c r="M112" s="44">
        <v>160</v>
      </c>
      <c r="N112" s="74">
        <f t="shared" si="57"/>
        <v>2.564102564102564E-2</v>
      </c>
      <c r="O112" s="203">
        <f>IF(ISNUMBER(M112), $B118 * N112, "")</f>
        <v>3846.1538461538462</v>
      </c>
      <c r="Q112" s="262"/>
      <c r="R112" s="262"/>
      <c r="S112" s="262"/>
    </row>
    <row r="113" spans="1:19" ht="17.25" thickBot="1">
      <c r="A113" s="124" t="s">
        <v>98</v>
      </c>
      <c r="B113" s="128">
        <v>8330</v>
      </c>
      <c r="C113" s="76">
        <v>6.1146496799999998E-2</v>
      </c>
      <c r="D113" s="128">
        <v>8510</v>
      </c>
      <c r="E113" s="76">
        <f>IF(ISNUMBER(D113), (D113 - $B113) / $B113, "")</f>
        <v>2.1608643457382955E-2</v>
      </c>
      <c r="F113" s="205">
        <f>IF(ISNUMBER(D113), $B118 * E113, "")</f>
        <v>3241.2965186074434</v>
      </c>
      <c r="G113" s="45">
        <v>8560</v>
      </c>
      <c r="H113" s="76">
        <f>IF(ISNUMBER(G113), (G113 - $B113) / $B113, "")</f>
        <v>2.7611044417767107E-2</v>
      </c>
      <c r="I113" s="206">
        <f>IF(ISNUMBER(G113), $B118 * H113, "")</f>
        <v>4141.6566626650656</v>
      </c>
      <c r="J113" s="128">
        <v>8535</v>
      </c>
      <c r="K113" s="76">
        <f>IF(ISNUMBER(J113), (J113 - $B113) / $B113, "")</f>
        <v>2.4609843937575031E-2</v>
      </c>
      <c r="L113" s="205">
        <f>IF(ISNUMBER(J113), $B118 * K113, "")</f>
        <v>3691.4765906362545</v>
      </c>
      <c r="M113" s="45">
        <v>8390</v>
      </c>
      <c r="N113" s="76">
        <f>IF(ISNUMBER(M113), (M113 - $B113) / $B113, "")</f>
        <v>7.2028811524609843E-3</v>
      </c>
      <c r="O113" s="205">
        <f>IF(ISNUMBER(M113), $B118 * N113, "")</f>
        <v>1080.4321728691477</v>
      </c>
      <c r="Q113" s="267"/>
      <c r="R113" s="267"/>
      <c r="S113" s="267"/>
    </row>
    <row r="114" spans="1:19" ht="17.25" thickBot="1">
      <c r="A114" s="124" t="s">
        <v>78</v>
      </c>
      <c r="B114" s="125">
        <v>1776500</v>
      </c>
      <c r="C114" s="73">
        <v>5.8070279900000001E-2</v>
      </c>
      <c r="D114" s="125">
        <v>1903500</v>
      </c>
      <c r="E114" s="73">
        <f t="shared" ref="E114:E117" si="58">IF(ISNUMBER(D114), (D114 - $B114) / $B114, "")</f>
        <v>7.1488882634393472E-2</v>
      </c>
      <c r="F114" s="136">
        <f>IF(ISNUMBER(D114), $B118 * E114, "")</f>
        <v>10723.332395159021</v>
      </c>
      <c r="G114" s="39">
        <v>1830000</v>
      </c>
      <c r="H114" s="73">
        <f t="shared" ref="H114:H117" si="59">IF(ISNUMBER(G114), (G114 - $B114) / $B114, "")</f>
        <v>3.0115395440472838E-2</v>
      </c>
      <c r="I114" s="202">
        <f>IF(ISNUMBER(G114), $B118 * H114, "")</f>
        <v>4517.3093160709259</v>
      </c>
      <c r="J114" s="125">
        <v>1833000</v>
      </c>
      <c r="K114" s="73">
        <f t="shared" ref="K114:K117" si="60">IF(ISNUMBER(J114), (J114 - $B114) / $B114, "")</f>
        <v>3.1804109203490007E-2</v>
      </c>
      <c r="L114" s="136">
        <f>IF(ISNUMBER(J114), $B118 * K114, "")</f>
        <v>4770.616380523501</v>
      </c>
      <c r="M114" s="39">
        <v>1792500</v>
      </c>
      <c r="N114" s="73">
        <f t="shared" ref="N114:N117" si="61">IF(ISNUMBER(M114), (M114 - $B114) / $B114, "")</f>
        <v>9.0064734027582322E-3</v>
      </c>
      <c r="O114" s="136">
        <f>IF(ISNUMBER(M114), $B118 * N114, "")</f>
        <v>1350.9710104137348</v>
      </c>
      <c r="Q114" s="267"/>
      <c r="R114" s="267"/>
      <c r="S114" s="267"/>
    </row>
    <row r="115" spans="1:19" ht="17.25" thickBot="1">
      <c r="A115" s="124" t="s">
        <v>250</v>
      </c>
      <c r="B115" s="125">
        <v>201</v>
      </c>
      <c r="C115" s="73">
        <v>5.7894736799999999E-2</v>
      </c>
      <c r="D115" s="125">
        <v>207</v>
      </c>
      <c r="E115" s="73">
        <f t="shared" si="58"/>
        <v>2.9850746268656716E-2</v>
      </c>
      <c r="F115" s="136">
        <f>IF(ISNUMBER(D115), $B118 * E115, "")</f>
        <v>4477.6119402985078</v>
      </c>
      <c r="G115" s="39">
        <v>206</v>
      </c>
      <c r="H115" s="73">
        <f t="shared" si="59"/>
        <v>2.4875621890547265E-2</v>
      </c>
      <c r="I115" s="202">
        <f>IF(ISNUMBER(G115), $B118 * H115, "")</f>
        <v>3731.34328358209</v>
      </c>
      <c r="J115" s="125">
        <v>205</v>
      </c>
      <c r="K115" s="73">
        <f t="shared" si="60"/>
        <v>1.9900497512437811E-2</v>
      </c>
      <c r="L115" s="136">
        <f>IF(ISNUMBER(J115), $B118 * K115, "")</f>
        <v>2985.0746268656717</v>
      </c>
      <c r="M115" s="39">
        <v>200</v>
      </c>
      <c r="N115" s="73">
        <f t="shared" si="61"/>
        <v>-4.9751243781094526E-3</v>
      </c>
      <c r="O115" s="136">
        <f>IF(ISNUMBER(M115), $B118 * N115, "")</f>
        <v>-746.26865671641792</v>
      </c>
      <c r="Q115" s="267"/>
      <c r="R115" s="267"/>
      <c r="S115" s="267"/>
    </row>
    <row r="116" spans="1:19">
      <c r="A116" s="124" t="s">
        <v>186</v>
      </c>
      <c r="B116" s="125">
        <v>23.8</v>
      </c>
      <c r="C116" s="73">
        <v>5.7777777799999999E-2</v>
      </c>
      <c r="D116" s="125">
        <v>24.8</v>
      </c>
      <c r="E116" s="73">
        <f t="shared" si="58"/>
        <v>4.2016806722689072E-2</v>
      </c>
      <c r="F116" s="136">
        <f>IF(ISNUMBER(D116), $B118 * E116, "")</f>
        <v>6302.5210084033606</v>
      </c>
      <c r="G116" s="39">
        <v>24.9</v>
      </c>
      <c r="H116" s="73">
        <f t="shared" si="59"/>
        <v>4.6218487394957895E-2</v>
      </c>
      <c r="I116" s="202">
        <f>IF(ISNUMBER(G116), $B118 * H116, "")</f>
        <v>6932.7731092436843</v>
      </c>
      <c r="J116" s="125">
        <v>25.1</v>
      </c>
      <c r="K116" s="73">
        <f t="shared" si="60"/>
        <v>5.4621848739495826E-2</v>
      </c>
      <c r="L116" s="136">
        <f>IF(ISNUMBER(J116), $B118 * K116, "")</f>
        <v>8193.2773109243735</v>
      </c>
      <c r="M116" s="39">
        <v>23.8</v>
      </c>
      <c r="N116" s="73">
        <f t="shared" si="61"/>
        <v>0</v>
      </c>
      <c r="O116" s="136">
        <f>IF(ISNUMBER(M116), $B118 * N116, "")</f>
        <v>0</v>
      </c>
      <c r="Q116" s="289"/>
      <c r="R116" s="290"/>
      <c r="S116" s="291"/>
    </row>
    <row r="117" spans="1:19" ht="17.25" thickBot="1">
      <c r="A117" s="129" t="s">
        <v>196</v>
      </c>
      <c r="B117" s="130">
        <v>19.3</v>
      </c>
      <c r="C117" s="75">
        <v>5.4644808699999999E-2</v>
      </c>
      <c r="D117" s="130">
        <v>20.100000000000001</v>
      </c>
      <c r="E117" s="75">
        <f t="shared" si="58"/>
        <v>4.1450777202072575E-2</v>
      </c>
      <c r="F117" s="137">
        <f>IF(ISNUMBER(D117), $B118 * E117, "")</f>
        <v>6217.6165803108861</v>
      </c>
      <c r="G117" s="37">
        <v>20.100000000000001</v>
      </c>
      <c r="H117" s="75">
        <f t="shared" si="59"/>
        <v>4.1450777202072575E-2</v>
      </c>
      <c r="I117" s="207">
        <f>IF(ISNUMBER(G117), $B118 * H117, "")</f>
        <v>6217.6165803108861</v>
      </c>
      <c r="J117" s="130">
        <v>20</v>
      </c>
      <c r="K117" s="75">
        <f t="shared" si="60"/>
        <v>3.6269430051813434E-2</v>
      </c>
      <c r="L117" s="137">
        <f>IF(ISNUMBER(J117), $B118 * K117, "")</f>
        <v>5440.414507772015</v>
      </c>
      <c r="M117" s="37">
        <v>19.399999999999999</v>
      </c>
      <c r="N117" s="75">
        <f t="shared" si="61"/>
        <v>5.1813471502589565E-3</v>
      </c>
      <c r="O117" s="137">
        <f>IF(ISNUMBER(M117), $B118 * N117, "")</f>
        <v>777.20207253884348</v>
      </c>
      <c r="Q117" s="292"/>
      <c r="R117" s="293"/>
      <c r="S117" s="294"/>
    </row>
    <row r="118" spans="1:19" ht="17.25" thickBot="1">
      <c r="A118" s="131" t="s">
        <v>301</v>
      </c>
      <c r="B118" s="300">
        <f>$B$37</f>
        <v>150000</v>
      </c>
      <c r="C118" s="301"/>
      <c r="D118" s="131" t="s">
        <v>302</v>
      </c>
      <c r="E118" s="215">
        <f>IF(COUNT(E98:E117), SUM(E98:E117) / COUNT(E98:E117), 0)</f>
        <v>2.8084058812542601E-2</v>
      </c>
      <c r="F118" s="208">
        <f>SUM(F98:F117)</f>
        <v>84252.176437627815</v>
      </c>
      <c r="G118" s="131" t="s">
        <v>302</v>
      </c>
      <c r="H118" s="215">
        <f>IF(COUNT(H98:H117), SUM(H98:H117) / COUNT(H98:H117), 0)</f>
        <v>2.1189100294795961E-2</v>
      </c>
      <c r="I118" s="208">
        <f>SUM(I98:I117)</f>
        <v>63567.300884387907</v>
      </c>
      <c r="J118" s="131" t="s">
        <v>302</v>
      </c>
      <c r="K118" s="215">
        <f>IF(COUNT(K98:K117), SUM(K98:K117) / COUNT(K98:K117), 0)</f>
        <v>3.1001742963930445E-2</v>
      </c>
      <c r="L118" s="208">
        <f>SUM(L98:L117)</f>
        <v>93005.228891791325</v>
      </c>
      <c r="M118" s="131" t="s">
        <v>302</v>
      </c>
      <c r="N118" s="215">
        <f>IF(COUNT(N98:N117), SUM(N98:N117) / COUNT(N98:N117), 0)</f>
        <v>-1.3201976429915042E-2</v>
      </c>
      <c r="O118" s="208">
        <f>SUM(O98:O117)</f>
        <v>-39605.929289745131</v>
      </c>
      <c r="Q118" s="295"/>
      <c r="R118" s="296"/>
      <c r="S118" s="297"/>
    </row>
    <row r="120" spans="1:19" ht="17.25" thickBot="1"/>
    <row r="121" spans="1:19" ht="17.25" thickBot="1">
      <c r="A121" s="241" t="s">
        <v>288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209" t="s">
        <v>298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62017000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-1.6680144000000001E-2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2021-05-12(수) 오전 00:00</v>
      </c>
      <c r="C123" s="305"/>
      <c r="D123" s="241" t="str">
        <f>TEXT($G$1, "[$-ko-KR]yyyy-mm-dd(ddd) ") &amp; "오후 14:00"</f>
        <v>2021-05-12(수) 오후 14:00</v>
      </c>
      <c r="E123" s="242"/>
      <c r="F123" s="243"/>
      <c r="G123" s="241" t="str">
        <f>TEXT($G$1, "[$-ko-KR]yyyy-mm-dd(ddd) ") &amp; "오후 19:00"</f>
        <v>2021-05-12(수) 오후 19:00</v>
      </c>
      <c r="H123" s="242"/>
      <c r="I123" s="243"/>
      <c r="J123" s="241" t="str">
        <f>TEXT($G$1, "[$-ko-KR]yyyy-mm-dd(ddd) ") &amp; "오후 21:00"</f>
        <v>2021-05-12(수) 오후 21:00</v>
      </c>
      <c r="K123" s="242"/>
      <c r="L123" s="243"/>
      <c r="M123" s="241" t="str">
        <f>TEXT($G$1+1, "[$-ko-KR]yyyy-mm-dd(ddd) ") &amp; "오전 00:00"</f>
        <v>2021-05-13(목) 오전 00:00</v>
      </c>
      <c r="N123" s="242"/>
      <c r="O123" s="243"/>
      <c r="Q123" s="262"/>
      <c r="R123" s="262"/>
      <c r="S123" s="262"/>
    </row>
    <row r="124" spans="1:19" ht="17.25" thickBot="1">
      <c r="A124" s="303"/>
      <c r="B124" s="120" t="s">
        <v>58</v>
      </c>
      <c r="C124" s="121" t="s">
        <v>59</v>
      </c>
      <c r="D124" s="120" t="s">
        <v>58</v>
      </c>
      <c r="E124" s="121" t="s">
        <v>299</v>
      </c>
      <c r="F124" s="216" t="s">
        <v>300</v>
      </c>
      <c r="G124" s="209" t="s">
        <v>58</v>
      </c>
      <c r="H124" s="210" t="s">
        <v>299</v>
      </c>
      <c r="I124" s="211" t="s">
        <v>300</v>
      </c>
      <c r="J124" s="121" t="s">
        <v>58</v>
      </c>
      <c r="K124" s="121" t="s">
        <v>299</v>
      </c>
      <c r="L124" s="213" t="s">
        <v>300</v>
      </c>
      <c r="M124" s="120" t="s">
        <v>58</v>
      </c>
      <c r="N124" s="121" t="s">
        <v>299</v>
      </c>
      <c r="O124" s="214" t="s">
        <v>300</v>
      </c>
      <c r="Q124" s="267"/>
      <c r="R124" s="267"/>
      <c r="S124" s="267"/>
    </row>
    <row r="125" spans="1:19" ht="17.25" thickBot="1">
      <c r="A125" s="122" t="s">
        <v>236</v>
      </c>
      <c r="B125" s="123">
        <v>99.4</v>
      </c>
      <c r="C125" s="72">
        <v>0.61363636359999996</v>
      </c>
      <c r="D125" s="123">
        <v>92.6</v>
      </c>
      <c r="E125" s="72">
        <f>IF(ISNUMBER(D125), (D125 - $B125) / $B125, "")</f>
        <v>-6.8410462776660075E-2</v>
      </c>
      <c r="F125" s="140">
        <f>IF(ISNUMBER(D125), $B145 * E125, "")</f>
        <v>-10261.569416499011</v>
      </c>
      <c r="G125" s="38">
        <v>91.3</v>
      </c>
      <c r="H125" s="72">
        <f>IF(ISNUMBER(G125), (G125 - $B125) / $B125, "")</f>
        <v>-8.1488933601609734E-2</v>
      </c>
      <c r="I125" s="201">
        <f>IF(ISNUMBER(G125), $B145 * H125, "")</f>
        <v>-12223.340040241461</v>
      </c>
      <c r="J125" s="123">
        <v>90.7</v>
      </c>
      <c r="K125" s="72">
        <f>IF(ISNUMBER(J125), (J125 - $B125) / $B125, "")</f>
        <v>-8.7525150905432614E-2</v>
      </c>
      <c r="L125" s="140">
        <f>IF(ISNUMBER(J125), $B145 * K125, "")</f>
        <v>-13128.772635814892</v>
      </c>
      <c r="M125" s="38">
        <v>83.6</v>
      </c>
      <c r="N125" s="72">
        <f>IF(ISNUMBER(M125), (M125 - $B125) / $B125, "")</f>
        <v>-0.15895372233400412</v>
      </c>
      <c r="O125" s="140">
        <f>IF(ISNUMBER(M125), $B145 * N125, "")</f>
        <v>-23843.058350100619</v>
      </c>
      <c r="Q125" s="262"/>
      <c r="R125" s="262"/>
      <c r="S125" s="262"/>
    </row>
    <row r="126" spans="1:19" ht="17.25" thickBot="1">
      <c r="A126" s="124" t="s">
        <v>214</v>
      </c>
      <c r="B126" s="125">
        <v>22.1</v>
      </c>
      <c r="C126" s="73">
        <v>0.15706806279999999</v>
      </c>
      <c r="D126" s="125">
        <v>22.2</v>
      </c>
      <c r="E126" s="73">
        <f t="shared" ref="E126:E129" si="62">IF(ISNUMBER(D126), (D126 - $B126) / $B126, "")</f>
        <v>4.5248868778279576E-3</v>
      </c>
      <c r="F126" s="136">
        <f>IF(ISNUMBER(D126), $B145 * E126, "")</f>
        <v>678.73303167419363</v>
      </c>
      <c r="G126" s="39">
        <v>23.3</v>
      </c>
      <c r="H126" s="73">
        <f t="shared" ref="H126:H129" si="63">IF(ISNUMBER(G126), (G126 - $B126) / $B126, "")</f>
        <v>5.4298642533936618E-2</v>
      </c>
      <c r="I126" s="202">
        <f>IF(ISNUMBER(G126), $B145 * H126, "")</f>
        <v>8144.7963800904927</v>
      </c>
      <c r="J126" s="125">
        <v>25.9</v>
      </c>
      <c r="K126" s="73">
        <f t="shared" ref="K126:K129" si="64">IF(ISNUMBER(J126), (J126 - $B126) / $B126, "")</f>
        <v>0.17194570135746592</v>
      </c>
      <c r="L126" s="136">
        <f>IF(ISNUMBER(J126), $B145 * K126, "")</f>
        <v>25791.855203619889</v>
      </c>
      <c r="M126" s="39">
        <v>22.4</v>
      </c>
      <c r="N126" s="73">
        <f t="shared" ref="N126:N129" si="65">IF(ISNUMBER(M126), (M126 - $B126) / $B126, "")</f>
        <v>1.3574660633484033E-2</v>
      </c>
      <c r="O126" s="136">
        <f>IF(ISNUMBER(M126), $B145 * N126, "")</f>
        <v>2036.199095022605</v>
      </c>
      <c r="Q126" s="262"/>
      <c r="R126" s="262"/>
      <c r="S126" s="262"/>
    </row>
    <row r="127" spans="1:19" ht="17.25" thickBot="1">
      <c r="A127" s="124" t="s">
        <v>254</v>
      </c>
      <c r="B127" s="125">
        <v>88.5</v>
      </c>
      <c r="C127" s="73">
        <v>0.1538461538</v>
      </c>
      <c r="D127" s="125">
        <v>84.5</v>
      </c>
      <c r="E127" s="73">
        <f t="shared" si="62"/>
        <v>-4.519774011299435E-2</v>
      </c>
      <c r="F127" s="136">
        <f>IF(ISNUMBER(D127), $B145 * E127, "")</f>
        <v>-6779.6610169491523</v>
      </c>
      <c r="G127" s="39">
        <v>85.2</v>
      </c>
      <c r="H127" s="73">
        <f t="shared" si="63"/>
        <v>-3.7288135593220306E-2</v>
      </c>
      <c r="I127" s="202">
        <f>IF(ISNUMBER(G127), $B145 * H127, "")</f>
        <v>-5593.2203389830456</v>
      </c>
      <c r="J127" s="125">
        <v>85.4</v>
      </c>
      <c r="K127" s="73">
        <f t="shared" si="64"/>
        <v>-3.502824858757056E-2</v>
      </c>
      <c r="L127" s="136">
        <f>IF(ISNUMBER(J127), $B145 * K127, "")</f>
        <v>-5254.2372881355841</v>
      </c>
      <c r="M127" s="39">
        <v>82.8</v>
      </c>
      <c r="N127" s="73">
        <f t="shared" si="65"/>
        <v>-6.4406779661016975E-2</v>
      </c>
      <c r="O127" s="136">
        <f>IF(ISNUMBER(M127), $B145 * N127, "")</f>
        <v>-9661.0169491525467</v>
      </c>
      <c r="Q127" s="267"/>
      <c r="R127" s="267"/>
      <c r="S127" s="267"/>
    </row>
    <row r="128" spans="1:19" ht="17.25" thickBot="1">
      <c r="A128" s="124" t="s">
        <v>268</v>
      </c>
      <c r="B128" s="125">
        <v>89.4</v>
      </c>
      <c r="C128" s="73">
        <v>9.9630996299999997E-2</v>
      </c>
      <c r="D128" s="125">
        <v>89.1</v>
      </c>
      <c r="E128" s="73">
        <f t="shared" si="62"/>
        <v>-3.3557046979867042E-3</v>
      </c>
      <c r="F128" s="136">
        <f>IF(ISNUMBER(D128), $B145 * E128, "")</f>
        <v>-503.35570469800564</v>
      </c>
      <c r="G128" s="39">
        <v>90.5</v>
      </c>
      <c r="H128" s="73">
        <f t="shared" si="63"/>
        <v>1.2304250559284052E-2</v>
      </c>
      <c r="I128" s="202">
        <f>IF(ISNUMBER(G128), $B145 * H128, "")</f>
        <v>1845.6375838926078</v>
      </c>
      <c r="J128" s="125">
        <v>91.3</v>
      </c>
      <c r="K128" s="73">
        <f t="shared" si="64"/>
        <v>2.125279642058156E-2</v>
      </c>
      <c r="L128" s="136">
        <f>IF(ISNUMBER(J128), $B145 * K128, "")</f>
        <v>3187.9194630872339</v>
      </c>
      <c r="M128" s="39">
        <v>87.6</v>
      </c>
      <c r="N128" s="73">
        <f t="shared" si="65"/>
        <v>-2.013422818791959E-2</v>
      </c>
      <c r="O128" s="136">
        <f>IF(ISNUMBER(M128), $B145 * N128, "")</f>
        <v>-3020.1342281879383</v>
      </c>
      <c r="Q128" s="267"/>
      <c r="R128" s="267"/>
      <c r="S128" s="267"/>
    </row>
    <row r="129" spans="1:19" ht="17.25" thickBot="1">
      <c r="A129" s="126" t="s">
        <v>126</v>
      </c>
      <c r="B129" s="127">
        <v>57.7</v>
      </c>
      <c r="C129" s="74">
        <v>9.4876660299999999E-2</v>
      </c>
      <c r="D129" s="127">
        <v>56.7</v>
      </c>
      <c r="E129" s="74">
        <f t="shared" si="62"/>
        <v>-1.7331022530329289E-2</v>
      </c>
      <c r="F129" s="203">
        <f>IF(ISNUMBER(D129), $B145 * E129, "")</f>
        <v>-2599.6533795493933</v>
      </c>
      <c r="G129" s="44">
        <v>56.3</v>
      </c>
      <c r="H129" s="74">
        <f t="shared" si="63"/>
        <v>-2.4263431542461102E-2</v>
      </c>
      <c r="I129" s="204">
        <f>IF(ISNUMBER(G129), $B145 * H129, "")</f>
        <v>-3639.5147313691655</v>
      </c>
      <c r="J129" s="127">
        <v>56.3</v>
      </c>
      <c r="K129" s="74">
        <f t="shared" si="64"/>
        <v>-2.4263431542461102E-2</v>
      </c>
      <c r="L129" s="203">
        <f>IF(ISNUMBER(J129), $B145 * K129, "")</f>
        <v>-3639.5147313691655</v>
      </c>
      <c r="M129" s="44">
        <v>54.6</v>
      </c>
      <c r="N129" s="74">
        <f t="shared" si="65"/>
        <v>-5.3726169844020816E-2</v>
      </c>
      <c r="O129" s="203">
        <f>IF(ISNUMBER(M129), $B145 * N129, "")</f>
        <v>-8058.9254766031227</v>
      </c>
      <c r="Q129" s="267"/>
      <c r="R129" s="267"/>
      <c r="S129" s="267"/>
    </row>
    <row r="130" spans="1:19" ht="17.25" thickBot="1">
      <c r="A130" s="124" t="s">
        <v>172</v>
      </c>
      <c r="B130" s="128">
        <v>23.9</v>
      </c>
      <c r="C130" s="76">
        <v>7.6576576600000001E-2</v>
      </c>
      <c r="D130" s="128">
        <v>26.3</v>
      </c>
      <c r="E130" s="76">
        <f>IF(ISNUMBER(D130), (D130 - $B130) / $B130, "")</f>
        <v>0.1004184100418411</v>
      </c>
      <c r="F130" s="205">
        <f>IF(ISNUMBER(D130), $B145 * E130, "")</f>
        <v>15062.761506276165</v>
      </c>
      <c r="G130" s="45">
        <v>25.5</v>
      </c>
      <c r="H130" s="76">
        <f>IF(ISNUMBER(G130), (G130 - $B130) / $B130, "")</f>
        <v>6.6945606694560733E-2</v>
      </c>
      <c r="I130" s="206">
        <f>IF(ISNUMBER(G130), $B145 * H130, "")</f>
        <v>10041.841004184111</v>
      </c>
      <c r="J130" s="128">
        <v>25.8</v>
      </c>
      <c r="K130" s="76">
        <f>IF(ISNUMBER(J130), (J130 - $B130) / $B130, "")</f>
        <v>7.9497907949790891E-2</v>
      </c>
      <c r="L130" s="205">
        <f>IF(ISNUMBER(J130), $B145 * K130, "")</f>
        <v>11924.686192468635</v>
      </c>
      <c r="M130" s="45">
        <v>24.3</v>
      </c>
      <c r="N130" s="76">
        <f>IF(ISNUMBER(M130), (M130 - $B130) / $B130, "")</f>
        <v>1.6736401673640256E-2</v>
      </c>
      <c r="O130" s="205">
        <f>IF(ISNUMBER(M130), $B145 * N130, "")</f>
        <v>2510.4602510460386</v>
      </c>
      <c r="Q130" s="267"/>
      <c r="R130" s="267"/>
      <c r="S130" s="267"/>
    </row>
    <row r="131" spans="1:19" ht="17.25" thickBot="1">
      <c r="A131" s="124" t="s">
        <v>218</v>
      </c>
      <c r="B131" s="125">
        <v>26.8</v>
      </c>
      <c r="C131" s="73">
        <v>7.1999999999999995E-2</v>
      </c>
      <c r="D131" s="125">
        <v>27.7</v>
      </c>
      <c r="E131" s="73">
        <f t="shared" ref="E131:E134" si="66">IF(ISNUMBER(D131), (D131 - $B131) / $B131, "")</f>
        <v>3.358208955223875E-2</v>
      </c>
      <c r="F131" s="136">
        <f>IF(ISNUMBER(D131), $B145 * E131, "")</f>
        <v>5037.3134328358128</v>
      </c>
      <c r="G131" s="39">
        <v>27.5</v>
      </c>
      <c r="H131" s="73">
        <f t="shared" ref="H131:H134" si="67">IF(ISNUMBER(G131), (G131 - $B131) / $B131, "")</f>
        <v>2.6119402985074598E-2</v>
      </c>
      <c r="I131" s="202">
        <f>IF(ISNUMBER(G131), $B145 * H131, "")</f>
        <v>3917.9104477611895</v>
      </c>
      <c r="J131" s="125">
        <v>27.8</v>
      </c>
      <c r="K131" s="73">
        <f t="shared" ref="K131:K134" si="68">IF(ISNUMBER(J131), (J131 - $B131) / $B131, "")</f>
        <v>3.7313432835820892E-2</v>
      </c>
      <c r="L131" s="136">
        <f>IF(ISNUMBER(J131), $B145 * K131, "")</f>
        <v>5597.0149253731342</v>
      </c>
      <c r="M131" s="39">
        <v>26.7</v>
      </c>
      <c r="N131" s="73">
        <f t="shared" ref="N131:N134" si="69">IF(ISNUMBER(M131), (M131 - $B131) / $B131, "")</f>
        <v>-3.7313432835821424E-3</v>
      </c>
      <c r="O131" s="136">
        <f>IF(ISNUMBER(M131), $B145 * N131, "")</f>
        <v>-559.70149253732131</v>
      </c>
      <c r="Q131" s="267"/>
      <c r="R131" s="267"/>
      <c r="S131" s="267"/>
    </row>
    <row r="132" spans="1:19" ht="17.25" thickBot="1">
      <c r="A132" s="124" t="s">
        <v>222</v>
      </c>
      <c r="B132" s="125">
        <v>18.100000000000001</v>
      </c>
      <c r="C132" s="73">
        <v>6.4705882399999998E-2</v>
      </c>
      <c r="D132" s="125">
        <v>18.899999999999999</v>
      </c>
      <c r="E132" s="73">
        <f t="shared" si="66"/>
        <v>4.4198895027624148E-2</v>
      </c>
      <c r="F132" s="136">
        <f>IF(ISNUMBER(D132), $B145 * E132, "")</f>
        <v>6629.8342541436223</v>
      </c>
      <c r="G132" s="39">
        <v>18.600000000000001</v>
      </c>
      <c r="H132" s="73">
        <f t="shared" si="67"/>
        <v>2.7624309392265192E-2</v>
      </c>
      <c r="I132" s="202">
        <f>IF(ISNUMBER(G132), $B145 * H132, "")</f>
        <v>4143.6464088397788</v>
      </c>
      <c r="J132" s="125">
        <v>19</v>
      </c>
      <c r="K132" s="73">
        <f t="shared" si="68"/>
        <v>4.9723756906077263E-2</v>
      </c>
      <c r="L132" s="136">
        <f>IF(ISNUMBER(J132), $B145 * K132, "")</f>
        <v>7458.5635359115895</v>
      </c>
      <c r="M132" s="39">
        <v>18.100000000000001</v>
      </c>
      <c r="N132" s="73">
        <f t="shared" si="69"/>
        <v>0</v>
      </c>
      <c r="O132" s="136">
        <f>IF(ISNUMBER(M132), $B145 * N132, "")</f>
        <v>0</v>
      </c>
      <c r="Q132" s="267"/>
      <c r="R132" s="267"/>
      <c r="S132" s="267"/>
    </row>
    <row r="133" spans="1:19" ht="17.25" thickBot="1">
      <c r="A133" s="124" t="s">
        <v>186</v>
      </c>
      <c r="B133" s="125">
        <v>23.8</v>
      </c>
      <c r="C133" s="73">
        <v>5.7777777799999999E-2</v>
      </c>
      <c r="D133" s="125">
        <v>24.8</v>
      </c>
      <c r="E133" s="73">
        <f t="shared" si="66"/>
        <v>4.2016806722689072E-2</v>
      </c>
      <c r="F133" s="136">
        <f>IF(ISNUMBER(D133), $B145 * E133, "")</f>
        <v>6302.5210084033606</v>
      </c>
      <c r="G133" s="39">
        <v>24.9</v>
      </c>
      <c r="H133" s="73">
        <f t="shared" si="67"/>
        <v>4.6218487394957895E-2</v>
      </c>
      <c r="I133" s="202">
        <f>IF(ISNUMBER(G133), $B145 * H133, "")</f>
        <v>6932.7731092436843</v>
      </c>
      <c r="J133" s="125">
        <v>25.1</v>
      </c>
      <c r="K133" s="73">
        <f t="shared" si="68"/>
        <v>5.4621848739495826E-2</v>
      </c>
      <c r="L133" s="136">
        <f>IF(ISNUMBER(J133), $B145 * K133, "")</f>
        <v>8193.2773109243735</v>
      </c>
      <c r="M133" s="39">
        <v>23.8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196</v>
      </c>
      <c r="B134" s="130">
        <v>19.3</v>
      </c>
      <c r="C134" s="75">
        <v>5.4644808699999999E-2</v>
      </c>
      <c r="D134" s="130">
        <v>20.100000000000001</v>
      </c>
      <c r="E134" s="75">
        <f t="shared" si="66"/>
        <v>4.1450777202072575E-2</v>
      </c>
      <c r="F134" s="137">
        <f>IF(ISNUMBER(D134), $B145 * E134, "")</f>
        <v>6217.6165803108861</v>
      </c>
      <c r="G134" s="37">
        <v>20.100000000000001</v>
      </c>
      <c r="H134" s="75">
        <f t="shared" si="67"/>
        <v>4.1450777202072575E-2</v>
      </c>
      <c r="I134" s="207">
        <f>IF(ISNUMBER(G134), $B145 * H134, "")</f>
        <v>6217.6165803108861</v>
      </c>
      <c r="J134" s="130">
        <v>20</v>
      </c>
      <c r="K134" s="75">
        <f t="shared" si="68"/>
        <v>3.6269430051813434E-2</v>
      </c>
      <c r="L134" s="137">
        <f>IF(ISNUMBER(J134), $B145 * K134, "")</f>
        <v>5440.414507772015</v>
      </c>
      <c r="M134" s="37">
        <v>19.399999999999999</v>
      </c>
      <c r="N134" s="75">
        <f t="shared" si="69"/>
        <v>5.1813471502589565E-3</v>
      </c>
      <c r="O134" s="137">
        <f>IF(ISNUMBER(M134), $B145 * N134, "")</f>
        <v>777.20207253884348</v>
      </c>
      <c r="Q134" s="276"/>
      <c r="R134" s="277"/>
      <c r="S134" s="278"/>
    </row>
    <row r="135" spans="1:19">
      <c r="A135" s="122" t="s">
        <v>228</v>
      </c>
      <c r="B135" s="123">
        <v>18</v>
      </c>
      <c r="C135" s="72">
        <v>5.2631578900000003E-2</v>
      </c>
      <c r="D135" s="123">
        <v>18.3</v>
      </c>
      <c r="E135" s="72">
        <f>IF(ISNUMBER(D135), (D135 - $B135) / $B135, "")</f>
        <v>1.6666666666666705E-2</v>
      </c>
      <c r="F135" s="140">
        <f>IF(ISNUMBER(D135), $B145 * E135, "")</f>
        <v>2500.0000000000059</v>
      </c>
      <c r="G135" s="38">
        <v>18.399999999999999</v>
      </c>
      <c r="H135" s="72">
        <f>IF(ISNUMBER(G135), (G135 - $B135) / $B135, "")</f>
        <v>2.2222222222222143E-2</v>
      </c>
      <c r="I135" s="201">
        <f>IF(ISNUMBER(G135), $B145 * H135, "")</f>
        <v>3333.3333333333217</v>
      </c>
      <c r="J135" s="123">
        <v>18.600000000000001</v>
      </c>
      <c r="K135" s="72">
        <f>IF(ISNUMBER(J135), (J135 - $B135) / $B135, "")</f>
        <v>3.3333333333333409E-2</v>
      </c>
      <c r="L135" s="140">
        <f>IF(ISNUMBER(J135), $B145 * K135, "")</f>
        <v>5000.0000000000118</v>
      </c>
      <c r="M135" s="38">
        <v>18.100000000000001</v>
      </c>
      <c r="N135" s="72">
        <f>IF(ISNUMBER(M135), (M135 - $B135) / $B135, "")</f>
        <v>5.5555555555556347E-3</v>
      </c>
      <c r="O135" s="140">
        <f>IF(ISNUMBER(M135), $B145 * N135, "")</f>
        <v>833.33333333334519</v>
      </c>
      <c r="Q135" s="279"/>
      <c r="R135" s="280"/>
      <c r="S135" s="281"/>
    </row>
    <row r="136" spans="1:19" ht="17.25" thickBot="1">
      <c r="A136" s="124" t="s">
        <v>198</v>
      </c>
      <c r="B136" s="125">
        <v>26.3</v>
      </c>
      <c r="C136" s="73">
        <v>5.1999999999999998E-2</v>
      </c>
      <c r="D136" s="125">
        <v>28.8</v>
      </c>
      <c r="E136" s="73">
        <f t="shared" ref="E136:E139" si="70">IF(ISNUMBER(D136), (D136 - $B136) / $B136, "")</f>
        <v>9.5057034220532313E-2</v>
      </c>
      <c r="F136" s="136">
        <f>IF(ISNUMBER(D136), $B145 * E136, "")</f>
        <v>14258.555133079846</v>
      </c>
      <c r="G136" s="39">
        <v>27.9</v>
      </c>
      <c r="H136" s="73">
        <f t="shared" ref="H136:H139" si="71">IF(ISNUMBER(G136), (G136 - $B136) / $B136, "")</f>
        <v>6.0836501901140601E-2</v>
      </c>
      <c r="I136" s="202">
        <f>IF(ISNUMBER(G136), $B145 * H136, "")</f>
        <v>9125.4752851710909</v>
      </c>
      <c r="J136" s="125">
        <v>27.8</v>
      </c>
      <c r="K136" s="73">
        <f t="shared" ref="K136:K139" si="72">IF(ISNUMBER(J136), (J136 - $B136) / $B136, "")</f>
        <v>5.7034220532319393E-2</v>
      </c>
      <c r="L136" s="136">
        <f>IF(ISNUMBER(J136), $B145 * K136, "")</f>
        <v>8555.1330798479084</v>
      </c>
      <c r="M136" s="39">
        <v>28</v>
      </c>
      <c r="N136" s="73">
        <f t="shared" ref="N136:N139" si="73">IF(ISNUMBER(M136), (M136 - $B136) / $B136, "")</f>
        <v>6.4638783269961947E-2</v>
      </c>
      <c r="O136" s="136">
        <f>IF(ISNUMBER(M136), $B145 * N136, "")</f>
        <v>9695.8174904942916</v>
      </c>
      <c r="Q136" s="282"/>
      <c r="R136" s="283"/>
      <c r="S136" s="284"/>
    </row>
    <row r="137" spans="1:19" ht="17.25" thickBot="1">
      <c r="A137" s="124" t="s">
        <v>154</v>
      </c>
      <c r="B137" s="125">
        <v>20</v>
      </c>
      <c r="C137" s="73">
        <v>4.16666667E-2</v>
      </c>
      <c r="D137" s="125">
        <v>21</v>
      </c>
      <c r="E137" s="73">
        <f t="shared" si="70"/>
        <v>0.05</v>
      </c>
      <c r="F137" s="136">
        <f>IF(ISNUMBER(D137), $B145 * E137, "")</f>
        <v>7500</v>
      </c>
      <c r="G137" s="39">
        <v>20.5</v>
      </c>
      <c r="H137" s="73">
        <f t="shared" si="71"/>
        <v>2.5000000000000001E-2</v>
      </c>
      <c r="I137" s="202">
        <f>IF(ISNUMBER(G137), $B145 * H137, "")</f>
        <v>3750</v>
      </c>
      <c r="J137" s="125">
        <v>21</v>
      </c>
      <c r="K137" s="73">
        <f t="shared" si="72"/>
        <v>0.05</v>
      </c>
      <c r="L137" s="136">
        <f>IF(ISNUMBER(J137), $B145 * K137, "")</f>
        <v>7500</v>
      </c>
      <c r="M137" s="39">
        <v>20.100000000000001</v>
      </c>
      <c r="N137" s="73">
        <f t="shared" si="73"/>
        <v>5.0000000000000712E-3</v>
      </c>
      <c r="O137" s="136">
        <f>IF(ISNUMBER(M137), $B145 * N137, "")</f>
        <v>750.00000000001069</v>
      </c>
      <c r="Q137" s="267"/>
      <c r="R137" s="267"/>
      <c r="S137" s="267"/>
    </row>
    <row r="138" spans="1:19" ht="17.25" thickBot="1">
      <c r="A138" s="124" t="s">
        <v>266</v>
      </c>
      <c r="B138" s="125">
        <v>92.3</v>
      </c>
      <c r="C138" s="73">
        <v>2.89855072E-2</v>
      </c>
      <c r="D138" s="125">
        <v>94.1</v>
      </c>
      <c r="E138" s="73">
        <f t="shared" si="70"/>
        <v>1.950162513542792E-2</v>
      </c>
      <c r="F138" s="136">
        <f>IF(ISNUMBER(D138), $B145 * E138, "")</f>
        <v>2925.2437703141882</v>
      </c>
      <c r="G138" s="39">
        <v>94.2</v>
      </c>
      <c r="H138" s="73">
        <f t="shared" si="71"/>
        <v>2.0585048754062901E-2</v>
      </c>
      <c r="I138" s="202">
        <f>IF(ISNUMBER(G138), $B145 * H138, "")</f>
        <v>3087.757313109435</v>
      </c>
      <c r="J138" s="125">
        <v>95.1</v>
      </c>
      <c r="K138" s="73">
        <f t="shared" si="72"/>
        <v>3.0335861321776784E-2</v>
      </c>
      <c r="L138" s="136">
        <f>IF(ISNUMBER(J138), $B145 * K138, "")</f>
        <v>4550.379198266518</v>
      </c>
      <c r="M138" s="39">
        <v>90.1</v>
      </c>
      <c r="N138" s="73">
        <f t="shared" si="73"/>
        <v>-2.3835319609967529E-2</v>
      </c>
      <c r="O138" s="136">
        <f>IF(ISNUMBER(M138), $B145 * N138, "")</f>
        <v>-3575.2979414951292</v>
      </c>
      <c r="Q138" s="262"/>
      <c r="R138" s="262"/>
      <c r="S138" s="262"/>
    </row>
    <row r="139" spans="1:19" ht="17.25" thickBot="1">
      <c r="A139" s="126" t="s">
        <v>220</v>
      </c>
      <c r="B139" s="127">
        <v>18.899999999999999</v>
      </c>
      <c r="C139" s="74">
        <v>2.7173913000000001E-2</v>
      </c>
      <c r="D139" s="127">
        <v>19.600000000000001</v>
      </c>
      <c r="E139" s="74">
        <f t="shared" si="70"/>
        <v>3.7037037037037188E-2</v>
      </c>
      <c r="F139" s="203">
        <f>IF(ISNUMBER(D139), $B145 * E139, "")</f>
        <v>5555.5555555555784</v>
      </c>
      <c r="G139" s="44">
        <v>19.399999999999999</v>
      </c>
      <c r="H139" s="74">
        <f t="shared" si="71"/>
        <v>2.6455026455026457E-2</v>
      </c>
      <c r="I139" s="204">
        <f>IF(ISNUMBER(G139), $B145 * H139, "")</f>
        <v>3968.2539682539687</v>
      </c>
      <c r="J139" s="127">
        <v>19.7</v>
      </c>
      <c r="K139" s="74">
        <f t="shared" si="72"/>
        <v>4.2328042328042367E-2</v>
      </c>
      <c r="L139" s="203">
        <f>IF(ISNUMBER(J139), $B145 * K139, "")</f>
        <v>6349.2063492063553</v>
      </c>
      <c r="M139" s="44">
        <v>18.5</v>
      </c>
      <c r="N139" s="74">
        <f t="shared" si="73"/>
        <v>-2.116402116402109E-2</v>
      </c>
      <c r="O139" s="203">
        <f>IF(ISNUMBER(M139), $B145 * N139, "")</f>
        <v>-3174.6031746031636</v>
      </c>
      <c r="Q139" s="262"/>
      <c r="R139" s="262"/>
      <c r="S139" s="262"/>
    </row>
    <row r="140" spans="1:19" ht="17.25" thickBot="1">
      <c r="A140" s="124" t="s">
        <v>152</v>
      </c>
      <c r="B140" s="128">
        <v>44.9</v>
      </c>
      <c r="C140" s="76">
        <v>2.51141553E-2</v>
      </c>
      <c r="D140" s="128">
        <v>46</v>
      </c>
      <c r="E140" s="76">
        <f>IF(ISNUMBER(D140), (D140 - $B140) / $B140, "")</f>
        <v>2.4498886414253931E-2</v>
      </c>
      <c r="F140" s="205">
        <f>IF(ISNUMBER(D140), $B145 * E140, "")</f>
        <v>3674.8329621380894</v>
      </c>
      <c r="G140" s="45">
        <v>45</v>
      </c>
      <c r="H140" s="76">
        <f>IF(ISNUMBER(G140), (G140 - $B140) / $B140, "")</f>
        <v>2.2271714922049313E-3</v>
      </c>
      <c r="I140" s="206">
        <f>IF(ISNUMBER(G140), $B145 * H140, "")</f>
        <v>334.07572383073972</v>
      </c>
      <c r="J140" s="128">
        <v>45.1</v>
      </c>
      <c r="K140" s="76">
        <f>IF(ISNUMBER(J140), (J140 - $B140) / $B140, "")</f>
        <v>4.4543429844098627E-3</v>
      </c>
      <c r="L140" s="205">
        <f>IF(ISNUMBER(J140), $B145 * K140, "")</f>
        <v>668.15144766147944</v>
      </c>
      <c r="M140" s="45">
        <v>44.1</v>
      </c>
      <c r="N140" s="76">
        <f>IF(ISNUMBER(M140), (M140 - $B140) / $B140, "")</f>
        <v>-1.7817371937639135E-2</v>
      </c>
      <c r="O140" s="205">
        <f>IF(ISNUMBER(M140), $B145 * N140, "")</f>
        <v>-2672.6057906458705</v>
      </c>
      <c r="Q140" s="267"/>
      <c r="R140" s="267"/>
      <c r="S140" s="267"/>
    </row>
    <row r="141" spans="1:19" ht="17.25" thickBot="1">
      <c r="A141" s="124" t="s">
        <v>100</v>
      </c>
      <c r="B141" s="125">
        <v>8.2899999999999991</v>
      </c>
      <c r="C141" s="73">
        <v>1.8427518399999999E-2</v>
      </c>
      <c r="D141" s="125">
        <v>8.39</v>
      </c>
      <c r="E141" s="73">
        <f t="shared" ref="E141:E144" si="74">IF(ISNUMBER(D141), (D141 - $B141) / $B141, "")</f>
        <v>1.2062726176115975E-2</v>
      </c>
      <c r="F141" s="136">
        <f>IF(ISNUMBER(D141), $B145 * E141, "")</f>
        <v>1809.4089264173963</v>
      </c>
      <c r="G141" s="39">
        <v>8.25</v>
      </c>
      <c r="H141" s="73">
        <f t="shared" ref="H141:H144" si="75">IF(ISNUMBER(G141), (G141 - $B141) / $B141, "")</f>
        <v>-4.8250904704462182E-3</v>
      </c>
      <c r="I141" s="202">
        <f>IF(ISNUMBER(G141), $B145 * H141, "")</f>
        <v>-723.76357056693269</v>
      </c>
      <c r="J141" s="125">
        <v>8.24</v>
      </c>
      <c r="K141" s="73">
        <f t="shared" ref="K141:K144" si="76">IF(ISNUMBER(J141), (J141 - $B141) / $B141, "")</f>
        <v>-6.0313630880577734E-3</v>
      </c>
      <c r="L141" s="136">
        <f>IF(ISNUMBER(J141), $B145 * K141, "")</f>
        <v>-904.70446320866597</v>
      </c>
      <c r="M141" s="39">
        <v>8.1199999999999992</v>
      </c>
      <c r="N141" s="73">
        <f t="shared" ref="N141:N144" si="77">IF(ISNUMBER(M141), (M141 - $B141) / $B141, "")</f>
        <v>-2.0506634499396856E-2</v>
      </c>
      <c r="O141" s="136">
        <f>IF(ISNUMBER(M141), $B145 * N141, "")</f>
        <v>-3075.9951749095285</v>
      </c>
      <c r="Q141" s="267"/>
      <c r="R141" s="267"/>
      <c r="S141" s="267"/>
    </row>
    <row r="142" spans="1:19" ht="17.25" thickBot="1">
      <c r="A142" s="124" t="s">
        <v>65</v>
      </c>
      <c r="B142" s="125">
        <v>71.3</v>
      </c>
      <c r="C142" s="73">
        <v>1.5669515700000001E-2</v>
      </c>
      <c r="D142" s="125">
        <v>72.3</v>
      </c>
      <c r="E142" s="73">
        <f t="shared" si="74"/>
        <v>1.4025245441795233E-2</v>
      </c>
      <c r="F142" s="136">
        <f>IF(ISNUMBER(D142), $B145 * E142, "")</f>
        <v>2103.7868162692848</v>
      </c>
      <c r="G142" s="39">
        <v>70.5</v>
      </c>
      <c r="H142" s="73">
        <f t="shared" si="75"/>
        <v>-1.1220196353436145E-2</v>
      </c>
      <c r="I142" s="202">
        <f>IF(ISNUMBER(G142), $B145 * H142, "")</f>
        <v>-1683.0294530154217</v>
      </c>
      <c r="J142" s="125">
        <v>70.8</v>
      </c>
      <c r="K142" s="73">
        <f t="shared" si="76"/>
        <v>-7.0126227208976164E-3</v>
      </c>
      <c r="L142" s="136">
        <f>IF(ISNUMBER(J142), $B145 * K142, "")</f>
        <v>-1051.8934081346424</v>
      </c>
      <c r="M142" s="39">
        <v>69.8</v>
      </c>
      <c r="N142" s="73">
        <f t="shared" si="77"/>
        <v>-2.1037868162692847E-2</v>
      </c>
      <c r="O142" s="136">
        <f>IF(ISNUMBER(M142), $B145 * N142, "")</f>
        <v>-3155.6802244039268</v>
      </c>
      <c r="Q142" s="267"/>
      <c r="R142" s="267"/>
      <c r="S142" s="267"/>
    </row>
    <row r="143" spans="1:19">
      <c r="A143" s="124" t="s">
        <v>72</v>
      </c>
      <c r="B143" s="125">
        <v>35.9</v>
      </c>
      <c r="C143" s="73">
        <v>1.41242938E-2</v>
      </c>
      <c r="D143" s="125">
        <v>37.1</v>
      </c>
      <c r="E143" s="73">
        <f t="shared" si="74"/>
        <v>3.342618384401122E-2</v>
      </c>
      <c r="F143" s="136">
        <f>IF(ISNUMBER(D143), $B145 * E143, "")</f>
        <v>5013.9275766016826</v>
      </c>
      <c r="G143" s="39">
        <v>36.9</v>
      </c>
      <c r="H143" s="73">
        <f t="shared" si="75"/>
        <v>2.7855153203342621E-2</v>
      </c>
      <c r="I143" s="202">
        <f>IF(ISNUMBER(G143), $B145 * H143, "")</f>
        <v>4178.2729805013932</v>
      </c>
      <c r="J143" s="125">
        <v>36.700000000000003</v>
      </c>
      <c r="K143" s="73">
        <f t="shared" si="76"/>
        <v>2.2284122562674213E-2</v>
      </c>
      <c r="L143" s="136">
        <f>IF(ISNUMBER(J143), $B145 * K143, "")</f>
        <v>3342.6183844011321</v>
      </c>
      <c r="M143" s="39">
        <v>36.4</v>
      </c>
      <c r="N143" s="73">
        <f t="shared" si="77"/>
        <v>1.3927576601671311E-2</v>
      </c>
      <c r="O143" s="136">
        <f>IF(ISNUMBER(M143), $B145 * N143, "")</f>
        <v>2089.1364902506966</v>
      </c>
      <c r="Q143" s="289"/>
      <c r="R143" s="290"/>
      <c r="S143" s="291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292"/>
      <c r="R144" s="293"/>
      <c r="S144" s="294"/>
    </row>
    <row r="145" spans="1:19" ht="17.25" thickBot="1">
      <c r="A145" s="131" t="s">
        <v>301</v>
      </c>
      <c r="B145" s="300">
        <f>$B$37</f>
        <v>150000</v>
      </c>
      <c r="C145" s="301"/>
      <c r="D145" s="131" t="s">
        <v>302</v>
      </c>
      <c r="E145" s="215">
        <f>IF(COUNT(E125:E144), SUM(E125:E144) / COUNT(E125:E144), 0)</f>
        <v>2.285117580221914E-2</v>
      </c>
      <c r="F145" s="208">
        <f>SUM(F125:F144)</f>
        <v>65125.851036324551</v>
      </c>
      <c r="G145" s="131" t="s">
        <v>302</v>
      </c>
      <c r="H145" s="215">
        <f>IF(COUNT(H125:H144), SUM(H125:H144) / COUNT(H125:H144), 0)</f>
        <v>1.5845095433104094E-2</v>
      </c>
      <c r="I145" s="208">
        <f>SUM(I125:I144)</f>
        <v>45158.521984346677</v>
      </c>
      <c r="J145" s="131" t="s">
        <v>302</v>
      </c>
      <c r="K145" s="215">
        <f>IF(COUNT(K125:K144), SUM(K125:K144) / COUNT(K125:K144), 0)</f>
        <v>2.7922841077851691E-2</v>
      </c>
      <c r="L145" s="208">
        <f>SUM(L125:L144)</f>
        <v>79580.097071877331</v>
      </c>
      <c r="M145" s="131" t="s">
        <v>302</v>
      </c>
      <c r="N145" s="215">
        <f>IF(COUNT(N125:N144), SUM(N125:N144) / COUNT(N125:N144), 0)</f>
        <v>-1.4773638621036252E-2</v>
      </c>
      <c r="O145" s="208">
        <f>SUM(O125:O144)</f>
        <v>-42104.870069953344</v>
      </c>
      <c r="Q145" s="295"/>
      <c r="R145" s="296"/>
      <c r="S145" s="297"/>
    </row>
    <row r="147" spans="1:19" ht="17.25" thickBot="1"/>
    <row r="148" spans="1:19" ht="17.25" thickBot="1">
      <c r="A148" s="241" t="s">
        <v>289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209" t="s">
        <v>298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62017000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-1.6680144000000001E-2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2021-05-12(수) 오전 00:00</v>
      </c>
      <c r="C150" s="305"/>
      <c r="D150" s="241" t="str">
        <f>TEXT($G$1, "[$-ko-KR]yyyy-mm-dd(ddd) ") &amp; "오후 14:00"</f>
        <v>2021-05-12(수) 오후 14:00</v>
      </c>
      <c r="E150" s="242"/>
      <c r="F150" s="243"/>
      <c r="G150" s="241" t="str">
        <f>TEXT($G$1, "[$-ko-KR]yyyy-mm-dd(ddd) ") &amp; "오후 19:00"</f>
        <v>2021-05-12(수) 오후 19:00</v>
      </c>
      <c r="H150" s="242"/>
      <c r="I150" s="243"/>
      <c r="J150" s="241" t="str">
        <f>TEXT($G$1, "[$-ko-KR]yyyy-mm-dd(ddd) ") &amp; "오후 21:00"</f>
        <v>2021-05-12(수) 오후 21:00</v>
      </c>
      <c r="K150" s="242"/>
      <c r="L150" s="243"/>
      <c r="M150" s="241" t="str">
        <f>TEXT($G$1+1, "[$-ko-KR]yyyy-mm-dd(ddd) ") &amp; "오전 00:00"</f>
        <v>2021-05-13(목) 오전 00:00</v>
      </c>
      <c r="N150" s="242"/>
      <c r="O150" s="243"/>
      <c r="Q150" s="262"/>
      <c r="R150" s="262"/>
      <c r="S150" s="262"/>
    </row>
    <row r="151" spans="1:19" ht="17.25" thickBot="1">
      <c r="A151" s="303"/>
      <c r="B151" s="120" t="s">
        <v>58</v>
      </c>
      <c r="C151" s="121" t="s">
        <v>59</v>
      </c>
      <c r="D151" s="120" t="s">
        <v>58</v>
      </c>
      <c r="E151" s="121" t="s">
        <v>299</v>
      </c>
      <c r="F151" s="216" t="s">
        <v>300</v>
      </c>
      <c r="G151" s="209" t="s">
        <v>58</v>
      </c>
      <c r="H151" s="210" t="s">
        <v>299</v>
      </c>
      <c r="I151" s="211" t="s">
        <v>300</v>
      </c>
      <c r="J151" s="121" t="s">
        <v>58</v>
      </c>
      <c r="K151" s="121" t="s">
        <v>299</v>
      </c>
      <c r="L151" s="213" t="s">
        <v>300</v>
      </c>
      <c r="M151" s="120" t="s">
        <v>58</v>
      </c>
      <c r="N151" s="121" t="s">
        <v>299</v>
      </c>
      <c r="O151" s="214" t="s">
        <v>300</v>
      </c>
      <c r="Q151" s="267"/>
      <c r="R151" s="267"/>
      <c r="S151" s="267"/>
    </row>
    <row r="152" spans="1:19" ht="17.25" thickBot="1">
      <c r="A152" s="122" t="s">
        <v>256</v>
      </c>
      <c r="B152" s="123">
        <v>236</v>
      </c>
      <c r="C152" s="72">
        <v>1.7241379300000002E-2</v>
      </c>
      <c r="D152" s="123">
        <v>253</v>
      </c>
      <c r="E152" s="72">
        <f>IF(ISNUMBER(D152), (D152 - $B152) / $B152, "")</f>
        <v>7.2033898305084748E-2</v>
      </c>
      <c r="F152" s="140">
        <f>IF(ISNUMBER(D152), $B172 * E152, "")</f>
        <v>10805.084745762711</v>
      </c>
      <c r="G152" s="38">
        <v>251</v>
      </c>
      <c r="H152" s="72">
        <f>IF(ISNUMBER(G152), (G152 - $B152) / $B152, "")</f>
        <v>6.3559322033898302E-2</v>
      </c>
      <c r="I152" s="201">
        <f>IF(ISNUMBER(G152), $B172 * H152, "")</f>
        <v>9533.8983050847455</v>
      </c>
      <c r="J152" s="123">
        <v>251</v>
      </c>
      <c r="K152" s="72">
        <f>IF(ISNUMBER(J152), (J152 - $B152) / $B152, "")</f>
        <v>6.3559322033898302E-2</v>
      </c>
      <c r="L152" s="140">
        <f>IF(ISNUMBER(J152), $B172 * K152, "")</f>
        <v>9533.8983050847455</v>
      </c>
      <c r="M152" s="38">
        <v>247</v>
      </c>
      <c r="N152" s="72">
        <f>IF(ISNUMBER(M152), (M152 - $B152) / $B152, "")</f>
        <v>4.6610169491525424E-2</v>
      </c>
      <c r="O152" s="140">
        <f>IF(ISNUMBER(M152), $B172 * N152, "")</f>
        <v>6991.5254237288136</v>
      </c>
      <c r="Q152" s="262"/>
      <c r="R152" s="262"/>
      <c r="S152" s="262"/>
    </row>
    <row r="153" spans="1:19" ht="17.25" thickBot="1">
      <c r="A153" s="124" t="s">
        <v>54</v>
      </c>
      <c r="B153" s="125">
        <v>341</v>
      </c>
      <c r="C153" s="73">
        <v>1.48809524E-2</v>
      </c>
      <c r="D153" s="125">
        <v>347</v>
      </c>
      <c r="E153" s="73">
        <f t="shared" ref="E153:E156" si="78">IF(ISNUMBER(D153), (D153 - $B153) / $B153, "")</f>
        <v>1.7595307917888565E-2</v>
      </c>
      <c r="F153" s="136">
        <f>IF(ISNUMBER(D153), $B172 * E153, "")</f>
        <v>2639.2961876832846</v>
      </c>
      <c r="G153" s="39">
        <v>340</v>
      </c>
      <c r="H153" s="73">
        <f t="shared" ref="H153:H156" si="79">IF(ISNUMBER(G153), (G153 - $B153) / $B153, "")</f>
        <v>-2.9325513196480938E-3</v>
      </c>
      <c r="I153" s="202">
        <f>IF(ISNUMBER(G153), $B172 * H153, "")</f>
        <v>-439.88269794721407</v>
      </c>
      <c r="J153" s="125">
        <v>340</v>
      </c>
      <c r="K153" s="73">
        <f t="shared" ref="K153:K156" si="80">IF(ISNUMBER(J153), (J153 - $B153) / $B153, "")</f>
        <v>-2.9325513196480938E-3</v>
      </c>
      <c r="L153" s="136">
        <f>IF(ISNUMBER(J153), $B172 * K153, "")</f>
        <v>-439.88269794721407</v>
      </c>
      <c r="M153" s="39">
        <v>333</v>
      </c>
      <c r="N153" s="73">
        <f t="shared" ref="N153:N156" si="81">IF(ISNUMBER(M153), (M153 - $B153) / $B153, "")</f>
        <v>-2.3460410557184751E-2</v>
      </c>
      <c r="O153" s="136">
        <f>IF(ISNUMBER(M153), $B172 * N153, "")</f>
        <v>-3519.0615835777126</v>
      </c>
      <c r="Q153" s="262"/>
      <c r="R153" s="262"/>
      <c r="S153" s="262"/>
    </row>
    <row r="154" spans="1:19" ht="17.25" thickBot="1">
      <c r="A154" s="124" t="s">
        <v>212</v>
      </c>
      <c r="B154" s="125">
        <v>139</v>
      </c>
      <c r="C154" s="73">
        <v>1.45985401E-2</v>
      </c>
      <c r="D154" s="125">
        <v>145</v>
      </c>
      <c r="E154" s="73">
        <f t="shared" si="78"/>
        <v>4.3165467625899283E-2</v>
      </c>
      <c r="F154" s="136">
        <f>IF(ISNUMBER(D154), $B172 * E154, "")</f>
        <v>6474.8201438848928</v>
      </c>
      <c r="G154" s="39">
        <v>145</v>
      </c>
      <c r="H154" s="73">
        <f t="shared" si="79"/>
        <v>4.3165467625899283E-2</v>
      </c>
      <c r="I154" s="202">
        <f>IF(ISNUMBER(G154), $B172 * H154, "")</f>
        <v>6474.8201438848928</v>
      </c>
      <c r="J154" s="125">
        <v>146</v>
      </c>
      <c r="K154" s="73">
        <f t="shared" si="80"/>
        <v>5.0359712230215826E-2</v>
      </c>
      <c r="L154" s="136">
        <f>IF(ISNUMBER(J154), $B172 * K154, "")</f>
        <v>7553.9568345323742</v>
      </c>
      <c r="M154" s="39">
        <v>140</v>
      </c>
      <c r="N154" s="73">
        <f t="shared" si="81"/>
        <v>7.1942446043165471E-3</v>
      </c>
      <c r="O154" s="136">
        <f>IF(ISNUMBER(M154), $B172 * N154, "")</f>
        <v>1079.1366906474821</v>
      </c>
      <c r="Q154" s="267"/>
      <c r="R154" s="267"/>
      <c r="S154" s="267"/>
    </row>
    <row r="155" spans="1:19" ht="17.25" thickBot="1">
      <c r="A155" s="124" t="s">
        <v>282</v>
      </c>
      <c r="B155" s="125">
        <v>165</v>
      </c>
      <c r="C155" s="73">
        <v>1.22699387E-2</v>
      </c>
      <c r="D155" s="125">
        <v>172</v>
      </c>
      <c r="E155" s="73">
        <f t="shared" si="78"/>
        <v>4.2424242424242427E-2</v>
      </c>
      <c r="F155" s="136">
        <f>IF(ISNUMBER(D155), $B172 * E155, "")</f>
        <v>6363.636363636364</v>
      </c>
      <c r="G155" s="39">
        <v>173</v>
      </c>
      <c r="H155" s="73">
        <f t="shared" si="79"/>
        <v>4.8484848484848485E-2</v>
      </c>
      <c r="I155" s="202">
        <f>IF(ISNUMBER(G155), $B172 * H155, "")</f>
        <v>7272.727272727273</v>
      </c>
      <c r="J155" s="125">
        <v>173</v>
      </c>
      <c r="K155" s="73">
        <f t="shared" si="80"/>
        <v>4.8484848484848485E-2</v>
      </c>
      <c r="L155" s="136">
        <f>IF(ISNUMBER(J155), $B172 * K155, "")</f>
        <v>7272.727272727273</v>
      </c>
      <c r="M155" s="39">
        <v>169</v>
      </c>
      <c r="N155" s="73">
        <f t="shared" si="81"/>
        <v>2.4242424242424242E-2</v>
      </c>
      <c r="O155" s="136">
        <f>IF(ISNUMBER(M155), $B172 * N155, "")</f>
        <v>3636.3636363636365</v>
      </c>
      <c r="Q155" s="267"/>
      <c r="R155" s="267"/>
      <c r="S155" s="267"/>
    </row>
    <row r="156" spans="1:19" ht="17.25" thickBot="1">
      <c r="A156" s="126" t="s">
        <v>232</v>
      </c>
      <c r="B156" s="127">
        <v>169</v>
      </c>
      <c r="C156" s="74">
        <v>1.19760479E-2</v>
      </c>
      <c r="D156" s="127">
        <v>178</v>
      </c>
      <c r="E156" s="74">
        <f t="shared" si="78"/>
        <v>5.3254437869822487E-2</v>
      </c>
      <c r="F156" s="203">
        <f>IF(ISNUMBER(D156), $B172 * E156, "")</f>
        <v>7988.165680473373</v>
      </c>
      <c r="G156" s="44">
        <v>178</v>
      </c>
      <c r="H156" s="74">
        <f t="shared" si="79"/>
        <v>5.3254437869822487E-2</v>
      </c>
      <c r="I156" s="204">
        <f>IF(ISNUMBER(G156), $B172 * H156, "")</f>
        <v>7988.165680473373</v>
      </c>
      <c r="J156" s="127">
        <v>177</v>
      </c>
      <c r="K156" s="74">
        <f t="shared" si="80"/>
        <v>4.7337278106508875E-2</v>
      </c>
      <c r="L156" s="203">
        <f>IF(ISNUMBER(J156), $B172 * K156, "")</f>
        <v>7100.5917159763312</v>
      </c>
      <c r="M156" s="44">
        <v>173</v>
      </c>
      <c r="N156" s="74">
        <f t="shared" si="81"/>
        <v>2.3668639053254437E-2</v>
      </c>
      <c r="O156" s="203">
        <f>IF(ISNUMBER(M156), $B172 * N156, "")</f>
        <v>3550.2958579881656</v>
      </c>
      <c r="Q156" s="267"/>
      <c r="R156" s="267"/>
      <c r="S156" s="267"/>
    </row>
    <row r="157" spans="1:19" ht="17.25" thickBot="1">
      <c r="A157" s="124" t="s">
        <v>246</v>
      </c>
      <c r="B157" s="128">
        <v>359</v>
      </c>
      <c r="C157" s="76">
        <v>1.1267605599999999E-2</v>
      </c>
      <c r="D157" s="128">
        <v>384</v>
      </c>
      <c r="E157" s="76">
        <f>IF(ISNUMBER(D157), (D157 - $B157) / $B157, "")</f>
        <v>6.9637883008356549E-2</v>
      </c>
      <c r="F157" s="205">
        <f>IF(ISNUMBER(D157), $B172 * E157, "")</f>
        <v>10445.682451253482</v>
      </c>
      <c r="G157" s="45">
        <v>380</v>
      </c>
      <c r="H157" s="76">
        <f>IF(ISNUMBER(G157), (G157 - $B157) / $B157, "")</f>
        <v>5.8495821727019497E-2</v>
      </c>
      <c r="I157" s="206">
        <f>IF(ISNUMBER(G157), $B172 * H157, "")</f>
        <v>8774.3732590529253</v>
      </c>
      <c r="J157" s="128">
        <v>379</v>
      </c>
      <c r="K157" s="76">
        <f>IF(ISNUMBER(J157), (J157 - $B157) / $B157, "")</f>
        <v>5.5710306406685235E-2</v>
      </c>
      <c r="L157" s="205">
        <f>IF(ISNUMBER(J157), $B172 * K157, "")</f>
        <v>8356.5459610027847</v>
      </c>
      <c r="M157" s="45">
        <v>371</v>
      </c>
      <c r="N157" s="76">
        <f>IF(ISNUMBER(M157), (M157 - $B157) / $B157, "")</f>
        <v>3.3426183844011144E-2</v>
      </c>
      <c r="O157" s="205">
        <f>IF(ISNUMBER(M157), $B172 * N157, "")</f>
        <v>5013.9275766016717</v>
      </c>
      <c r="Q157" s="267"/>
      <c r="R157" s="267"/>
      <c r="S157" s="267"/>
    </row>
    <row r="158" spans="1:19" ht="17.25" thickBot="1">
      <c r="A158" s="124" t="s">
        <v>148</v>
      </c>
      <c r="B158" s="125">
        <v>184</v>
      </c>
      <c r="C158" s="73">
        <v>1.0989011E-2</v>
      </c>
      <c r="D158" s="125">
        <v>195</v>
      </c>
      <c r="E158" s="73">
        <f t="shared" ref="E158:E161" si="82">IF(ISNUMBER(D158), (D158 - $B158) / $B158, "")</f>
        <v>5.9782608695652176E-2</v>
      </c>
      <c r="F158" s="136">
        <f>IF(ISNUMBER(D158), $B172 * E158, "")</f>
        <v>8967.391304347826</v>
      </c>
      <c r="G158" s="39">
        <v>191</v>
      </c>
      <c r="H158" s="73">
        <f t="shared" ref="H158:H161" si="83">IF(ISNUMBER(G158), (G158 - $B158) / $B158, "")</f>
        <v>3.8043478260869568E-2</v>
      </c>
      <c r="I158" s="202">
        <f>IF(ISNUMBER(G158), $B172 * H158, "")</f>
        <v>5706.521739130435</v>
      </c>
      <c r="J158" s="125">
        <v>190</v>
      </c>
      <c r="K158" s="73">
        <f t="shared" ref="K158:K161" si="84">IF(ISNUMBER(J158), (J158 - $B158) / $B158, "")</f>
        <v>3.2608695652173912E-2</v>
      </c>
      <c r="L158" s="136">
        <f>IF(ISNUMBER(J158), $B172 * K158, "")</f>
        <v>4891.304347826087</v>
      </c>
      <c r="M158" s="39">
        <v>188</v>
      </c>
      <c r="N158" s="73">
        <f t="shared" ref="N158:N161" si="85">IF(ISNUMBER(M158), (M158 - $B158) / $B158, "")</f>
        <v>2.1739130434782608E-2</v>
      </c>
      <c r="O158" s="136">
        <f>IF(ISNUMBER(M158), $B172 * N158, "")</f>
        <v>3260.869565217391</v>
      </c>
      <c r="Q158" s="267"/>
      <c r="R158" s="267"/>
      <c r="S158" s="267"/>
    </row>
    <row r="159" spans="1:19" ht="17.25" thickBot="1">
      <c r="A159" s="124" t="s">
        <v>216</v>
      </c>
      <c r="B159" s="125">
        <v>482</v>
      </c>
      <c r="C159" s="73">
        <v>1.0482180299999999E-2</v>
      </c>
      <c r="D159" s="125">
        <v>513</v>
      </c>
      <c r="E159" s="73">
        <f t="shared" si="82"/>
        <v>6.4315352697095429E-2</v>
      </c>
      <c r="F159" s="136">
        <f>IF(ISNUMBER(D159), $B172 * E159, "")</f>
        <v>9647.3029045643143</v>
      </c>
      <c r="G159" s="39">
        <v>509</v>
      </c>
      <c r="H159" s="73">
        <f t="shared" si="83"/>
        <v>5.6016597510373446E-2</v>
      </c>
      <c r="I159" s="202">
        <f>IF(ISNUMBER(G159), $B172 * H159, "")</f>
        <v>8402.4896265560164</v>
      </c>
      <c r="J159" s="125">
        <v>515</v>
      </c>
      <c r="K159" s="73">
        <f t="shared" si="84"/>
        <v>6.8464730290456438E-2</v>
      </c>
      <c r="L159" s="136">
        <f>IF(ISNUMBER(J159), $B172 * K159, "")</f>
        <v>10269.709543568466</v>
      </c>
      <c r="M159" s="39">
        <v>492</v>
      </c>
      <c r="N159" s="73">
        <f t="shared" si="85"/>
        <v>2.0746887966804978E-2</v>
      </c>
      <c r="O159" s="136">
        <f>IF(ISNUMBER(M159), $B172 * N159, "")</f>
        <v>3112.0331950207469</v>
      </c>
      <c r="Q159" s="267"/>
      <c r="R159" s="267"/>
      <c r="S159" s="267"/>
    </row>
    <row r="160" spans="1:19" ht="17.25" thickBot="1">
      <c r="A160" s="124" t="s">
        <v>252</v>
      </c>
      <c r="B160" s="125">
        <v>517</v>
      </c>
      <c r="C160" s="73">
        <v>7.7972709999999997E-3</v>
      </c>
      <c r="D160" s="125">
        <v>543</v>
      </c>
      <c r="E160" s="73">
        <f t="shared" si="82"/>
        <v>5.0290135396518373E-2</v>
      </c>
      <c r="F160" s="136">
        <f>IF(ISNUMBER(D160), $B172 * E160, "")</f>
        <v>7543.5203094777562</v>
      </c>
      <c r="G160" s="39">
        <v>534</v>
      </c>
      <c r="H160" s="73">
        <f t="shared" si="83"/>
        <v>3.2882011605415859E-2</v>
      </c>
      <c r="I160" s="202">
        <f>IF(ISNUMBER(G160), $B172 * H160, "")</f>
        <v>4932.3017408123787</v>
      </c>
      <c r="J160" s="125">
        <v>534</v>
      </c>
      <c r="K160" s="73">
        <f t="shared" si="84"/>
        <v>3.2882011605415859E-2</v>
      </c>
      <c r="L160" s="136">
        <f>IF(ISNUMBER(J160), $B172 * K160, "")</f>
        <v>4932.3017408123787</v>
      </c>
      <c r="M160" s="39">
        <v>520</v>
      </c>
      <c r="N160" s="73">
        <f t="shared" si="85"/>
        <v>5.8027079303675051E-3</v>
      </c>
      <c r="O160" s="136">
        <f>IF(ISNUMBER(M160), $B172 * N160, "")</f>
        <v>870.40618955512571</v>
      </c>
      <c r="Q160" s="33"/>
      <c r="R160" s="33"/>
    </row>
    <row r="161" spans="1:19" ht="17.25" thickBot="1">
      <c r="A161" s="129" t="s">
        <v>57</v>
      </c>
      <c r="B161" s="130">
        <v>427</v>
      </c>
      <c r="C161" s="75">
        <v>7.0754716999999996E-3</v>
      </c>
      <c r="D161" s="130">
        <v>445</v>
      </c>
      <c r="E161" s="75">
        <f t="shared" si="82"/>
        <v>4.2154566744730677E-2</v>
      </c>
      <c r="F161" s="137">
        <f>IF(ISNUMBER(D161), $B172 * E161, "")</f>
        <v>6323.1850117096019</v>
      </c>
      <c r="G161" s="37">
        <v>438</v>
      </c>
      <c r="H161" s="75">
        <f t="shared" si="83"/>
        <v>2.576112412177986E-2</v>
      </c>
      <c r="I161" s="207">
        <f>IF(ISNUMBER(G161), $B172 * H161, "")</f>
        <v>3864.1686182669791</v>
      </c>
      <c r="J161" s="130">
        <v>435</v>
      </c>
      <c r="K161" s="75">
        <f t="shared" si="84"/>
        <v>1.873536299765808E-2</v>
      </c>
      <c r="L161" s="137">
        <f>IF(ISNUMBER(J161), $B172 * K161, "")</f>
        <v>2810.3044496487119</v>
      </c>
      <c r="M161" s="37">
        <v>427</v>
      </c>
      <c r="N161" s="75">
        <f t="shared" si="85"/>
        <v>0</v>
      </c>
      <c r="O161" s="137">
        <f>IF(ISNUMBER(M161), $B172 * N161, "")</f>
        <v>0</v>
      </c>
      <c r="Q161" s="276"/>
      <c r="R161" s="277"/>
      <c r="S161" s="278"/>
    </row>
    <row r="162" spans="1:19">
      <c r="A162" s="122" t="s">
        <v>284</v>
      </c>
      <c r="B162" s="123">
        <v>460</v>
      </c>
      <c r="C162" s="72">
        <v>2.1786492E-3</v>
      </c>
      <c r="D162" s="123">
        <v>473</v>
      </c>
      <c r="E162" s="72">
        <f>IF(ISNUMBER(D162), (D162 - $B162) / $B162, "")</f>
        <v>2.8260869565217391E-2</v>
      </c>
      <c r="F162" s="140">
        <f>IF(ISNUMBER(D162), $B172 * E162, "")</f>
        <v>4239.130434782609</v>
      </c>
      <c r="G162" s="38">
        <v>472</v>
      </c>
      <c r="H162" s="72">
        <f>IF(ISNUMBER(G162), (G162 - $B162) / $B162, "")</f>
        <v>2.6086956521739129E-2</v>
      </c>
      <c r="I162" s="201">
        <f>IF(ISNUMBER(G162), $B172 * H162, "")</f>
        <v>3913.0434782608695</v>
      </c>
      <c r="J162" s="123">
        <v>468</v>
      </c>
      <c r="K162" s="72">
        <f>IF(ISNUMBER(J162), (J162 - $B162) / $B162, "")</f>
        <v>1.7391304347826087E-2</v>
      </c>
      <c r="L162" s="140">
        <f>IF(ISNUMBER(J162), $B172 * K162, "")</f>
        <v>2608.695652173913</v>
      </c>
      <c r="M162" s="38">
        <v>454</v>
      </c>
      <c r="N162" s="72">
        <f>IF(ISNUMBER(M162), (M162 - $B162) / $B162, "")</f>
        <v>-1.3043478260869565E-2</v>
      </c>
      <c r="O162" s="140">
        <f>IF(ISNUMBER(M162), $B172 * N162, "")</f>
        <v>-1956.5217391304348</v>
      </c>
      <c r="Q162" s="279"/>
      <c r="R162" s="280"/>
      <c r="S162" s="281"/>
    </row>
    <row r="163" spans="1:19" ht="17.25" thickBot="1">
      <c r="A163" s="124" t="s">
        <v>88</v>
      </c>
      <c r="B163" s="125">
        <v>553</v>
      </c>
      <c r="C163" s="73">
        <v>1.8115942E-3</v>
      </c>
      <c r="D163" s="125">
        <v>573</v>
      </c>
      <c r="E163" s="73">
        <f t="shared" ref="E163:E166" si="86">IF(ISNUMBER(D163), (D163 - $B163) / $B163, "")</f>
        <v>3.6166365280289332E-2</v>
      </c>
      <c r="F163" s="136">
        <f>IF(ISNUMBER(D163), $B172 * E163, "")</f>
        <v>5424.9547920433997</v>
      </c>
      <c r="G163" s="39">
        <v>560</v>
      </c>
      <c r="H163" s="73">
        <f t="shared" ref="H163:H166" si="87">IF(ISNUMBER(G163), (G163 - $B163) / $B163, "")</f>
        <v>1.2658227848101266E-2</v>
      </c>
      <c r="I163" s="202">
        <f>IF(ISNUMBER(G163), $B172 * H163, "")</f>
        <v>1898.7341772151899</v>
      </c>
      <c r="J163" s="125">
        <v>558</v>
      </c>
      <c r="K163" s="73">
        <f t="shared" ref="K163:K166" si="88">IF(ISNUMBER(J163), (J163 - $B163) / $B163, "")</f>
        <v>9.0415913200723331E-3</v>
      </c>
      <c r="L163" s="136">
        <f>IF(ISNUMBER(J163), $B172 * K163, "")</f>
        <v>1356.2386980108499</v>
      </c>
      <c r="M163" s="39">
        <v>549</v>
      </c>
      <c r="N163" s="73">
        <f t="shared" ref="N163:N166" si="89">IF(ISNUMBER(M163), (M163 - $B163) / $B163, "")</f>
        <v>-7.2332730560578659E-3</v>
      </c>
      <c r="O163" s="136">
        <f>IF(ISNUMBER(M163), $B172 * N163, "")</f>
        <v>-1084.9909584086799</v>
      </c>
      <c r="Q163" s="282"/>
      <c r="R163" s="283"/>
      <c r="S163" s="284"/>
    </row>
    <row r="164" spans="1:19" ht="17.25" thickBot="1">
      <c r="A164" s="124" t="s">
        <v>270</v>
      </c>
      <c r="B164" s="125">
        <v>537</v>
      </c>
      <c r="C164" s="73">
        <v>-3.7105750999999998E-3</v>
      </c>
      <c r="D164" s="125">
        <v>558</v>
      </c>
      <c r="E164" s="73">
        <f t="shared" si="86"/>
        <v>3.9106145251396648E-2</v>
      </c>
      <c r="F164" s="136">
        <f>IF(ISNUMBER(D164), $B172 * E164, "")</f>
        <v>5865.921787709497</v>
      </c>
      <c r="G164" s="39">
        <v>550</v>
      </c>
      <c r="H164" s="73">
        <f t="shared" si="87"/>
        <v>2.4208566108007448E-2</v>
      </c>
      <c r="I164" s="202">
        <f>IF(ISNUMBER(G164), $B172 * H164, "")</f>
        <v>3631.2849162011171</v>
      </c>
      <c r="J164" s="125">
        <v>549</v>
      </c>
      <c r="K164" s="73">
        <f t="shared" si="88"/>
        <v>2.23463687150838E-2</v>
      </c>
      <c r="L164" s="136">
        <f>IF(ISNUMBER(J164), $B172 * K164, "")</f>
        <v>3351.9553072625699</v>
      </c>
      <c r="M164" s="39">
        <v>543</v>
      </c>
      <c r="N164" s="73">
        <f t="shared" si="89"/>
        <v>1.11731843575419E-2</v>
      </c>
      <c r="O164" s="136">
        <f>IF(ISNUMBER(M164), $B172 * N164, "")</f>
        <v>1675.977653631285</v>
      </c>
      <c r="Q164" s="267"/>
      <c r="R164" s="267"/>
      <c r="S164" s="267"/>
    </row>
    <row r="165" spans="1:19" ht="17.25" thickBot="1">
      <c r="A165" s="124" t="s">
        <v>128</v>
      </c>
      <c r="B165" s="125">
        <v>636</v>
      </c>
      <c r="C165" s="73">
        <v>-9.3457943999999994E-3</v>
      </c>
      <c r="D165" s="125">
        <v>654</v>
      </c>
      <c r="E165" s="73">
        <f t="shared" si="86"/>
        <v>2.8301886792452831E-2</v>
      </c>
      <c r="F165" s="136">
        <f>IF(ISNUMBER(D165), $B172 * E165, "")</f>
        <v>4245.2830188679245</v>
      </c>
      <c r="G165" s="39">
        <v>644</v>
      </c>
      <c r="H165" s="73">
        <f t="shared" si="87"/>
        <v>1.2578616352201259E-2</v>
      </c>
      <c r="I165" s="202">
        <f>IF(ISNUMBER(G165), $B172 * H165, "")</f>
        <v>1886.7924528301887</v>
      </c>
      <c r="J165" s="125">
        <v>646</v>
      </c>
      <c r="K165" s="73">
        <f t="shared" si="88"/>
        <v>1.5723270440251572E-2</v>
      </c>
      <c r="L165" s="136">
        <f>IF(ISNUMBER(J165), $B172 * K165, "")</f>
        <v>2358.4905660377358</v>
      </c>
      <c r="M165" s="39">
        <v>633</v>
      </c>
      <c r="N165" s="73">
        <f t="shared" si="89"/>
        <v>-4.7169811320754715E-3</v>
      </c>
      <c r="O165" s="136">
        <f>IF(ISNUMBER(M165), $B172 * N165, "")</f>
        <v>-707.54716981132071</v>
      </c>
      <c r="Q165" s="262"/>
      <c r="R165" s="262"/>
      <c r="S165" s="262"/>
    </row>
    <row r="166" spans="1:19" ht="17.25" thickBot="1">
      <c r="A166" s="126" t="s">
        <v>132</v>
      </c>
      <c r="B166" s="127">
        <v>254</v>
      </c>
      <c r="C166" s="74">
        <v>-1.16731518E-2</v>
      </c>
      <c r="D166" s="127">
        <v>257</v>
      </c>
      <c r="E166" s="74">
        <f t="shared" si="86"/>
        <v>1.1811023622047244E-2</v>
      </c>
      <c r="F166" s="203">
        <f>IF(ISNUMBER(D166), $B172 * E166, "")</f>
        <v>1771.6535433070867</v>
      </c>
      <c r="G166" s="44">
        <v>252</v>
      </c>
      <c r="H166" s="74">
        <f t="shared" si="87"/>
        <v>-7.874015748031496E-3</v>
      </c>
      <c r="I166" s="204">
        <f>IF(ISNUMBER(G166), $B172 * H166, "")</f>
        <v>-1181.1023622047244</v>
      </c>
      <c r="J166" s="127">
        <v>254</v>
      </c>
      <c r="K166" s="74">
        <f t="shared" si="88"/>
        <v>0</v>
      </c>
      <c r="L166" s="203">
        <f>IF(ISNUMBER(J166), $B172 * K166, "")</f>
        <v>0</v>
      </c>
      <c r="M166" s="44">
        <v>248</v>
      </c>
      <c r="N166" s="74">
        <f t="shared" si="89"/>
        <v>-2.3622047244094488E-2</v>
      </c>
      <c r="O166" s="203">
        <f>IF(ISNUMBER(M166), $B172 * N166, "")</f>
        <v>-3543.3070866141734</v>
      </c>
      <c r="Q166" s="262"/>
      <c r="R166" s="262"/>
      <c r="S166" s="262"/>
    </row>
    <row r="167" spans="1:19" ht="17.25" thickBot="1">
      <c r="A167" s="124" t="s">
        <v>182</v>
      </c>
      <c r="B167" s="128">
        <v>489</v>
      </c>
      <c r="C167" s="76">
        <v>-1.8072289200000001E-2</v>
      </c>
      <c r="D167" s="128">
        <v>512</v>
      </c>
      <c r="E167" s="76">
        <f>IF(ISNUMBER(D167), (D167 - $B167) / $B167, "")</f>
        <v>4.7034764826175871E-2</v>
      </c>
      <c r="F167" s="205">
        <f>IF(ISNUMBER(D167), $B172 * E167, "")</f>
        <v>7055.2147239263804</v>
      </c>
      <c r="G167" s="45">
        <v>508</v>
      </c>
      <c r="H167" s="76">
        <f>IF(ISNUMBER(G167), (G167 - $B167) / $B167, "")</f>
        <v>3.8854805725971372E-2</v>
      </c>
      <c r="I167" s="206">
        <f>IF(ISNUMBER(G167), $B172 * H167, "")</f>
        <v>5828.2208588957055</v>
      </c>
      <c r="J167" s="128">
        <v>506</v>
      </c>
      <c r="K167" s="76">
        <f>IF(ISNUMBER(J167), (J167 - $B167) / $B167, "")</f>
        <v>3.4764826175869123E-2</v>
      </c>
      <c r="L167" s="205">
        <f>IF(ISNUMBER(J167), $B172 * K167, "")</f>
        <v>5214.7239263803685</v>
      </c>
      <c r="M167" s="45">
        <v>492</v>
      </c>
      <c r="N167" s="76">
        <f>IF(ISNUMBER(M167), (M167 - $B167) / $B167, "")</f>
        <v>6.1349693251533744E-3</v>
      </c>
      <c r="O167" s="205">
        <f>IF(ISNUMBER(M167), $B172 * N167, "")</f>
        <v>920.24539877300617</v>
      </c>
      <c r="Q167" s="267"/>
      <c r="R167" s="267"/>
      <c r="S167" s="267"/>
    </row>
    <row r="168" spans="1:19" ht="17.25" thickBot="1">
      <c r="A168" s="124" t="s">
        <v>142</v>
      </c>
      <c r="B168" s="125">
        <v>432</v>
      </c>
      <c r="C168" s="73">
        <v>-1.8181818200000002E-2</v>
      </c>
      <c r="D168" s="125">
        <v>452</v>
      </c>
      <c r="E168" s="73">
        <f t="shared" ref="E168:E171" si="90">IF(ISNUMBER(D168), (D168 - $B168) / $B168, "")</f>
        <v>4.6296296296296294E-2</v>
      </c>
      <c r="F168" s="136">
        <f>IF(ISNUMBER(D168), $B172 * E168, "")</f>
        <v>6944.4444444444443</v>
      </c>
      <c r="G168" s="39">
        <v>436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439</v>
      </c>
      <c r="K168" s="73">
        <f t="shared" ref="K168:K171" si="92">IF(ISNUMBER(J168), (J168 - $B168) / $B168, "")</f>
        <v>1.6203703703703703E-2</v>
      </c>
      <c r="L168" s="136">
        <f>IF(ISNUMBER(J168), $B172 * K168, "")</f>
        <v>2430.5555555555552</v>
      </c>
      <c r="M168" s="39">
        <v>431</v>
      </c>
      <c r="N168" s="73">
        <f t="shared" ref="N168:N171" si="93">IF(ISNUMBER(M168), (M168 - $B168) / $B168, "")</f>
        <v>-2.3148148148148147E-3</v>
      </c>
      <c r="O168" s="136">
        <f>IF(ISNUMBER(M168), $B172 * N168, "")</f>
        <v>-347.22222222222223</v>
      </c>
      <c r="Q168" s="267"/>
      <c r="R168" s="267"/>
      <c r="S168" s="267"/>
    </row>
    <row r="169" spans="1:19" ht="17.25" thickBot="1">
      <c r="A169" s="124" t="s">
        <v>170</v>
      </c>
      <c r="B169" s="125">
        <v>521</v>
      </c>
      <c r="C169" s="73">
        <v>-2.0676691699999999E-2</v>
      </c>
      <c r="D169" s="125">
        <v>538</v>
      </c>
      <c r="E169" s="73">
        <f t="shared" si="90"/>
        <v>3.2629558541266791E-2</v>
      </c>
      <c r="F169" s="136">
        <f>IF(ISNUMBER(D169), $B172 * E169, "")</f>
        <v>4894.4337811900186</v>
      </c>
      <c r="G169" s="39">
        <v>537</v>
      </c>
      <c r="H169" s="73">
        <f t="shared" si="91"/>
        <v>3.0710172744721688E-2</v>
      </c>
      <c r="I169" s="202">
        <f>IF(ISNUMBER(G169), $B172 * H169, "")</f>
        <v>4606.5259117082533</v>
      </c>
      <c r="J169" s="125">
        <v>529</v>
      </c>
      <c r="K169" s="73">
        <f t="shared" si="92"/>
        <v>1.5355086372360844E-2</v>
      </c>
      <c r="L169" s="136">
        <f>IF(ISNUMBER(J169), $B172 * K169, "")</f>
        <v>2303.2629558541266</v>
      </c>
      <c r="M169" s="39">
        <v>525</v>
      </c>
      <c r="N169" s="73">
        <f t="shared" si="93"/>
        <v>7.677543186180422E-3</v>
      </c>
      <c r="O169" s="136">
        <f>IF(ISNUMBER(M169), $B172 * N169, "")</f>
        <v>1151.6314779270633</v>
      </c>
      <c r="Q169" s="267"/>
      <c r="R169" s="267"/>
      <c r="S169" s="267"/>
    </row>
    <row r="170" spans="1:19">
      <c r="A170" s="124" t="s">
        <v>51</v>
      </c>
      <c r="B170" s="125">
        <v>813</v>
      </c>
      <c r="C170" s="73">
        <v>-2.86738351E-2</v>
      </c>
      <c r="D170" s="125">
        <v>856</v>
      </c>
      <c r="E170" s="73">
        <f t="shared" si="90"/>
        <v>5.2890528905289051E-2</v>
      </c>
      <c r="F170" s="136">
        <f>IF(ISNUMBER(D170), $B172 * E170, "")</f>
        <v>7933.579335793358</v>
      </c>
      <c r="G170" s="39">
        <v>835</v>
      </c>
      <c r="H170" s="73">
        <f t="shared" si="91"/>
        <v>2.7060270602706028E-2</v>
      </c>
      <c r="I170" s="202">
        <f>IF(ISNUMBER(G170), $B172 * H170, "")</f>
        <v>4059.0405904059044</v>
      </c>
      <c r="J170" s="125">
        <v>836</v>
      </c>
      <c r="K170" s="73">
        <f t="shared" si="92"/>
        <v>2.8290282902829027E-2</v>
      </c>
      <c r="L170" s="136">
        <f>IF(ISNUMBER(J170), $B172 * K170, "")</f>
        <v>4243.5424354243542</v>
      </c>
      <c r="M170" s="39">
        <v>816</v>
      </c>
      <c r="N170" s="73">
        <f t="shared" si="93"/>
        <v>3.6900369003690036E-3</v>
      </c>
      <c r="O170" s="136">
        <f>IF(ISNUMBER(M170), $B172 * N170, "")</f>
        <v>553.50553505535049</v>
      </c>
      <c r="Q170" s="289"/>
      <c r="R170" s="290"/>
      <c r="S170" s="291"/>
    </row>
    <row r="171" spans="1:19" ht="17.25" thickBot="1">
      <c r="A171" s="129" t="s">
        <v>168</v>
      </c>
      <c r="B171" s="130">
        <v>226</v>
      </c>
      <c r="C171" s="75">
        <v>-3.0042918500000002E-2</v>
      </c>
      <c r="D171" s="130">
        <v>240</v>
      </c>
      <c r="E171" s="75">
        <f t="shared" si="90"/>
        <v>6.1946902654867256E-2</v>
      </c>
      <c r="F171" s="137">
        <f>IF(ISNUMBER(D171), $B172 * E171, "")</f>
        <v>9292.0353982300876</v>
      </c>
      <c r="G171" s="37">
        <v>232</v>
      </c>
      <c r="H171" s="75">
        <f t="shared" si="91"/>
        <v>2.6548672566371681E-2</v>
      </c>
      <c r="I171" s="207">
        <f>IF(ISNUMBER(G171), $B172 * H171, "")</f>
        <v>3982.3008849557523</v>
      </c>
      <c r="J171" s="130">
        <v>230</v>
      </c>
      <c r="K171" s="75">
        <f t="shared" si="92"/>
        <v>1.7699115044247787E-2</v>
      </c>
      <c r="L171" s="137">
        <f>IF(ISNUMBER(J171), $B172 * K171, "")</f>
        <v>2654.8672566371679</v>
      </c>
      <c r="M171" s="37">
        <v>224</v>
      </c>
      <c r="N171" s="75">
        <f t="shared" si="93"/>
        <v>-8.8495575221238937E-3</v>
      </c>
      <c r="O171" s="137">
        <f>IF(ISNUMBER(M171), $B172 * N171, "")</f>
        <v>-1327.4336283185839</v>
      </c>
      <c r="Q171" s="292"/>
      <c r="R171" s="293"/>
      <c r="S171" s="294"/>
    </row>
    <row r="172" spans="1:19" ht="17.25" thickBot="1">
      <c r="A172" s="131" t="s">
        <v>301</v>
      </c>
      <c r="B172" s="300">
        <f>$B$37</f>
        <v>150000</v>
      </c>
      <c r="C172" s="301"/>
      <c r="D172" s="131" t="s">
        <v>302</v>
      </c>
      <c r="E172" s="215">
        <f>IF(COUNT(E152:E171), SUM(E152:E171) / COUNT(E152:E171), 0)</f>
        <v>4.4954912121029464E-2</v>
      </c>
      <c r="F172" s="208">
        <f>SUM(F152:F171)</f>
        <v>134864.73636308839</v>
      </c>
      <c r="G172" s="131" t="s">
        <v>302</v>
      </c>
      <c r="H172" s="215">
        <f>IF(COUNT(H152:H171), SUM(H152:H171) / COUNT(H152:H171), 0)</f>
        <v>3.0841104495066319E-2</v>
      </c>
      <c r="I172" s="208">
        <f>SUM(I152:I171)</f>
        <v>92523.313485198931</v>
      </c>
      <c r="J172" s="131" t="s">
        <v>302</v>
      </c>
      <c r="K172" s="215">
        <f>IF(COUNT(K152:K171), SUM(K152:K171) / COUNT(K152:K171), 0)</f>
        <v>2.9601263275522861E-2</v>
      </c>
      <c r="L172" s="208">
        <f>SUM(L152:L171)</f>
        <v>88803.789826568594</v>
      </c>
      <c r="M172" s="131" t="s">
        <v>302</v>
      </c>
      <c r="N172" s="215">
        <f>IF(COUNT(N152:N171), SUM(N152:N171) / COUNT(N152:N171), 0)</f>
        <v>6.4432779374755363E-3</v>
      </c>
      <c r="O172" s="208">
        <f>SUM(O152:O171)</f>
        <v>19329.833812426608</v>
      </c>
      <c r="Q172" s="295"/>
      <c r="R172" s="296"/>
      <c r="S172" s="297"/>
    </row>
    <row r="174" spans="1:19" ht="17.25" thickBot="1"/>
    <row r="175" spans="1:19" ht="17.25" thickBot="1">
      <c r="A175" s="241" t="s">
        <v>285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209" t="s">
        <v>298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62017000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-1.6680144000000001E-2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2021-05-12(수) 오전 00:00</v>
      </c>
      <c r="C177" s="305"/>
      <c r="D177" s="241" t="str">
        <f>TEXT($G$1, "[$-ko-KR]yyyy-mm-dd(ddd) ") &amp; "오후 14:00"</f>
        <v>2021-05-12(수) 오후 14:00</v>
      </c>
      <c r="E177" s="242"/>
      <c r="F177" s="243"/>
      <c r="G177" s="241" t="str">
        <f>TEXT($G$1, "[$-ko-KR]yyyy-mm-dd(ddd) ") &amp; "오후 19:00"</f>
        <v>2021-05-12(수) 오후 19:00</v>
      </c>
      <c r="H177" s="242"/>
      <c r="I177" s="243"/>
      <c r="J177" s="241" t="str">
        <f>TEXT($G$1, "[$-ko-KR]yyyy-mm-dd(ddd) ") &amp; "오후 21:00"</f>
        <v>2021-05-12(수) 오후 21:00</v>
      </c>
      <c r="K177" s="242"/>
      <c r="L177" s="243"/>
      <c r="M177" s="241" t="str">
        <f>TEXT($G$1+1, "[$-ko-KR]yyyy-mm-dd(ddd) ") &amp; "오전 00:00"</f>
        <v>2021-05-13(목) 오전 00:00</v>
      </c>
      <c r="N177" s="242"/>
      <c r="O177" s="243"/>
      <c r="Q177" s="262"/>
      <c r="R177" s="262"/>
      <c r="S177" s="262"/>
    </row>
    <row r="178" spans="1:19" ht="17.25" thickBot="1">
      <c r="A178" s="303"/>
      <c r="B178" s="120" t="s">
        <v>58</v>
      </c>
      <c r="C178" s="121" t="s">
        <v>59</v>
      </c>
      <c r="D178" s="120" t="s">
        <v>58</v>
      </c>
      <c r="E178" s="121" t="s">
        <v>299</v>
      </c>
      <c r="F178" s="216" t="s">
        <v>300</v>
      </c>
      <c r="G178" s="209" t="s">
        <v>58</v>
      </c>
      <c r="H178" s="210" t="s">
        <v>299</v>
      </c>
      <c r="I178" s="211" t="s">
        <v>300</v>
      </c>
      <c r="J178" s="121" t="s">
        <v>58</v>
      </c>
      <c r="K178" s="121" t="s">
        <v>299</v>
      </c>
      <c r="L178" s="213" t="s">
        <v>300</v>
      </c>
      <c r="M178" s="120" t="s">
        <v>58</v>
      </c>
      <c r="N178" s="121" t="s">
        <v>299</v>
      </c>
      <c r="O178" s="214" t="s">
        <v>300</v>
      </c>
      <c r="Q178" s="267"/>
      <c r="R178" s="267"/>
      <c r="S178" s="267"/>
    </row>
    <row r="179" spans="1:19" ht="17.25" thickBot="1">
      <c r="A179" s="122" t="s">
        <v>108</v>
      </c>
      <c r="B179" s="123">
        <v>56480</v>
      </c>
      <c r="C179" s="72">
        <v>-1.44826383E-2</v>
      </c>
      <c r="D179" s="123">
        <v>59100</v>
      </c>
      <c r="E179" s="72">
        <f>IF(ISNUMBER(D179), (D179 - $B179) / $B179, "")</f>
        <v>4.6388101983002833E-2</v>
      </c>
      <c r="F179" s="140">
        <f>IF(ISNUMBER(D179), $B199 * E179, "")</f>
        <v>6958.2152974504252</v>
      </c>
      <c r="G179" s="38">
        <v>57810</v>
      </c>
      <c r="H179" s="72">
        <f>IF(ISNUMBER(G179), (G179 - $B179) / $B179, "")</f>
        <v>2.3548158640226628E-2</v>
      </c>
      <c r="I179" s="201">
        <f>IF(ISNUMBER(G179), $B199 * H179, "")</f>
        <v>3532.2237960339944</v>
      </c>
      <c r="J179" s="123">
        <v>57760</v>
      </c>
      <c r="K179" s="72">
        <f>IF(ISNUMBER(J179), (J179 - $B179) / $B179, "")</f>
        <v>2.2662889518413599E-2</v>
      </c>
      <c r="L179" s="140">
        <f>IF(ISNUMBER(J179), $B199 * K179, "")</f>
        <v>3399.4334277620396</v>
      </c>
      <c r="M179" s="38">
        <v>56690</v>
      </c>
      <c r="N179" s="72">
        <f>IF(ISNUMBER(M179), (M179 - $B179) / $B179, "")</f>
        <v>3.718130311614731E-3</v>
      </c>
      <c r="O179" s="140">
        <f>IF(ISNUMBER(M179), $B199 * N179, "")</f>
        <v>557.71954674220967</v>
      </c>
      <c r="Q179" s="262"/>
      <c r="R179" s="262"/>
      <c r="S179" s="262"/>
    </row>
    <row r="180" spans="1:19" ht="17.25" thickBot="1">
      <c r="A180" s="124" t="s">
        <v>80</v>
      </c>
      <c r="B180" s="125">
        <v>1640</v>
      </c>
      <c r="C180" s="73">
        <v>-1.5015015E-2</v>
      </c>
      <c r="D180" s="125">
        <v>1700</v>
      </c>
      <c r="E180" s="73">
        <f t="shared" ref="E180:E183" si="94">IF(ISNUMBER(D180), (D180 - $B180) / $B180, "")</f>
        <v>3.6585365853658534E-2</v>
      </c>
      <c r="F180" s="136">
        <f>IF(ISNUMBER(D180), $B199 * E180, "")</f>
        <v>5487.8048780487798</v>
      </c>
      <c r="G180" s="39">
        <v>1660</v>
      </c>
      <c r="H180" s="73">
        <f t="shared" ref="H180:H183" si="95">IF(ISNUMBER(G180), (G180 - $B180) / $B180, "")</f>
        <v>1.2195121951219513E-2</v>
      </c>
      <c r="I180" s="202">
        <f>IF(ISNUMBER(G180), $B199 * H180, "")</f>
        <v>1829.2682926829268</v>
      </c>
      <c r="J180" s="125">
        <v>1670</v>
      </c>
      <c r="K180" s="73">
        <f t="shared" ref="K180:K183" si="96">IF(ISNUMBER(J180), (J180 - $B180) / $B180, "")</f>
        <v>1.8292682926829267E-2</v>
      </c>
      <c r="L180" s="136">
        <f>IF(ISNUMBER(J180), $B199 * K180, "")</f>
        <v>2743.9024390243899</v>
      </c>
      <c r="M180" s="39">
        <v>1640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262"/>
      <c r="R180" s="262"/>
      <c r="S180" s="262"/>
    </row>
    <row r="181" spans="1:19" ht="17.25" thickBot="1">
      <c r="A181" s="124" t="s">
        <v>74</v>
      </c>
      <c r="B181" s="125">
        <v>31700</v>
      </c>
      <c r="C181" s="73">
        <v>-1.52221187E-2</v>
      </c>
      <c r="D181" s="125">
        <v>33420</v>
      </c>
      <c r="E181" s="73">
        <f t="shared" si="94"/>
        <v>5.4258675078864352E-2</v>
      </c>
      <c r="F181" s="136">
        <f>IF(ISNUMBER(D181), $B199 * E181, "")</f>
        <v>8138.8012618296525</v>
      </c>
      <c r="G181" s="39">
        <v>32310</v>
      </c>
      <c r="H181" s="73">
        <f t="shared" si="95"/>
        <v>1.9242902208201892E-2</v>
      </c>
      <c r="I181" s="202">
        <f>IF(ISNUMBER(G181), $B199 * H181, "")</f>
        <v>2886.4353312302837</v>
      </c>
      <c r="J181" s="125">
        <v>32230</v>
      </c>
      <c r="K181" s="73">
        <f t="shared" si="96"/>
        <v>1.6719242902208203E-2</v>
      </c>
      <c r="L181" s="136">
        <f>IF(ISNUMBER(J181), $B199 * K181, "")</f>
        <v>2507.8864353312306</v>
      </c>
      <c r="M181" s="39">
        <v>33010</v>
      </c>
      <c r="N181" s="73">
        <f t="shared" si="97"/>
        <v>4.1324921135646689E-2</v>
      </c>
      <c r="O181" s="136">
        <f>IF(ISNUMBER(M181), $B199 * N181, "")</f>
        <v>6198.7381703470037</v>
      </c>
      <c r="Q181" s="267"/>
      <c r="R181" s="267"/>
      <c r="S181" s="267"/>
    </row>
    <row r="182" spans="1:19" ht="17.25" thickBot="1">
      <c r="A182" s="124" t="s">
        <v>69</v>
      </c>
      <c r="B182" s="125">
        <v>11440</v>
      </c>
      <c r="C182" s="73">
        <v>-1.7182130600000001E-2</v>
      </c>
      <c r="D182" s="125">
        <v>12220</v>
      </c>
      <c r="E182" s="73">
        <f t="shared" si="94"/>
        <v>6.8181818181818177E-2</v>
      </c>
      <c r="F182" s="136">
        <f>IF(ISNUMBER(D182), $B199 * E182, "")</f>
        <v>10227.272727272726</v>
      </c>
      <c r="G182" s="39">
        <v>12010</v>
      </c>
      <c r="H182" s="73">
        <f t="shared" si="95"/>
        <v>4.9825174825174824E-2</v>
      </c>
      <c r="I182" s="202">
        <f>IF(ISNUMBER(G182), $B199 * H182, "")</f>
        <v>7473.7762237762236</v>
      </c>
      <c r="J182" s="125">
        <v>12000</v>
      </c>
      <c r="K182" s="73">
        <f t="shared" si="96"/>
        <v>4.8951048951048952E-2</v>
      </c>
      <c r="L182" s="136">
        <f>IF(ISNUMBER(J182), $B199 * K182, "")</f>
        <v>7342.6573426573432</v>
      </c>
      <c r="M182" s="39">
        <v>11760</v>
      </c>
      <c r="N182" s="73">
        <f t="shared" si="97"/>
        <v>2.7972027972027972E-2</v>
      </c>
      <c r="O182" s="136">
        <f>IF(ISNUMBER(M182), $B199 * N182, "")</f>
        <v>4195.8041958041958</v>
      </c>
      <c r="Q182" s="267"/>
      <c r="R182" s="267"/>
      <c r="S182" s="267"/>
    </row>
    <row r="183" spans="1:19" ht="17.25" thickBot="1">
      <c r="A183" s="126" t="s">
        <v>96</v>
      </c>
      <c r="B183" s="127">
        <v>4922000</v>
      </c>
      <c r="C183" s="74">
        <v>-1.73687363E-2</v>
      </c>
      <c r="D183" s="127">
        <v>5254000</v>
      </c>
      <c r="E183" s="74">
        <f t="shared" si="94"/>
        <v>6.7452255180820805E-2</v>
      </c>
      <c r="F183" s="203">
        <f>IF(ISNUMBER(D183), $B199 * E183, "")</f>
        <v>10117.838277123121</v>
      </c>
      <c r="G183" s="44">
        <v>5219000</v>
      </c>
      <c r="H183" s="74">
        <f t="shared" si="95"/>
        <v>6.0341324664770421E-2</v>
      </c>
      <c r="I183" s="204">
        <f>IF(ISNUMBER(G183), $B199 * H183, "")</f>
        <v>9051.1986997155636</v>
      </c>
      <c r="J183" s="127">
        <v>5232000</v>
      </c>
      <c r="K183" s="74">
        <f t="shared" si="96"/>
        <v>6.2982527427874843E-2</v>
      </c>
      <c r="L183" s="203">
        <f>IF(ISNUMBER(J183), $B199 * K183, "")</f>
        <v>9447.3791141812271</v>
      </c>
      <c r="M183" s="44">
        <v>5230000</v>
      </c>
      <c r="N183" s="74">
        <f t="shared" si="97"/>
        <v>6.2576188541243402E-2</v>
      </c>
      <c r="O183" s="203">
        <f>IF(ISNUMBER(M183), $B199 * N183, "")</f>
        <v>9386.4282811865105</v>
      </c>
      <c r="Q183" s="267"/>
      <c r="R183" s="267"/>
      <c r="S183" s="267"/>
    </row>
    <row r="184" spans="1:19" ht="17.25" thickBot="1">
      <c r="A184" s="124" t="s">
        <v>182</v>
      </c>
      <c r="B184" s="128">
        <v>489</v>
      </c>
      <c r="C184" s="76">
        <v>-1.8072289200000001E-2</v>
      </c>
      <c r="D184" s="128">
        <v>512</v>
      </c>
      <c r="E184" s="76">
        <f>IF(ISNUMBER(D184), (D184 - $B184) / $B184, "")</f>
        <v>4.7034764826175871E-2</v>
      </c>
      <c r="F184" s="205">
        <f>IF(ISNUMBER(D184), $B199 * E184, "")</f>
        <v>7055.2147239263804</v>
      </c>
      <c r="G184" s="45">
        <v>508</v>
      </c>
      <c r="H184" s="76">
        <f>IF(ISNUMBER(G184), (G184 - $B184) / $B184, "")</f>
        <v>3.8854805725971372E-2</v>
      </c>
      <c r="I184" s="206">
        <f>IF(ISNUMBER(G184), $B199 * H184, "")</f>
        <v>5828.2208588957055</v>
      </c>
      <c r="J184" s="128">
        <v>506</v>
      </c>
      <c r="K184" s="76">
        <f>IF(ISNUMBER(J184), (J184 - $B184) / $B184, "")</f>
        <v>3.4764826175869123E-2</v>
      </c>
      <c r="L184" s="205">
        <f>IF(ISNUMBER(J184), $B199 * K184, "")</f>
        <v>5214.7239263803685</v>
      </c>
      <c r="M184" s="45">
        <v>492</v>
      </c>
      <c r="N184" s="76">
        <f>IF(ISNUMBER(M184), (M184 - $B184) / $B184, "")</f>
        <v>6.1349693251533744E-3</v>
      </c>
      <c r="O184" s="205">
        <f>IF(ISNUMBER(M184), $B199 * N184, "")</f>
        <v>920.24539877300617</v>
      </c>
      <c r="Q184" s="267"/>
      <c r="R184" s="267"/>
      <c r="S184" s="267"/>
    </row>
    <row r="185" spans="1:19" ht="17.25" thickBot="1">
      <c r="A185" s="124" t="s">
        <v>142</v>
      </c>
      <c r="B185" s="125">
        <v>432</v>
      </c>
      <c r="C185" s="73">
        <v>-1.8181818200000002E-2</v>
      </c>
      <c r="D185" s="125">
        <v>452</v>
      </c>
      <c r="E185" s="73">
        <f t="shared" ref="E185:E188" si="98">IF(ISNUMBER(D185), (D185 - $B185) / $B185, "")</f>
        <v>4.6296296296296294E-2</v>
      </c>
      <c r="F185" s="136">
        <f>IF(ISNUMBER(D185), $B199 * E185, "")</f>
        <v>6944.4444444444443</v>
      </c>
      <c r="G185" s="39">
        <v>436</v>
      </c>
      <c r="H185" s="73">
        <f t="shared" ref="H185:H188" si="99">IF(ISNUMBER(G185), (G185 - $B185) / $B185, "")</f>
        <v>9.2592592592592587E-3</v>
      </c>
      <c r="I185" s="202">
        <f>IF(ISNUMBER(G185), $B199 * H185, "")</f>
        <v>1388.8888888888889</v>
      </c>
      <c r="J185" s="125">
        <v>439</v>
      </c>
      <c r="K185" s="73">
        <f t="shared" ref="K185:K188" si="100">IF(ISNUMBER(J185), (J185 - $B185) / $B185, "")</f>
        <v>1.6203703703703703E-2</v>
      </c>
      <c r="L185" s="136">
        <f>IF(ISNUMBER(J185), $B199 * K185, "")</f>
        <v>2430.5555555555552</v>
      </c>
      <c r="M185" s="39">
        <v>431</v>
      </c>
      <c r="N185" s="73">
        <f t="shared" ref="N185:N188" si="101">IF(ISNUMBER(M185), (M185 - $B185) / $B185, "")</f>
        <v>-2.3148148148148147E-3</v>
      </c>
      <c r="O185" s="136">
        <f>IF(ISNUMBER(M185), $B199 * N185, "")</f>
        <v>-347.22222222222223</v>
      </c>
      <c r="Q185" s="267"/>
      <c r="R185" s="267"/>
      <c r="S185" s="267"/>
    </row>
    <row r="186" spans="1:19" ht="17.25" thickBot="1">
      <c r="A186" s="124" t="s">
        <v>130</v>
      </c>
      <c r="B186" s="125">
        <v>447150</v>
      </c>
      <c r="C186" s="73">
        <v>-1.9407894700000001E-2</v>
      </c>
      <c r="D186" s="125">
        <v>471550</v>
      </c>
      <c r="E186" s="73">
        <f t="shared" si="98"/>
        <v>5.4567818405456783E-2</v>
      </c>
      <c r="F186" s="136">
        <f>IF(ISNUMBER(D186), $B199 * E186, "")</f>
        <v>8185.1727608185174</v>
      </c>
      <c r="G186" s="39">
        <v>461800</v>
      </c>
      <c r="H186" s="73">
        <f t="shared" si="99"/>
        <v>3.2763054903276308E-2</v>
      </c>
      <c r="I186" s="202">
        <f>IF(ISNUMBER(G186), $B199 * H186, "")</f>
        <v>4914.4582354914464</v>
      </c>
      <c r="J186" s="125">
        <v>459950</v>
      </c>
      <c r="K186" s="73">
        <f t="shared" si="100"/>
        <v>2.8625740802862575E-2</v>
      </c>
      <c r="L186" s="136">
        <f>IF(ISNUMBER(J186), $B199 * K186, "")</f>
        <v>4293.8611204293866</v>
      </c>
      <c r="M186" s="39">
        <v>447250</v>
      </c>
      <c r="N186" s="73">
        <f t="shared" si="101"/>
        <v>2.2363860002236387E-4</v>
      </c>
      <c r="O186" s="136">
        <f>IF(ISNUMBER(M186), $B199 * N186, "")</f>
        <v>33.545790003354583</v>
      </c>
      <c r="Q186" s="267"/>
      <c r="R186" s="267"/>
      <c r="S186" s="267"/>
    </row>
    <row r="187" spans="1:19" ht="17.25" thickBot="1">
      <c r="A187" s="124" t="s">
        <v>170</v>
      </c>
      <c r="B187" s="125">
        <v>521</v>
      </c>
      <c r="C187" s="73">
        <v>-2.0676691699999999E-2</v>
      </c>
      <c r="D187" s="125">
        <v>538</v>
      </c>
      <c r="E187" s="73">
        <f t="shared" si="98"/>
        <v>3.2629558541266791E-2</v>
      </c>
      <c r="F187" s="136">
        <f>IF(ISNUMBER(D187), $B199 * E187, "")</f>
        <v>4894.4337811900186</v>
      </c>
      <c r="G187" s="39">
        <v>537</v>
      </c>
      <c r="H187" s="73">
        <f t="shared" si="99"/>
        <v>3.0710172744721688E-2</v>
      </c>
      <c r="I187" s="202">
        <f>IF(ISNUMBER(G187), $B199 * H187, "")</f>
        <v>4606.5259117082533</v>
      </c>
      <c r="J187" s="125">
        <v>529</v>
      </c>
      <c r="K187" s="73">
        <f t="shared" si="100"/>
        <v>1.5355086372360844E-2</v>
      </c>
      <c r="L187" s="136">
        <f>IF(ISNUMBER(J187), $B199 * K187, "")</f>
        <v>2303.2629558541266</v>
      </c>
      <c r="M187" s="39">
        <v>525</v>
      </c>
      <c r="N187" s="73">
        <f t="shared" si="101"/>
        <v>7.677543186180422E-3</v>
      </c>
      <c r="O187" s="136">
        <f>IF(ISNUMBER(M187), $B199 * N187, "")</f>
        <v>1151.6314779270633</v>
      </c>
      <c r="Q187" s="33"/>
      <c r="R187" s="33"/>
    </row>
    <row r="188" spans="1:19" ht="17.25" thickBot="1">
      <c r="A188" s="129" t="s">
        <v>272</v>
      </c>
      <c r="B188" s="130">
        <v>2485</v>
      </c>
      <c r="C188" s="75">
        <v>-2.3575638499999999E-2</v>
      </c>
      <c r="D188" s="130">
        <v>2760</v>
      </c>
      <c r="E188" s="75">
        <f t="shared" si="98"/>
        <v>0.11066398390342053</v>
      </c>
      <c r="F188" s="137">
        <f>IF(ISNUMBER(D188), $B199 * E188, "")</f>
        <v>16599.597585513078</v>
      </c>
      <c r="G188" s="37">
        <v>2655</v>
      </c>
      <c r="H188" s="75">
        <f t="shared" si="99"/>
        <v>6.8410462776659964E-2</v>
      </c>
      <c r="I188" s="207">
        <f>IF(ISNUMBER(G188), $B199 * H188, "")</f>
        <v>10261.569416498995</v>
      </c>
      <c r="J188" s="130">
        <v>2700</v>
      </c>
      <c r="K188" s="75">
        <f t="shared" si="100"/>
        <v>8.651911468812877E-2</v>
      </c>
      <c r="L188" s="137">
        <f>IF(ISNUMBER(J188), $B199 * K188, "")</f>
        <v>12977.867203219315</v>
      </c>
      <c r="M188" s="37">
        <v>2565</v>
      </c>
      <c r="N188" s="75">
        <f t="shared" si="101"/>
        <v>3.2193158953722337E-2</v>
      </c>
      <c r="O188" s="137">
        <f>IF(ISNUMBER(M188), $B199 * N188, "")</f>
        <v>4828.9738430583502</v>
      </c>
      <c r="Q188" s="276"/>
      <c r="R188" s="277"/>
      <c r="S188" s="278"/>
    </row>
    <row r="189" spans="1:19">
      <c r="A189" s="122" t="s">
        <v>76</v>
      </c>
      <c r="B189" s="123">
        <v>57420</v>
      </c>
      <c r="C189" s="72">
        <v>-2.39673636E-2</v>
      </c>
      <c r="D189" s="123">
        <v>59790</v>
      </c>
      <c r="E189" s="72">
        <f>IF(ISNUMBER(D189), (D189 - $B189) / $B189, "")</f>
        <v>4.1274817136886105E-2</v>
      </c>
      <c r="F189" s="140">
        <f>IF(ISNUMBER(D189), $B199 * E189, "")</f>
        <v>6191.2225705329156</v>
      </c>
      <c r="G189" s="38">
        <v>58320</v>
      </c>
      <c r="H189" s="72">
        <f>IF(ISNUMBER(G189), (G189 - $B189) / $B189, "")</f>
        <v>1.5673981191222569E-2</v>
      </c>
      <c r="I189" s="201">
        <f>IF(ISNUMBER(G189), $B199 * H189, "")</f>
        <v>2351.0971786833852</v>
      </c>
      <c r="J189" s="123">
        <v>58930</v>
      </c>
      <c r="K189" s="72">
        <f>IF(ISNUMBER(J189), (J189 - $B189) / $B189, "")</f>
        <v>2.629745733194009E-2</v>
      </c>
      <c r="L189" s="140">
        <f>IF(ISNUMBER(J189), $B199 * K189, "")</f>
        <v>3944.6185997910134</v>
      </c>
      <c r="M189" s="38">
        <v>58130</v>
      </c>
      <c r="N189" s="72">
        <f>IF(ISNUMBER(M189), (M189 - $B189) / $B189, "")</f>
        <v>1.2365029606408917E-2</v>
      </c>
      <c r="O189" s="140">
        <f>IF(ISNUMBER(M189), $B199 * N189, "")</f>
        <v>1854.7544409613377</v>
      </c>
      <c r="Q189" s="279"/>
      <c r="R189" s="280"/>
      <c r="S189" s="281"/>
    </row>
    <row r="190" spans="1:19" ht="17.25" thickBot="1">
      <c r="A190" s="124" t="s">
        <v>51</v>
      </c>
      <c r="B190" s="125">
        <v>813</v>
      </c>
      <c r="C190" s="73">
        <v>-2.86738351E-2</v>
      </c>
      <c r="D190" s="125">
        <v>856</v>
      </c>
      <c r="E190" s="73">
        <f t="shared" ref="E190:E193" si="102">IF(ISNUMBER(D190), (D190 - $B190) / $B190, "")</f>
        <v>5.2890528905289051E-2</v>
      </c>
      <c r="F190" s="136">
        <f>IF(ISNUMBER(D190), $B199 * E190, "")</f>
        <v>7933.579335793358</v>
      </c>
      <c r="G190" s="39">
        <v>835</v>
      </c>
      <c r="H190" s="73">
        <f t="shared" ref="H190:H193" si="103">IF(ISNUMBER(G190), (G190 - $B190) / $B190, "")</f>
        <v>2.7060270602706028E-2</v>
      </c>
      <c r="I190" s="202">
        <f>IF(ISNUMBER(G190), $B199 * H190, "")</f>
        <v>4059.0405904059044</v>
      </c>
      <c r="J190" s="125">
        <v>836</v>
      </c>
      <c r="K190" s="73">
        <f t="shared" ref="K190:K193" si="104">IF(ISNUMBER(J190), (J190 - $B190) / $B190, "")</f>
        <v>2.8290282902829027E-2</v>
      </c>
      <c r="L190" s="136">
        <f>IF(ISNUMBER(J190), $B199 * K190, "")</f>
        <v>4243.5424354243542</v>
      </c>
      <c r="M190" s="39">
        <v>816</v>
      </c>
      <c r="N190" s="73">
        <f t="shared" ref="N190:N193" si="105">IF(ISNUMBER(M190), (M190 - $B190) / $B190, "")</f>
        <v>3.6900369003690036E-3</v>
      </c>
      <c r="O190" s="136">
        <f>IF(ISNUMBER(M190), $B199 * N190, "")</f>
        <v>553.50553505535049</v>
      </c>
      <c r="Q190" s="282"/>
      <c r="R190" s="283"/>
      <c r="S190" s="284"/>
    </row>
    <row r="191" spans="1:19" ht="17.25" thickBot="1">
      <c r="A191" s="124" t="s">
        <v>168</v>
      </c>
      <c r="B191" s="125">
        <v>226</v>
      </c>
      <c r="C191" s="73">
        <v>-3.0042918500000002E-2</v>
      </c>
      <c r="D191" s="125">
        <v>240</v>
      </c>
      <c r="E191" s="73">
        <f t="shared" si="102"/>
        <v>6.1946902654867256E-2</v>
      </c>
      <c r="F191" s="136">
        <f>IF(ISNUMBER(D191), $B199 * E191, "")</f>
        <v>9292.0353982300876</v>
      </c>
      <c r="G191" s="39">
        <v>232</v>
      </c>
      <c r="H191" s="73">
        <f t="shared" si="103"/>
        <v>2.6548672566371681E-2</v>
      </c>
      <c r="I191" s="202">
        <f>IF(ISNUMBER(G191), $B199 * H191, "")</f>
        <v>3982.3008849557523</v>
      </c>
      <c r="J191" s="125">
        <v>230</v>
      </c>
      <c r="K191" s="73">
        <f t="shared" si="104"/>
        <v>1.7699115044247787E-2</v>
      </c>
      <c r="L191" s="136">
        <f>IF(ISNUMBER(J191), $B199 * K191, "")</f>
        <v>2654.8672566371679</v>
      </c>
      <c r="M191" s="39">
        <v>224</v>
      </c>
      <c r="N191" s="73">
        <f t="shared" si="105"/>
        <v>-8.8495575221238937E-3</v>
      </c>
      <c r="O191" s="136">
        <f>IF(ISNUMBER(M191), $B199 * N191, "")</f>
        <v>-1327.4336283185839</v>
      </c>
      <c r="Q191" s="267"/>
      <c r="R191" s="267"/>
      <c r="S191" s="267"/>
    </row>
    <row r="192" spans="1:19" ht="17.25" thickBot="1">
      <c r="A192" s="124" t="s">
        <v>49</v>
      </c>
      <c r="B192" s="125">
        <v>68737000</v>
      </c>
      <c r="C192" s="73">
        <v>-3.0535104800000001E-2</v>
      </c>
      <c r="D192" s="125">
        <v>70070000</v>
      </c>
      <c r="E192" s="73">
        <f t="shared" si="102"/>
        <v>1.9392757903312626E-2</v>
      </c>
      <c r="F192" s="136">
        <f>IF(ISNUMBER(D192), $B199 * E192, "")</f>
        <v>2908.9136854968938</v>
      </c>
      <c r="G192" s="39">
        <v>69075000</v>
      </c>
      <c r="H192" s="73">
        <f t="shared" si="103"/>
        <v>4.9172934518527138E-3</v>
      </c>
      <c r="I192" s="202">
        <f>IF(ISNUMBER(G192), $B199 * H192, "")</f>
        <v>737.59401777790708</v>
      </c>
      <c r="J192" s="125">
        <v>69239000</v>
      </c>
      <c r="K192" s="73">
        <f t="shared" si="104"/>
        <v>7.3031991503847999E-3</v>
      </c>
      <c r="L192" s="136">
        <f>IF(ISNUMBER(J192), $B199 * K192, "")</f>
        <v>1095.47987255772</v>
      </c>
      <c r="M192" s="39">
        <v>69195000</v>
      </c>
      <c r="N192" s="73">
        <f t="shared" si="105"/>
        <v>6.663078109315216E-3</v>
      </c>
      <c r="O192" s="136">
        <f>IF(ISNUMBER(M192), $B199 * N192, "")</f>
        <v>999.46171639728243</v>
      </c>
      <c r="Q192" s="262"/>
      <c r="R192" s="262"/>
      <c r="S192" s="262"/>
    </row>
    <row r="193" spans="1:19" ht="17.25" thickBot="1">
      <c r="A193" s="126" t="s">
        <v>248</v>
      </c>
      <c r="B193" s="127">
        <v>3635</v>
      </c>
      <c r="C193" s="74">
        <v>-3.0666666700000001E-2</v>
      </c>
      <c r="D193" s="127">
        <v>3875</v>
      </c>
      <c r="E193" s="74">
        <f t="shared" si="102"/>
        <v>6.6024759284731768E-2</v>
      </c>
      <c r="F193" s="203">
        <f>IF(ISNUMBER(D193), $B199 * E193, "")</f>
        <v>9903.7138927097658</v>
      </c>
      <c r="G193" s="44">
        <v>3770</v>
      </c>
      <c r="H193" s="74">
        <f t="shared" si="103"/>
        <v>3.7138927097661624E-2</v>
      </c>
      <c r="I193" s="204">
        <f>IF(ISNUMBER(G193), $B199 * H193, "")</f>
        <v>5570.8390646492435</v>
      </c>
      <c r="J193" s="127">
        <v>3725</v>
      </c>
      <c r="K193" s="74">
        <f t="shared" si="104"/>
        <v>2.4759284731774415E-2</v>
      </c>
      <c r="L193" s="203">
        <f>IF(ISNUMBER(J193), $B199 * K193, "")</f>
        <v>3713.8927097661622</v>
      </c>
      <c r="M193" s="44">
        <v>3590</v>
      </c>
      <c r="N193" s="74">
        <f t="shared" si="105"/>
        <v>-1.2379642365887207E-2</v>
      </c>
      <c r="O193" s="203">
        <f>IF(ISNUMBER(M193), $B199 * N193, "")</f>
        <v>-1856.9463548830811</v>
      </c>
      <c r="Q193" s="262"/>
      <c r="R193" s="262"/>
      <c r="S193" s="262"/>
    </row>
    <row r="194" spans="1:19" ht="17.25" thickBot="1">
      <c r="A194" s="124" t="s">
        <v>280</v>
      </c>
      <c r="B194" s="128">
        <v>1765</v>
      </c>
      <c r="C194" s="76">
        <v>-3.2876712299999999E-2</v>
      </c>
      <c r="D194" s="128">
        <v>1845</v>
      </c>
      <c r="E194" s="76">
        <f>IF(ISNUMBER(D194), (D194 - $B194) / $B194, "")</f>
        <v>4.5325779036827198E-2</v>
      </c>
      <c r="F194" s="205">
        <f>IF(ISNUMBER(D194), $B199 * E194, "")</f>
        <v>6798.8668555240793</v>
      </c>
      <c r="G194" s="45">
        <v>1805</v>
      </c>
      <c r="H194" s="76">
        <f>IF(ISNUMBER(G194), (G194 - $B194) / $B194, "")</f>
        <v>2.2662889518413599E-2</v>
      </c>
      <c r="I194" s="206">
        <f>IF(ISNUMBER(G194), $B199 * H194, "")</f>
        <v>3399.4334277620396</v>
      </c>
      <c r="J194" s="128">
        <v>1800</v>
      </c>
      <c r="K194" s="76">
        <f>IF(ISNUMBER(J194), (J194 - $B194) / $B194, "")</f>
        <v>1.9830028328611898E-2</v>
      </c>
      <c r="L194" s="205">
        <f>IF(ISNUMBER(J194), $B199 * K194, "")</f>
        <v>2974.5042492917846</v>
      </c>
      <c r="M194" s="45">
        <v>1750</v>
      </c>
      <c r="N194" s="76">
        <f>IF(ISNUMBER(M194), (M194 - $B194) / $B194, "")</f>
        <v>-8.4985835694051E-3</v>
      </c>
      <c r="O194" s="205">
        <f>IF(ISNUMBER(M194), $B199 * N194, "")</f>
        <v>-1274.787535410765</v>
      </c>
      <c r="Q194" s="267"/>
      <c r="R194" s="267"/>
      <c r="S194" s="267"/>
    </row>
    <row r="195" spans="1:19" ht="17.25" thickBot="1">
      <c r="A195" s="124" t="s">
        <v>276</v>
      </c>
      <c r="B195" s="125">
        <v>5080</v>
      </c>
      <c r="C195" s="73">
        <v>-4.1509433999999998E-2</v>
      </c>
      <c r="D195" s="125">
        <v>6045</v>
      </c>
      <c r="E195" s="73">
        <f t="shared" ref="E195:E198" si="106">IF(ISNUMBER(D195), (D195 - $B195) / $B195, "")</f>
        <v>0.18996062992125984</v>
      </c>
      <c r="F195" s="136">
        <f>IF(ISNUMBER(D195), $B199 * E195, "")</f>
        <v>28494.094488188977</v>
      </c>
      <c r="G195" s="39">
        <v>5705</v>
      </c>
      <c r="H195" s="73">
        <f t="shared" ref="H195:H198" si="107">IF(ISNUMBER(G195), (G195 - $B195) / $B195, "")</f>
        <v>0.12303149606299213</v>
      </c>
      <c r="I195" s="202">
        <f>IF(ISNUMBER(G195), $B199 * H195, "")</f>
        <v>18454.72440944882</v>
      </c>
      <c r="J195" s="125">
        <v>5635</v>
      </c>
      <c r="K195" s="73">
        <f t="shared" ref="K195:K198" si="108">IF(ISNUMBER(J195), (J195 - $B195) / $B195, "")</f>
        <v>0.10925196850393701</v>
      </c>
      <c r="L195" s="136">
        <f>IF(ISNUMBER(J195), $B199 * K195, "")</f>
        <v>16387.79527559055</v>
      </c>
      <c r="M195" s="39">
        <v>5215</v>
      </c>
      <c r="N195" s="73">
        <f t="shared" ref="N195:N198" si="109">IF(ISNUMBER(M195), (M195 - $B195) / $B195, "")</f>
        <v>2.6574803149606301E-2</v>
      </c>
      <c r="O195" s="136">
        <f>IF(ISNUMBER(M195), $B199 * N195, "")</f>
        <v>3986.2204724409453</v>
      </c>
      <c r="Q195" s="267"/>
      <c r="R195" s="267"/>
      <c r="S195" s="267"/>
    </row>
    <row r="196" spans="1:19" ht="17.25" thickBot="1">
      <c r="A196" s="124" t="s">
        <v>102</v>
      </c>
      <c r="B196" s="125">
        <v>131850</v>
      </c>
      <c r="C196" s="73">
        <v>-4.5257060100000003E-2</v>
      </c>
      <c r="D196" s="125">
        <v>135650</v>
      </c>
      <c r="E196" s="73">
        <f t="shared" si="106"/>
        <v>2.8820629503223359E-2</v>
      </c>
      <c r="F196" s="136">
        <f>IF(ISNUMBER(D196), $B199 * E196, "")</f>
        <v>4323.094425483504</v>
      </c>
      <c r="G196" s="39">
        <v>132600</v>
      </c>
      <c r="H196" s="73">
        <f t="shared" si="107"/>
        <v>5.6882821387940841E-3</v>
      </c>
      <c r="I196" s="202">
        <f>IF(ISNUMBER(G196), $B199 * H196, "")</f>
        <v>853.24232081911259</v>
      </c>
      <c r="J196" s="125">
        <v>132000</v>
      </c>
      <c r="K196" s="73">
        <f t="shared" si="108"/>
        <v>1.1376564277588168E-3</v>
      </c>
      <c r="L196" s="136">
        <f>IF(ISNUMBER(J196), $B199 * K196, "")</f>
        <v>170.64846416382252</v>
      </c>
      <c r="M196" s="39">
        <v>130150</v>
      </c>
      <c r="N196" s="73">
        <f t="shared" si="109"/>
        <v>-1.2893439514599925E-2</v>
      </c>
      <c r="O196" s="136">
        <f>IF(ISNUMBER(M196), $B199 * N196, "")</f>
        <v>-1934.0159271899888</v>
      </c>
      <c r="Q196" s="267"/>
      <c r="R196" s="267"/>
      <c r="S196" s="267"/>
    </row>
    <row r="197" spans="1:19">
      <c r="A197" s="124" t="s">
        <v>140</v>
      </c>
      <c r="B197" s="125">
        <v>3960</v>
      </c>
      <c r="C197" s="73">
        <v>-4.5783132499999997E-2</v>
      </c>
      <c r="D197" s="125">
        <v>4235</v>
      </c>
      <c r="E197" s="73">
        <f t="shared" si="106"/>
        <v>6.9444444444444448E-2</v>
      </c>
      <c r="F197" s="136">
        <f>IF(ISNUMBER(D197), $B199 * E197, "")</f>
        <v>10416.666666666668</v>
      </c>
      <c r="G197" s="39">
        <v>4250</v>
      </c>
      <c r="H197" s="73">
        <f t="shared" si="107"/>
        <v>7.3232323232323232E-2</v>
      </c>
      <c r="I197" s="202">
        <f>IF(ISNUMBER(G197), $B199 * H197, "")</f>
        <v>10984.848484848484</v>
      </c>
      <c r="J197" s="125">
        <v>4285</v>
      </c>
      <c r="K197" s="73">
        <f t="shared" si="108"/>
        <v>8.2070707070707072E-2</v>
      </c>
      <c r="L197" s="136">
        <f>IF(ISNUMBER(J197), $B199 * K197, "")</f>
        <v>12310.60606060606</v>
      </c>
      <c r="M197" s="39">
        <v>4200</v>
      </c>
      <c r="N197" s="73">
        <f t="shared" si="109"/>
        <v>6.0606060606060608E-2</v>
      </c>
      <c r="O197" s="136">
        <f>IF(ISNUMBER(M197), $B199 * N197, "")</f>
        <v>9090.9090909090919</v>
      </c>
      <c r="Q197" s="289"/>
      <c r="R197" s="290"/>
      <c r="S197" s="291"/>
    </row>
    <row r="198" spans="1:19" ht="17.25" thickBot="1">
      <c r="A198" s="129" t="s">
        <v>242</v>
      </c>
      <c r="B198" s="130">
        <v>10340</v>
      </c>
      <c r="C198" s="75">
        <v>-6.7628494100000006E-2</v>
      </c>
      <c r="D198" s="130">
        <v>10730</v>
      </c>
      <c r="E198" s="75">
        <f t="shared" si="106"/>
        <v>3.7717601547388784E-2</v>
      </c>
      <c r="F198" s="137">
        <f>IF(ISNUMBER(D198), $B199 * E198, "")</f>
        <v>5657.6402321083178</v>
      </c>
      <c r="G198" s="37">
        <v>10550</v>
      </c>
      <c r="H198" s="75">
        <f t="shared" si="107"/>
        <v>2.0309477756286266E-2</v>
      </c>
      <c r="I198" s="207">
        <f>IF(ISNUMBER(G198), $B199 * H198, "")</f>
        <v>3046.4216634429399</v>
      </c>
      <c r="J198" s="130">
        <v>10420</v>
      </c>
      <c r="K198" s="75">
        <f t="shared" si="108"/>
        <v>7.7369439071566732E-3</v>
      </c>
      <c r="L198" s="137">
        <f>IF(ISNUMBER(J198), $B199 * K198, "")</f>
        <v>1160.5415860735009</v>
      </c>
      <c r="M198" s="37">
        <v>10090</v>
      </c>
      <c r="N198" s="75">
        <f t="shared" si="109"/>
        <v>-2.4177949709864602E-2</v>
      </c>
      <c r="O198" s="137">
        <f>IF(ISNUMBER(M198), $B199 * N198, "")</f>
        <v>-3626.6924564796905</v>
      </c>
      <c r="Q198" s="292"/>
      <c r="R198" s="293"/>
      <c r="S198" s="294"/>
    </row>
    <row r="199" spans="1:19" ht="17.25" thickBot="1">
      <c r="A199" s="131" t="s">
        <v>301</v>
      </c>
      <c r="B199" s="300">
        <f>$B$37</f>
        <v>150000</v>
      </c>
      <c r="C199" s="301"/>
      <c r="D199" s="131" t="s">
        <v>302</v>
      </c>
      <c r="E199" s="215">
        <f>IF(COUNT(E179:E198), SUM(E179:E198) / COUNT(E179:E198), 0)</f>
        <v>5.8842874429450562E-2</v>
      </c>
      <c r="F199" s="208">
        <f>SUM(F179:F198)</f>
        <v>176528.62328835172</v>
      </c>
      <c r="G199" s="131" t="s">
        <v>302</v>
      </c>
      <c r="H199" s="215">
        <f>IF(COUNT(H179:H198), SUM(H179:H198) / COUNT(H179:H198), 0)</f>
        <v>3.507070256590529E-2</v>
      </c>
      <c r="I199" s="208">
        <f>SUM(I179:I198)</f>
        <v>105212.10769771587</v>
      </c>
      <c r="J199" s="131" t="s">
        <v>302</v>
      </c>
      <c r="K199" s="215">
        <f>IF(COUNT(K179:K198), SUM(K179:K198) / COUNT(K179:K198), 0)</f>
        <v>3.3772675343432375E-2</v>
      </c>
      <c r="L199" s="208">
        <f>SUM(L179:L198)</f>
        <v>101318.02603029711</v>
      </c>
      <c r="M199" s="131" t="s">
        <v>302</v>
      </c>
      <c r="N199" s="215">
        <f>IF(COUNT(N179:N198), SUM(N179:N198) / COUNT(N179:N198), 0)</f>
        <v>1.1130279945033789E-2</v>
      </c>
      <c r="O199" s="208">
        <f>SUM(O179:O198)</f>
        <v>33390.839835101375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13" priority="157">
      <formula>AND($N17 &gt; 0, ISNUMBER($N17))</formula>
    </cfRule>
    <cfRule type="expression" dxfId="712" priority="158">
      <formula>AND($N17 = 0 * ISNUMBER($N17))</formula>
    </cfRule>
    <cfRule type="expression" dxfId="711" priority="159">
      <formula>AND($N17 &lt; 0, ISNUMBER($N17))</formula>
    </cfRule>
  </conditionalFormatting>
  <conditionalFormatting sqref="A17:F36">
    <cfRule type="expression" dxfId="710" priority="166">
      <formula>AND($E17 &gt; 0, ISNUMBER($E17))</formula>
    </cfRule>
    <cfRule type="expression" dxfId="709" priority="167">
      <formula>AND($E17 = 0 * ISNUMBER($E17))</formula>
    </cfRule>
    <cfRule type="expression" dxfId="708" priority="168">
      <formula>AND($E17 &lt; 0, ISNUMBER($E17))</formula>
    </cfRule>
  </conditionalFormatting>
  <conditionalFormatting sqref="A17:C36 G17:I36">
    <cfRule type="expression" dxfId="707" priority="163">
      <formula>AND($H17 &gt; 0, ISNUMBER($H17))</formula>
    </cfRule>
    <cfRule type="expression" dxfId="706" priority="164">
      <formula>AND($H17 = 0 * ISNUMBER($H17))</formula>
    </cfRule>
    <cfRule type="expression" dxfId="705" priority="165">
      <formula>AND($H17 &lt; 0, ISNUMBER($H17))</formula>
    </cfRule>
  </conditionalFormatting>
  <conditionalFormatting sqref="A17:C36 J17:L36">
    <cfRule type="expression" dxfId="704" priority="160">
      <formula>AND($K17 &gt; 0, ISNUMBER($K17))</formula>
    </cfRule>
    <cfRule type="expression" dxfId="703" priority="161">
      <formula>AND($K17 = 0 * ISNUMBER($K17))</formula>
    </cfRule>
    <cfRule type="expression" dxfId="702" priority="162">
      <formula>AND($K17 &lt; 0, ISNUMBER($K17))</formula>
    </cfRule>
  </conditionalFormatting>
  <conditionalFormatting sqref="D15:F16 E37:F37">
    <cfRule type="expression" dxfId="701" priority="154">
      <formula>$E$37 &gt; 0</formula>
    </cfRule>
    <cfRule type="expression" dxfId="700" priority="155">
      <formula>$E$37 = 0</formula>
    </cfRule>
    <cfRule type="expression" dxfId="699" priority="156">
      <formula>$E$37 &lt; 0</formula>
    </cfRule>
  </conditionalFormatting>
  <conditionalFormatting sqref="G15:I16 H37:I37">
    <cfRule type="expression" dxfId="698" priority="151">
      <formula>$H$37 &gt; 0</formula>
    </cfRule>
    <cfRule type="expression" dxfId="697" priority="152">
      <formula>$H$37 = 0</formula>
    </cfRule>
    <cfRule type="expression" dxfId="696" priority="153">
      <formula>$H$37 &lt; 0</formula>
    </cfRule>
  </conditionalFormatting>
  <conditionalFormatting sqref="J15:L16 K37:L37">
    <cfRule type="expression" dxfId="695" priority="148">
      <formula>$K$37 &gt; 0</formula>
    </cfRule>
    <cfRule type="expression" dxfId="694" priority="149">
      <formula>$K$37 = 0</formula>
    </cfRule>
    <cfRule type="expression" dxfId="693" priority="150">
      <formula>$K$37 &lt; 0</formula>
    </cfRule>
  </conditionalFormatting>
  <conditionalFormatting sqref="M15:O16 N37:O37">
    <cfRule type="expression" dxfId="692" priority="145">
      <formula>$N$37 &gt; 0</formula>
    </cfRule>
    <cfRule type="expression" dxfId="691" priority="146">
      <formula>$N$37 = 0</formula>
    </cfRule>
    <cfRule type="expression" dxfId="690" priority="147">
      <formula>$N$37 &lt; 0</formula>
    </cfRule>
  </conditionalFormatting>
  <conditionalFormatting sqref="A44:C63 M44:O63">
    <cfRule type="expression" dxfId="689" priority="133">
      <formula>AND($N44 &gt; 0, ISNUMBER($N44))</formula>
    </cfRule>
    <cfRule type="expression" dxfId="688" priority="134">
      <formula>AND($N44 = 0 * ISNUMBER($N44))</formula>
    </cfRule>
    <cfRule type="expression" dxfId="687" priority="135">
      <formula>AND($N44 &lt; 0, ISNUMBER($N44))</formula>
    </cfRule>
  </conditionalFormatting>
  <conditionalFormatting sqref="A44:F63">
    <cfRule type="expression" dxfId="686" priority="142">
      <formula>AND($E44 &gt; 0, ISNUMBER($E44))</formula>
    </cfRule>
    <cfRule type="expression" dxfId="685" priority="143">
      <formula>AND($E44 = 0 * ISNUMBER($E44))</formula>
    </cfRule>
    <cfRule type="expression" dxfId="684" priority="144">
      <formula>AND($E44 &lt; 0, ISNUMBER($E44))</formula>
    </cfRule>
  </conditionalFormatting>
  <conditionalFormatting sqref="A44:C63 G44:I63">
    <cfRule type="expression" dxfId="683" priority="139">
      <formula>AND($H44 &gt; 0, ISNUMBER($H44))</formula>
    </cfRule>
    <cfRule type="expression" dxfId="682" priority="140">
      <formula>AND($H44 = 0 * ISNUMBER($H44))</formula>
    </cfRule>
    <cfRule type="expression" dxfId="681" priority="141">
      <formula>AND($H44 &lt; 0, ISNUMBER($H44))</formula>
    </cfRule>
  </conditionalFormatting>
  <conditionalFormatting sqref="A44:C63 J44:L63">
    <cfRule type="expression" dxfId="680" priority="136">
      <formula>AND($K44 &gt; 0, ISNUMBER($K44))</formula>
    </cfRule>
    <cfRule type="expression" dxfId="679" priority="137">
      <formula>AND($K44 = 0 * ISNUMBER($K44))</formula>
    </cfRule>
    <cfRule type="expression" dxfId="678" priority="138">
      <formula>AND($K44 &lt; 0, ISNUMBER($K44))</formula>
    </cfRule>
  </conditionalFormatting>
  <conditionalFormatting sqref="D42:F43 E64:F64">
    <cfRule type="expression" dxfId="677" priority="130">
      <formula>$E$64 &gt; 0</formula>
    </cfRule>
    <cfRule type="expression" dxfId="676" priority="131">
      <formula>$E$64 = 0</formula>
    </cfRule>
    <cfRule type="expression" dxfId="675" priority="132">
      <formula>$E$64 &lt; 0</formula>
    </cfRule>
  </conditionalFormatting>
  <conditionalFormatting sqref="G42:I43 H64:I64">
    <cfRule type="expression" dxfId="674" priority="127">
      <formula>$H$64 &gt; 0</formula>
    </cfRule>
    <cfRule type="expression" dxfId="673" priority="128">
      <formula>$H$64 = 0</formula>
    </cfRule>
    <cfRule type="expression" dxfId="672" priority="129">
      <formula>$H$64 &lt; 0</formula>
    </cfRule>
  </conditionalFormatting>
  <conditionalFormatting sqref="J42:L43 K64:L64">
    <cfRule type="expression" dxfId="671" priority="124">
      <formula>$K$64 &gt; 0</formula>
    </cfRule>
    <cfRule type="expression" dxfId="670" priority="125">
      <formula>$K$64 = 0</formula>
    </cfRule>
    <cfRule type="expression" dxfId="669" priority="126">
      <formula>$K$64 &lt; 0</formula>
    </cfRule>
  </conditionalFormatting>
  <conditionalFormatting sqref="M42:O43 N64:O64">
    <cfRule type="expression" dxfId="668" priority="121">
      <formula>$N$64 &gt; 0</formula>
    </cfRule>
    <cfRule type="expression" dxfId="667" priority="122">
      <formula>$N$64 = 0</formula>
    </cfRule>
    <cfRule type="expression" dxfId="666" priority="123">
      <formula>$N$64 &lt; 0</formula>
    </cfRule>
  </conditionalFormatting>
  <conditionalFormatting sqref="A71:C90 M71:O90">
    <cfRule type="expression" dxfId="665" priority="109">
      <formula>AND($N71 &gt; 0, ISNUMBER($N71))</formula>
    </cfRule>
    <cfRule type="expression" dxfId="664" priority="110">
      <formula>AND($N71 = 0 * ISNUMBER($N71))</formula>
    </cfRule>
    <cfRule type="expression" dxfId="663" priority="111">
      <formula>AND($N71 &lt; 0, ISNUMBER($N71))</formula>
    </cfRule>
  </conditionalFormatting>
  <conditionalFormatting sqref="A71:F90">
    <cfRule type="expression" dxfId="662" priority="118">
      <formula>AND($E71 &gt; 0, ISNUMBER($E71))</formula>
    </cfRule>
    <cfRule type="expression" dxfId="661" priority="119">
      <formula>AND($E71 = 0 * ISNUMBER($E71))</formula>
    </cfRule>
    <cfRule type="expression" dxfId="660" priority="120">
      <formula>AND($E71 &lt; 0, ISNUMBER($E71))</formula>
    </cfRule>
  </conditionalFormatting>
  <conditionalFormatting sqref="A71:C90 G71:I90">
    <cfRule type="expression" dxfId="659" priority="115">
      <formula>AND($H71 &gt; 0, ISNUMBER($H71))</formula>
    </cfRule>
    <cfRule type="expression" dxfId="658" priority="116">
      <formula>AND($H71 = 0 * ISNUMBER($H71))</formula>
    </cfRule>
    <cfRule type="expression" dxfId="657" priority="117">
      <formula>AND($H71 &lt; 0, ISNUMBER($H71))</formula>
    </cfRule>
  </conditionalFormatting>
  <conditionalFormatting sqref="A71:C90 J71:L90">
    <cfRule type="expression" dxfId="656" priority="112">
      <formula>AND($K71 &gt; 0, ISNUMBER($K71))</formula>
    </cfRule>
    <cfRule type="expression" dxfId="655" priority="113">
      <formula>AND($K71 = 0 * ISNUMBER($K71))</formula>
    </cfRule>
    <cfRule type="expression" dxfId="654" priority="114">
      <formula>AND($K71 &lt; 0, ISNUMBER($K71))</formula>
    </cfRule>
  </conditionalFormatting>
  <conditionalFormatting sqref="D69:F70 E91:F91">
    <cfRule type="expression" dxfId="653" priority="106">
      <formula>$E$91 &gt; 0</formula>
    </cfRule>
    <cfRule type="expression" dxfId="652" priority="107">
      <formula>$E$91 = 0</formula>
    </cfRule>
    <cfRule type="expression" dxfId="651" priority="108">
      <formula>$E$91 &lt; 0</formula>
    </cfRule>
  </conditionalFormatting>
  <conditionalFormatting sqref="G69:I70 H91:I91">
    <cfRule type="expression" dxfId="650" priority="103">
      <formula>$H$91 &gt; 0</formula>
    </cfRule>
    <cfRule type="expression" dxfId="649" priority="104">
      <formula>$H$91 = 0</formula>
    </cfRule>
    <cfRule type="expression" dxfId="648" priority="105">
      <formula>$H$91 &lt; 0</formula>
    </cfRule>
  </conditionalFormatting>
  <conditionalFormatting sqref="J69:L70 K91:L91">
    <cfRule type="expression" dxfId="647" priority="100">
      <formula>$K$91 &gt; 0</formula>
    </cfRule>
    <cfRule type="expression" dxfId="646" priority="101">
      <formula>$K$91 = 0</formula>
    </cfRule>
    <cfRule type="expression" dxfId="645" priority="102">
      <formula>$K$91 &lt; 0</formula>
    </cfRule>
  </conditionalFormatting>
  <conditionalFormatting sqref="M69:O70 N91:O91">
    <cfRule type="expression" dxfId="644" priority="97">
      <formula>$N$91 &gt; 0</formula>
    </cfRule>
    <cfRule type="expression" dxfId="643" priority="98">
      <formula>$N$91 = 0</formula>
    </cfRule>
    <cfRule type="expression" dxfId="642" priority="99">
      <formula>$N$91 &lt; 0</formula>
    </cfRule>
  </conditionalFormatting>
  <conditionalFormatting sqref="A98:C117 M98:O117">
    <cfRule type="expression" dxfId="641" priority="85">
      <formula>AND($N98 &gt; 0, ISNUMBER($N98))</formula>
    </cfRule>
    <cfRule type="expression" dxfId="640" priority="86">
      <formula>AND($N98 = 0 * ISNUMBER($N98))</formula>
    </cfRule>
    <cfRule type="expression" dxfId="639" priority="87">
      <formula>AND($N98 &lt; 0, ISNUMBER($N98))</formula>
    </cfRule>
  </conditionalFormatting>
  <conditionalFormatting sqref="A98:F117">
    <cfRule type="expression" dxfId="638" priority="94">
      <formula>AND($E98 &gt; 0, ISNUMBER($E98))</formula>
    </cfRule>
    <cfRule type="expression" dxfId="637" priority="95">
      <formula>AND($E98 = 0 * ISNUMBER($E98))</formula>
    </cfRule>
    <cfRule type="expression" dxfId="636" priority="96">
      <formula>AND($E98 &lt; 0, ISNUMBER($E98))</formula>
    </cfRule>
  </conditionalFormatting>
  <conditionalFormatting sqref="A98:C117 G98:I117">
    <cfRule type="expression" dxfId="635" priority="91">
      <formula>AND($H98 &gt; 0, ISNUMBER($H98))</formula>
    </cfRule>
    <cfRule type="expression" dxfId="634" priority="92">
      <formula>AND($H98 = 0 * ISNUMBER($H98))</formula>
    </cfRule>
    <cfRule type="expression" dxfId="633" priority="93">
      <formula>AND($H98 &lt; 0, ISNUMBER($H98))</formula>
    </cfRule>
  </conditionalFormatting>
  <conditionalFormatting sqref="A98:C117 J98:L117">
    <cfRule type="expression" dxfId="632" priority="88">
      <formula>AND($K98 &gt; 0, ISNUMBER($K98))</formula>
    </cfRule>
    <cfRule type="expression" dxfId="631" priority="89">
      <formula>AND($K98 = 0 * ISNUMBER($K98))</formula>
    </cfRule>
    <cfRule type="expression" dxfId="630" priority="90">
      <formula>AND($K98 &lt; 0, ISNUMBER($K98))</formula>
    </cfRule>
  </conditionalFormatting>
  <conditionalFormatting sqref="D96:F97 E118:F118">
    <cfRule type="expression" dxfId="629" priority="82">
      <formula>$E$118 &gt; 0</formula>
    </cfRule>
    <cfRule type="expression" dxfId="628" priority="83">
      <formula>$E$118 = 0</formula>
    </cfRule>
    <cfRule type="expression" dxfId="627" priority="84">
      <formula>$E$118 &lt; 0</formula>
    </cfRule>
  </conditionalFormatting>
  <conditionalFormatting sqref="G96:I97 H118:I118">
    <cfRule type="expression" dxfId="626" priority="79">
      <formula>$H$118 &gt; 0</formula>
    </cfRule>
    <cfRule type="expression" dxfId="625" priority="80">
      <formula>$H$118 = 0</formula>
    </cfRule>
    <cfRule type="expression" dxfId="624" priority="81">
      <formula>$H$118 &lt; 0</formula>
    </cfRule>
  </conditionalFormatting>
  <conditionalFormatting sqref="J96:L97 K118:L118">
    <cfRule type="expression" dxfId="623" priority="76">
      <formula>$K$118 &gt; 0</formula>
    </cfRule>
    <cfRule type="expression" dxfId="622" priority="77">
      <formula>$K$118 = 0</formula>
    </cfRule>
    <cfRule type="expression" dxfId="621" priority="78">
      <formula>$K$118 &lt; 0</formula>
    </cfRule>
  </conditionalFormatting>
  <conditionalFormatting sqref="M96:O97 N118:O118">
    <cfRule type="expression" dxfId="620" priority="73">
      <formula>$N$118 &gt; 0</formula>
    </cfRule>
    <cfRule type="expression" dxfId="619" priority="74">
      <formula>$N$118 = 0</formula>
    </cfRule>
    <cfRule type="expression" dxfId="618" priority="75">
      <formula>$N$118 &lt; 0</formula>
    </cfRule>
  </conditionalFormatting>
  <conditionalFormatting sqref="A125:C144 M125:O144">
    <cfRule type="expression" dxfId="617" priority="61">
      <formula>AND($N125 &gt; 0, ISNUMBER($N125))</formula>
    </cfRule>
    <cfRule type="expression" dxfId="616" priority="62">
      <formula>AND($N125 = 0 * ISNUMBER($N125))</formula>
    </cfRule>
    <cfRule type="expression" dxfId="615" priority="63">
      <formula>AND($N125 &lt; 0, ISNUMBER($N125))</formula>
    </cfRule>
  </conditionalFormatting>
  <conditionalFormatting sqref="A125:F144">
    <cfRule type="expression" dxfId="614" priority="70">
      <formula>AND($E125 &gt; 0, ISNUMBER($E125))</formula>
    </cfRule>
    <cfRule type="expression" dxfId="613" priority="71">
      <formula>AND($E125 = 0 * ISNUMBER($E125))</formula>
    </cfRule>
    <cfRule type="expression" dxfId="612" priority="72">
      <formula>AND($E125 &lt; 0, ISNUMBER($E125))</formula>
    </cfRule>
  </conditionalFormatting>
  <conditionalFormatting sqref="A125:C144 G125:I144">
    <cfRule type="expression" dxfId="611" priority="67">
      <formula>AND($H125 &gt; 0, ISNUMBER($H125))</formula>
    </cfRule>
    <cfRule type="expression" dxfId="610" priority="68">
      <formula>AND($H125 = 0 * ISNUMBER($H125))</formula>
    </cfRule>
    <cfRule type="expression" dxfId="609" priority="69">
      <formula>AND($H125 &lt; 0, ISNUMBER($H125))</formula>
    </cfRule>
  </conditionalFormatting>
  <conditionalFormatting sqref="A125:C144 J125:L144">
    <cfRule type="expression" dxfId="608" priority="64">
      <formula>AND($K125 &gt; 0, ISNUMBER($K125))</formula>
    </cfRule>
    <cfRule type="expression" dxfId="607" priority="65">
      <formula>AND($K125 = 0 * ISNUMBER($K125))</formula>
    </cfRule>
    <cfRule type="expression" dxfId="606" priority="66">
      <formula>AND($K125 &lt; 0, ISNUMBER($K125))</formula>
    </cfRule>
  </conditionalFormatting>
  <conditionalFormatting sqref="D123:F124 E145:F145">
    <cfRule type="expression" dxfId="605" priority="58">
      <formula>$E$145 &gt; 0</formula>
    </cfRule>
    <cfRule type="expression" dxfId="604" priority="59">
      <formula>$E$145 = 0</formula>
    </cfRule>
    <cfRule type="expression" dxfId="603" priority="60">
      <formula>$E$145 &lt; 0</formula>
    </cfRule>
  </conditionalFormatting>
  <conditionalFormatting sqref="G123:I124 H145:I145">
    <cfRule type="expression" dxfId="602" priority="55">
      <formula>$H$145 &gt; 0</formula>
    </cfRule>
    <cfRule type="expression" dxfId="601" priority="56">
      <formula>$H$145 = 0</formula>
    </cfRule>
    <cfRule type="expression" dxfId="600" priority="57">
      <formula>$H$145 &lt; 0</formula>
    </cfRule>
  </conditionalFormatting>
  <conditionalFormatting sqref="J123:L124 K145:L145">
    <cfRule type="expression" dxfId="599" priority="52">
      <formula>$K$145 &gt; 0</formula>
    </cfRule>
    <cfRule type="expression" dxfId="598" priority="53">
      <formula>$K$145 = 0</formula>
    </cfRule>
    <cfRule type="expression" dxfId="597" priority="54">
      <formula>$K$145 &lt; 0</formula>
    </cfRule>
  </conditionalFormatting>
  <conditionalFormatting sqref="M123:O124 N145:O145">
    <cfRule type="expression" dxfId="596" priority="49">
      <formula>$N$145 &gt; 0</formula>
    </cfRule>
    <cfRule type="expression" dxfId="595" priority="50">
      <formula>$N$145 = 0</formula>
    </cfRule>
    <cfRule type="expression" dxfId="594" priority="51">
      <formula>$N$145 &lt; 0</formula>
    </cfRule>
  </conditionalFormatting>
  <conditionalFormatting sqref="A152:C171 M152:O171">
    <cfRule type="expression" dxfId="593" priority="37">
      <formula>AND($N152 &gt; 0, ISNUMBER($N152))</formula>
    </cfRule>
    <cfRule type="expression" dxfId="592" priority="38">
      <formula>AND($N152 = 0 * ISNUMBER($N152))</formula>
    </cfRule>
    <cfRule type="expression" dxfId="591" priority="39">
      <formula>AND($N152 &lt; 0, ISNUMBER($N152))</formula>
    </cfRule>
  </conditionalFormatting>
  <conditionalFormatting sqref="A152:F171">
    <cfRule type="expression" dxfId="590" priority="46">
      <formula>AND($E152 &gt; 0, ISNUMBER($E152))</formula>
    </cfRule>
    <cfRule type="expression" dxfId="589" priority="47">
      <formula>AND($E152 = 0 * ISNUMBER($E152))</formula>
    </cfRule>
    <cfRule type="expression" dxfId="588" priority="48">
      <formula>AND($E152 &lt; 0, ISNUMBER($E152))</formula>
    </cfRule>
  </conditionalFormatting>
  <conditionalFormatting sqref="A152:C171 G152:I171">
    <cfRule type="expression" dxfId="587" priority="43">
      <formula>AND($H152 &gt; 0, ISNUMBER($H152))</formula>
    </cfRule>
    <cfRule type="expression" dxfId="586" priority="44">
      <formula>AND($H152 = 0 * ISNUMBER($H152))</formula>
    </cfRule>
    <cfRule type="expression" dxfId="585" priority="45">
      <formula>AND($H152 &lt; 0, ISNUMBER($H152))</formula>
    </cfRule>
  </conditionalFormatting>
  <conditionalFormatting sqref="A152:C171 J152:L171">
    <cfRule type="expression" dxfId="584" priority="40">
      <formula>AND($K152 &gt; 0, ISNUMBER($K152))</formula>
    </cfRule>
    <cfRule type="expression" dxfId="583" priority="41">
      <formula>AND($K152 = 0 * ISNUMBER($K152))</formula>
    </cfRule>
    <cfRule type="expression" dxfId="582" priority="42">
      <formula>AND($K152 &lt; 0, ISNUMBER($K152))</formula>
    </cfRule>
  </conditionalFormatting>
  <conditionalFormatting sqref="D150:F151 E172:F172">
    <cfRule type="expression" dxfId="581" priority="34">
      <formula>$E$172 &gt; 0</formula>
    </cfRule>
    <cfRule type="expression" dxfId="580" priority="35">
      <formula>$E$172 = 0</formula>
    </cfRule>
    <cfRule type="expression" dxfId="579" priority="36">
      <formula>$E$172 &lt; 0</formula>
    </cfRule>
  </conditionalFormatting>
  <conditionalFormatting sqref="G150:I151 H172:I172">
    <cfRule type="expression" dxfId="578" priority="31">
      <formula>$H$172 &gt; 0</formula>
    </cfRule>
    <cfRule type="expression" dxfId="577" priority="32">
      <formula>$H$172 = 0</formula>
    </cfRule>
    <cfRule type="expression" dxfId="576" priority="33">
      <formula>$H$172 &lt; 0</formula>
    </cfRule>
  </conditionalFormatting>
  <conditionalFormatting sqref="J150:L151 K172:L172">
    <cfRule type="expression" dxfId="575" priority="28">
      <formula>$K$172 &gt; 0</formula>
    </cfRule>
    <cfRule type="expression" dxfId="574" priority="29">
      <formula>$K$172 = 0</formula>
    </cfRule>
    <cfRule type="expression" dxfId="573" priority="30">
      <formula>$K$172 &lt; 0</formula>
    </cfRule>
  </conditionalFormatting>
  <conditionalFormatting sqref="M150:O151 N172:O172">
    <cfRule type="expression" dxfId="572" priority="25">
      <formula>$N$172 &gt; 0</formula>
    </cfRule>
    <cfRule type="expression" dxfId="571" priority="26">
      <formula>$N$172 = 0</formula>
    </cfRule>
    <cfRule type="expression" dxfId="570" priority="27">
      <formula>$N$172 &lt; 0</formula>
    </cfRule>
  </conditionalFormatting>
  <conditionalFormatting sqref="A179:C198 M179:O198">
    <cfRule type="expression" dxfId="569" priority="13">
      <formula>AND($N179 &gt; 0, ISNUMBER($N179))</formula>
    </cfRule>
    <cfRule type="expression" dxfId="568" priority="14">
      <formula>AND($N179 = 0 * ISNUMBER($N179))</formula>
    </cfRule>
    <cfRule type="expression" dxfId="567" priority="15">
      <formula>AND($N179 &lt; 0, ISNUMBER($N179))</formula>
    </cfRule>
  </conditionalFormatting>
  <conditionalFormatting sqref="A179:F198">
    <cfRule type="expression" dxfId="566" priority="22">
      <formula>AND($E179 &gt; 0, ISNUMBER($E179))</formula>
    </cfRule>
    <cfRule type="expression" dxfId="565" priority="23">
      <formula>AND($E179 = 0 * ISNUMBER($E179))</formula>
    </cfRule>
    <cfRule type="expression" dxfId="564" priority="24">
      <formula>AND($E179 &lt; 0, ISNUMBER($E179))</formula>
    </cfRule>
  </conditionalFormatting>
  <conditionalFormatting sqref="A179:C198 G179:I198">
    <cfRule type="expression" dxfId="563" priority="19">
      <formula>AND($H179 &gt; 0, ISNUMBER($H179))</formula>
    </cfRule>
    <cfRule type="expression" dxfId="562" priority="20">
      <formula>AND($H179 = 0 * ISNUMBER($H179))</formula>
    </cfRule>
    <cfRule type="expression" dxfId="561" priority="21">
      <formula>AND($H179 &lt; 0, ISNUMBER($H179))</formula>
    </cfRule>
  </conditionalFormatting>
  <conditionalFormatting sqref="A179:C198 J179:L198">
    <cfRule type="expression" dxfId="560" priority="16">
      <formula>AND($K179 &gt; 0, ISNUMBER($K179))</formula>
    </cfRule>
    <cfRule type="expression" dxfId="559" priority="17">
      <formula>AND($K179 = 0 * ISNUMBER($K179))</formula>
    </cfRule>
    <cfRule type="expression" dxfId="558" priority="18">
      <formula>AND($K179 &lt; 0, ISNUMBER($K179))</formula>
    </cfRule>
  </conditionalFormatting>
  <conditionalFormatting sqref="D177:F178 E199:F199">
    <cfRule type="expression" dxfId="557" priority="10">
      <formula>$E$199 &gt; 0</formula>
    </cfRule>
    <cfRule type="expression" dxfId="556" priority="11">
      <formula>$E$199 = 0</formula>
    </cfRule>
    <cfRule type="expression" dxfId="555" priority="12">
      <formula>$E$199 &lt; 0</formula>
    </cfRule>
  </conditionalFormatting>
  <conditionalFormatting sqref="G177:I178 H199:I199">
    <cfRule type="expression" dxfId="554" priority="7">
      <formula>$H$199 &gt; 0</formula>
    </cfRule>
    <cfRule type="expression" dxfId="553" priority="8">
      <formula>$H$199 = 0</formula>
    </cfRule>
    <cfRule type="expression" dxfId="552" priority="9">
      <formula>$H$199 &lt; 0</formula>
    </cfRule>
  </conditionalFormatting>
  <conditionalFormatting sqref="J177:L178 K199:L199">
    <cfRule type="expression" dxfId="551" priority="4">
      <formula>$K$199 &gt; 0</formula>
    </cfRule>
    <cfRule type="expression" dxfId="550" priority="5">
      <formula>$K$199 = 0</formula>
    </cfRule>
    <cfRule type="expression" dxfId="549" priority="6">
      <formula>$K$199 &lt; 0</formula>
    </cfRule>
  </conditionalFormatting>
  <conditionalFormatting sqref="M177:O178 N199:O199">
    <cfRule type="expression" dxfId="548" priority="1">
      <formula>$N$199 &gt; 0</formula>
    </cfRule>
    <cfRule type="expression" dxfId="547" priority="2">
      <formula>$N$199 = 0</formula>
    </cfRule>
    <cfRule type="expression" dxfId="5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78F57-9A05-4460-AC40-BC1BF771D005}">
  <sheetPr codeName="Sheet19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44329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6" t="s">
        <v>3</v>
      </c>
      <c r="B2" s="315" t="s">
        <v>8</v>
      </c>
      <c r="C2" s="316"/>
      <c r="D2" s="316"/>
      <c r="E2" s="316"/>
      <c r="F2" s="317"/>
      <c r="G2" s="250" t="s">
        <v>46</v>
      </c>
      <c r="H2" s="251"/>
      <c r="I2" s="252"/>
      <c r="J2" s="116" t="s">
        <v>3</v>
      </c>
      <c r="K2" s="315" t="s">
        <v>376</v>
      </c>
      <c r="L2" s="316"/>
      <c r="M2" s="316"/>
      <c r="N2" s="316"/>
      <c r="O2" s="317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12" t="s">
        <v>384</v>
      </c>
      <c r="C3" s="313"/>
      <c r="D3" s="313"/>
      <c r="E3" s="313"/>
      <c r="F3" s="314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-321,261 KRW (-10.71%)</v>
      </c>
      <c r="H3" s="257"/>
      <c r="I3" s="258"/>
      <c r="J3" s="117" t="s">
        <v>7</v>
      </c>
      <c r="K3" s="312" t="s">
        <v>377</v>
      </c>
      <c r="L3" s="313"/>
      <c r="M3" s="313"/>
      <c r="N3" s="313"/>
      <c r="O3" s="314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12" t="s">
        <v>16</v>
      </c>
      <c r="C4" s="313"/>
      <c r="D4" s="313"/>
      <c r="E4" s="313"/>
      <c r="F4" s="314"/>
      <c r="G4" s="250" t="s">
        <v>44</v>
      </c>
      <c r="H4" s="251"/>
      <c r="I4" s="252"/>
      <c r="J4" s="117" t="s">
        <v>11</v>
      </c>
      <c r="K4" s="312" t="s">
        <v>378</v>
      </c>
      <c r="L4" s="313"/>
      <c r="M4" s="313"/>
      <c r="N4" s="313"/>
      <c r="O4" s="314"/>
      <c r="Q4" s="220" t="s">
        <v>14</v>
      </c>
      <c r="R4" s="198">
        <v>0.95833333333333337</v>
      </c>
    </row>
    <row r="5" spans="1:19" ht="17.25" customHeight="1" thickBot="1">
      <c r="A5" s="117" t="s">
        <v>15</v>
      </c>
      <c r="B5" s="312" t="s">
        <v>374</v>
      </c>
      <c r="C5" s="313"/>
      <c r="D5" s="313"/>
      <c r="E5" s="313"/>
      <c r="F5" s="314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-319,015 KRW (-11.19%)</v>
      </c>
      <c r="H5" s="257"/>
      <c r="I5" s="258"/>
      <c r="J5" s="117" t="s">
        <v>15</v>
      </c>
      <c r="K5" s="312" t="s">
        <v>379</v>
      </c>
      <c r="L5" s="313"/>
      <c r="M5" s="313"/>
      <c r="N5" s="313"/>
      <c r="O5" s="314"/>
    </row>
    <row r="6" spans="1:19">
      <c r="A6" s="117" t="s">
        <v>18</v>
      </c>
      <c r="B6" s="312"/>
      <c r="C6" s="313"/>
      <c r="D6" s="313"/>
      <c r="E6" s="313"/>
      <c r="F6" s="314"/>
      <c r="G6" s="250" t="s">
        <v>45</v>
      </c>
      <c r="H6" s="251"/>
      <c r="I6" s="252"/>
      <c r="J6" s="117" t="s">
        <v>18</v>
      </c>
      <c r="K6" s="312" t="s">
        <v>380</v>
      </c>
      <c r="L6" s="313"/>
      <c r="M6" s="313"/>
      <c r="N6" s="313"/>
      <c r="O6" s="314"/>
    </row>
    <row r="7" spans="1:19" ht="17.25" thickBot="1">
      <c r="A7" s="117" t="s">
        <v>21</v>
      </c>
      <c r="B7" s="312"/>
      <c r="C7" s="313"/>
      <c r="D7" s="313"/>
      <c r="E7" s="313"/>
      <c r="F7" s="314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-347,312 KRW (-11.58%)</v>
      </c>
      <c r="H7" s="257"/>
      <c r="I7" s="258"/>
      <c r="J7" s="117" t="s">
        <v>21</v>
      </c>
      <c r="K7" s="312" t="s">
        <v>381</v>
      </c>
      <c r="L7" s="313"/>
      <c r="M7" s="313"/>
      <c r="N7" s="313"/>
      <c r="O7" s="314"/>
    </row>
    <row r="8" spans="1:19" ht="17.25" thickBot="1">
      <c r="A8" s="117" t="s">
        <v>24</v>
      </c>
      <c r="B8" s="312"/>
      <c r="C8" s="313"/>
      <c r="D8" s="313"/>
      <c r="E8" s="313"/>
      <c r="F8" s="314"/>
      <c r="G8" s="250" t="s">
        <v>285</v>
      </c>
      <c r="H8" s="251"/>
      <c r="I8" s="252"/>
      <c r="J8" s="117" t="s">
        <v>24</v>
      </c>
      <c r="K8" s="312"/>
      <c r="L8" s="313"/>
      <c r="M8" s="313"/>
      <c r="N8" s="313"/>
      <c r="O8" s="314"/>
      <c r="Q8" s="241" t="s">
        <v>27</v>
      </c>
      <c r="R8" s="243"/>
    </row>
    <row r="9" spans="1:19" ht="17.25" thickBot="1">
      <c r="A9" s="117" t="s">
        <v>28</v>
      </c>
      <c r="B9" s="312"/>
      <c r="C9" s="313"/>
      <c r="D9" s="313"/>
      <c r="E9" s="313"/>
      <c r="F9" s="314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-332,214 KRW (-11.07%)</v>
      </c>
      <c r="H9" s="257"/>
      <c r="I9" s="258"/>
      <c r="J9" s="117" t="s">
        <v>28</v>
      </c>
      <c r="K9" s="312"/>
      <c r="L9" s="313"/>
      <c r="M9" s="313"/>
      <c r="N9" s="313"/>
      <c r="O9" s="314"/>
      <c r="Q9" s="120" t="s">
        <v>29</v>
      </c>
      <c r="R9" s="199">
        <v>10</v>
      </c>
    </row>
    <row r="10" spans="1:19">
      <c r="A10" s="117" t="s">
        <v>30</v>
      </c>
      <c r="B10" s="312"/>
      <c r="C10" s="313"/>
      <c r="D10" s="313"/>
      <c r="E10" s="313"/>
      <c r="F10" s="314"/>
      <c r="G10" s="250" t="s">
        <v>47</v>
      </c>
      <c r="H10" s="251"/>
      <c r="I10" s="252"/>
      <c r="J10" s="117" t="s">
        <v>30</v>
      </c>
      <c r="K10" s="312" t="s">
        <v>382</v>
      </c>
      <c r="L10" s="313"/>
      <c r="M10" s="313"/>
      <c r="N10" s="313"/>
      <c r="O10" s="314"/>
      <c r="Q10" s="120" t="s">
        <v>31</v>
      </c>
      <c r="R10" s="199">
        <v>100</v>
      </c>
    </row>
    <row r="11" spans="1:19" ht="17.25" thickBot="1">
      <c r="A11" s="118" t="s">
        <v>32</v>
      </c>
      <c r="B11" s="309" t="s">
        <v>383</v>
      </c>
      <c r="C11" s="310"/>
      <c r="D11" s="310"/>
      <c r="E11" s="310"/>
      <c r="F11" s="31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-338,848 KRW (-11.29%)</v>
      </c>
      <c r="H11" s="257"/>
      <c r="I11" s="258"/>
      <c r="J11" s="118" t="s">
        <v>32</v>
      </c>
      <c r="K11" s="309" t="s">
        <v>373</v>
      </c>
      <c r="L11" s="310"/>
      <c r="M11" s="310"/>
      <c r="N11" s="310"/>
      <c r="O11" s="311"/>
      <c r="Q11" s="220" t="s">
        <v>33</v>
      </c>
      <c r="R11" s="200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217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62017000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-1.6680144000000001E-2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2021-05-13(목) 오전 00:00</v>
      </c>
      <c r="C15" s="308"/>
      <c r="D15" s="241" t="str">
        <f>TEXT($G$1, "[$-ko-KR]yyyy-mm-dd(ddd) ") &amp; "오후 14:00"</f>
        <v>2021-05-13(목) 오후 14:00</v>
      </c>
      <c r="E15" s="242"/>
      <c r="F15" s="243"/>
      <c r="G15" s="241" t="str">
        <f>TEXT($G$1, "[$-ko-KR]yyyy-mm-dd(ddd) ") &amp; "오후 19:00"</f>
        <v>2021-05-13(목) 오후 19:00</v>
      </c>
      <c r="H15" s="242"/>
      <c r="I15" s="243"/>
      <c r="J15" s="241" t="str">
        <f>TEXT($G$1, "[$-ko-KR]yyyy-mm-dd(ddd) ") &amp; "오후 21:00"</f>
        <v>2021-05-13(목) 오후 21:00</v>
      </c>
      <c r="K15" s="242"/>
      <c r="L15" s="243"/>
      <c r="M15" s="241" t="str">
        <f>TEXT($G$1+1, "[$-ko-KR]yyyy-mm-dd(ddd) ") &amp; "오전 00:00"</f>
        <v>2021-05-14(금) 오전 00:00</v>
      </c>
      <c r="N15" s="242"/>
      <c r="O15" s="243"/>
      <c r="Q15" s="262"/>
      <c r="R15" s="262"/>
      <c r="S15" s="262"/>
    </row>
    <row r="16" spans="1:19" ht="17.25" customHeight="1" thickBot="1">
      <c r="A16" s="306"/>
      <c r="B16" s="120" t="s">
        <v>37</v>
      </c>
      <c r="C16" s="121" t="s">
        <v>38</v>
      </c>
      <c r="D16" s="120" t="s">
        <v>37</v>
      </c>
      <c r="E16" s="121" t="s">
        <v>40</v>
      </c>
      <c r="F16" s="224" t="s">
        <v>41</v>
      </c>
      <c r="G16" s="217" t="s">
        <v>37</v>
      </c>
      <c r="H16" s="218" t="s">
        <v>40</v>
      </c>
      <c r="I16" s="219" t="s">
        <v>41</v>
      </c>
      <c r="J16" s="121" t="s">
        <v>37</v>
      </c>
      <c r="K16" s="121" t="s">
        <v>40</v>
      </c>
      <c r="L16" s="221" t="s">
        <v>41</v>
      </c>
      <c r="M16" s="120" t="s">
        <v>37</v>
      </c>
      <c r="N16" s="121" t="s">
        <v>40</v>
      </c>
      <c r="O16" s="222" t="s">
        <v>41</v>
      </c>
      <c r="Q16" s="267"/>
      <c r="R16" s="267"/>
      <c r="S16" s="267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160</v>
      </c>
      <c r="C17" s="72">
        <f>IF(NOT(ISBLANK(_xlfn.IFNA(VLOOKUP($A17, $A$40:$O$199, 3, FALSE), ))), _xlfn.IFNA(VLOOKUP($A17, $A$40:$O$199, 3, FALSE), ), "")</f>
        <v>1.9108280299999999E-2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-8.1250000000000003E-2</v>
      </c>
      <c r="F17" s="140">
        <f>IF(NOT(ISBLANK(_xlfn.IFNA(VLOOKUP($A17, $A$40:$O$199, 6, FALSE), ))), _xlfn.IFNA(VLOOKUP($A17, $A$40:$O$199, 6, FALSE), ), "")</f>
        <v>-12187.5</v>
      </c>
      <c r="G17" s="38">
        <f>IF(NOT(ISBLANK(_xlfn.IFNA(VLOOKUP($A17, $A$40:$O$199, 7, FALSE), ))), _xlfn.IFNA(VLOOKUP($A17, $A$40:$O$199, 7, FALSE), ), "")</f>
        <v>138</v>
      </c>
      <c r="H17" s="72">
        <f>IF(NOT(ISBLANK(_xlfn.IFNA(VLOOKUP($A17, $A$40:$O$199, 8, FALSE), ))), _xlfn.IFNA(VLOOKUP($A17, $A$40:$O$199, 8, FALSE), ), "")</f>
        <v>-0.13750000000000001</v>
      </c>
      <c r="I17" s="201">
        <f>IF(NOT(ISBLANK(_xlfn.IFNA(VLOOKUP($A17, $A$40:$O$199, 9, FALSE), ))), _xlfn.IFNA(VLOOKUP($A17, $A$40:$O$199, 9, FALSE), ), "")</f>
        <v>-20625</v>
      </c>
      <c r="J17" s="123">
        <f>IF(NOT(ISBLANK(_xlfn.IFNA(VLOOKUP($A17, $A$40:$O$199, 10, FALSE), ))), _xlfn.IFNA(VLOOKUP($A17, $A$40:$O$199, 10, FALSE), ), "")</f>
        <v>142</v>
      </c>
      <c r="K17" s="72">
        <f>IF(NOT(ISBLANK(_xlfn.IFNA(VLOOKUP($A17, $A$40:$O$199, 11, FALSE), ))), _xlfn.IFNA(VLOOKUP($A17, $A$40:$O$199, 11, FALSE), ), "")</f>
        <v>-0.1125</v>
      </c>
      <c r="L17" s="140">
        <f>IF(NOT(ISBLANK(_xlfn.IFNA(VLOOKUP($A17, $A$40:$O$199, 12, FALSE), ))), _xlfn.IFNA(VLOOKUP($A17, $A$40:$O$199, 12, FALSE), ), "")</f>
        <v>-16875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-0.11874999999999999</v>
      </c>
      <c r="O17" s="140">
        <f>IF(NOT(ISBLANK(_xlfn.IFNA(VLOOKUP($A17, $A$40:$O$199, 15, FALSE), ))), _xlfn.IFNA(VLOOKUP($A17, $A$40:$O$199, 15, FALSE), ), "")</f>
        <v>-17812.5</v>
      </c>
      <c r="Q17" s="262"/>
      <c r="R17" s="262"/>
      <c r="S17" s="262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247</v>
      </c>
      <c r="C18" s="73">
        <f t="shared" ref="C18:C36" si="1">IF(NOT(ISBLANK(_xlfn.IFNA(VLOOKUP($A18, $A$40:$O$199, 3, FALSE), ))), _xlfn.IFNA(VLOOKUP($A18, $A$40:$O$199, 3, FALSE), ), "")</f>
        <v>1.6460905299999998E-2</v>
      </c>
      <c r="D18" s="125">
        <f t="shared" ref="D18:D36" si="2">IF(NOT(ISBLANK(_xlfn.IFNA(VLOOKUP($A18, $A$40:$O$199, 4, FALSE), ))), _xlfn.IFNA(VLOOKUP($A18, $A$40:$O$199, 4, FALSE), ), "")</f>
        <v>224</v>
      </c>
      <c r="E18" s="73">
        <f t="shared" ref="E18:E36" si="3">IF(NOT(ISBLANK(_xlfn.IFNA(VLOOKUP($A18, $A$40:$O$199, 5, FALSE), ))), _xlfn.IFNA(VLOOKUP($A18, $A$40:$O$199, 5, FALSE), ), "")</f>
        <v>-9.3117408906882596E-2</v>
      </c>
      <c r="F18" s="136">
        <f t="shared" ref="F18:F36" si="4">IF(NOT(ISBLANK(_xlfn.IFNA(VLOOKUP($A18, $A$40:$O$199, 6, FALSE), ))), _xlfn.IFNA(VLOOKUP($A18, $A$40:$O$199, 6, FALSE), ), "")</f>
        <v>-13967.611336032389</v>
      </c>
      <c r="G18" s="39">
        <f t="shared" ref="G18:G36" si="5">IF(NOT(ISBLANK(_xlfn.IFNA(VLOOKUP($A18, $A$40:$O$199, 7, FALSE), ))), _xlfn.IFNA(VLOOKUP($A18, $A$40:$O$199, 7, FALSE), ), "")</f>
        <v>232</v>
      </c>
      <c r="H18" s="73">
        <f t="shared" ref="H18:H36" si="6">IF(NOT(ISBLANK(_xlfn.IFNA(VLOOKUP($A18, $A$40:$O$199, 8, FALSE), ))), _xlfn.IFNA(VLOOKUP($A18, $A$40:$O$199, 8, FALSE), ), "")</f>
        <v>-6.0728744939271252E-2</v>
      </c>
      <c r="I18" s="202">
        <f t="shared" ref="I18:I36" si="7">IF(NOT(ISBLANK(_xlfn.IFNA(VLOOKUP($A18, $A$40:$O$199, 9, FALSE), ))), _xlfn.IFNA(VLOOKUP($A18, $A$40:$O$199, 9, FALSE), ), "")</f>
        <v>-9109.3117408906874</v>
      </c>
      <c r="J18" s="125">
        <f t="shared" ref="J18:J36" si="8">IF(NOT(ISBLANK(_xlfn.IFNA(VLOOKUP($A18, $A$40:$O$199, 10, FALSE), ))), _xlfn.IFNA(VLOOKUP($A18, $A$40:$O$199, 10, FALSE), ), "")</f>
        <v>232</v>
      </c>
      <c r="K18" s="73">
        <f t="shared" ref="K18:K36" si="9">IF(NOT(ISBLANK(_xlfn.IFNA(VLOOKUP($A18, $A$40:$O$199, 11, FALSE), ))), _xlfn.IFNA(VLOOKUP($A18, $A$40:$O$199, 11, FALSE), ), "")</f>
        <v>-6.0728744939271252E-2</v>
      </c>
      <c r="L18" s="136">
        <f t="shared" ref="L18:L36" si="10">IF(NOT(ISBLANK(_xlfn.IFNA(VLOOKUP($A18, $A$40:$O$199, 12, FALSE), ))), _xlfn.IFNA(VLOOKUP($A18, $A$40:$O$199, 12, FALSE), ), "")</f>
        <v>-9109.3117408906874</v>
      </c>
      <c r="M18" s="39">
        <f t="shared" ref="M18:M36" si="11">IF(NOT(ISBLANK(_xlfn.IFNA(VLOOKUP($A18, $A$40:$O$199, 13, FALSE), ))), _xlfn.IFNA(VLOOKUP($A18, $A$40:$O$199, 13, FALSE), ), "")</f>
        <v>229</v>
      </c>
      <c r="N18" s="73">
        <f t="shared" ref="N18:N36" si="12">IF(NOT(ISBLANK(_xlfn.IFNA(VLOOKUP($A18, $A$40:$O$199, 14, FALSE), ))), _xlfn.IFNA(VLOOKUP($A18, $A$40:$O$199, 14, FALSE), ), "")</f>
        <v>-7.28744939271255E-2</v>
      </c>
      <c r="O18" s="136">
        <f t="shared" ref="O18:O36" si="13">IF(NOT(ISBLANK(_xlfn.IFNA(VLOOKUP($A18, $A$40:$O$199, 15, FALSE), ))), _xlfn.IFNA(VLOOKUP($A18, $A$40:$O$199, 15, FALSE), ), "")</f>
        <v>-10931.174089068825</v>
      </c>
      <c r="Q18" s="262"/>
      <c r="R18" s="262"/>
      <c r="S18" s="262"/>
    </row>
    <row r="19" spans="1:19" ht="17.25" customHeight="1" thickBot="1">
      <c r="A19" s="124" t="s">
        <v>120</v>
      </c>
      <c r="B19" s="125">
        <f t="shared" si="0"/>
        <v>215</v>
      </c>
      <c r="C19" s="73">
        <f t="shared" si="1"/>
        <v>1.4150943399999999E-2</v>
      </c>
      <c r="D19" s="125">
        <f t="shared" si="2"/>
        <v>203</v>
      </c>
      <c r="E19" s="73">
        <f t="shared" si="3"/>
        <v>-5.5813953488372092E-2</v>
      </c>
      <c r="F19" s="136">
        <f t="shared" si="4"/>
        <v>-8372.093023255813</v>
      </c>
      <c r="G19" s="39">
        <f t="shared" si="5"/>
        <v>197</v>
      </c>
      <c r="H19" s="73">
        <f t="shared" si="6"/>
        <v>-8.3720930232558138E-2</v>
      </c>
      <c r="I19" s="202">
        <f t="shared" si="7"/>
        <v>-12558.139534883721</v>
      </c>
      <c r="J19" s="125">
        <f t="shared" si="8"/>
        <v>199</v>
      </c>
      <c r="K19" s="73">
        <f t="shared" si="9"/>
        <v>-7.441860465116279E-2</v>
      </c>
      <c r="L19" s="136">
        <f t="shared" si="10"/>
        <v>-11162.790697674418</v>
      </c>
      <c r="M19" s="39">
        <f t="shared" si="11"/>
        <v>199</v>
      </c>
      <c r="N19" s="73">
        <f t="shared" si="12"/>
        <v>-7.441860465116279E-2</v>
      </c>
      <c r="O19" s="136">
        <f t="shared" si="13"/>
        <v>-11162.790697674418</v>
      </c>
      <c r="Q19" s="267"/>
      <c r="R19" s="267"/>
      <c r="S19" s="267"/>
    </row>
    <row r="20" spans="1:19" ht="17.25" customHeight="1" thickBot="1">
      <c r="A20" s="124" t="s">
        <v>264</v>
      </c>
      <c r="B20" s="125">
        <f t="shared" si="0"/>
        <v>166</v>
      </c>
      <c r="C20" s="73">
        <f t="shared" si="1"/>
        <v>6.0606061000000001E-3</v>
      </c>
      <c r="D20" s="125">
        <f t="shared" si="2"/>
        <v>152</v>
      </c>
      <c r="E20" s="73">
        <f t="shared" si="3"/>
        <v>-8.4337349397590355E-2</v>
      </c>
      <c r="F20" s="136">
        <f t="shared" si="4"/>
        <v>-12650.602409638554</v>
      </c>
      <c r="G20" s="39">
        <f t="shared" si="5"/>
        <v>144</v>
      </c>
      <c r="H20" s="73">
        <f t="shared" si="6"/>
        <v>-0.13253012048192772</v>
      </c>
      <c r="I20" s="202">
        <f t="shared" si="7"/>
        <v>-19879.518072289156</v>
      </c>
      <c r="J20" s="125">
        <f t="shared" si="8"/>
        <v>148</v>
      </c>
      <c r="K20" s="73">
        <f t="shared" si="9"/>
        <v>-0.10843373493975904</v>
      </c>
      <c r="L20" s="136">
        <f t="shared" si="10"/>
        <v>-16265.060240963856</v>
      </c>
      <c r="M20" s="39">
        <f t="shared" si="11"/>
        <v>147</v>
      </c>
      <c r="N20" s="73">
        <f t="shared" si="12"/>
        <v>-0.1144578313253012</v>
      </c>
      <c r="O20" s="136">
        <f t="shared" si="13"/>
        <v>-17168.674698795181</v>
      </c>
      <c r="Q20" s="267"/>
      <c r="R20" s="267"/>
      <c r="S20" s="267"/>
    </row>
    <row r="21" spans="1:19" ht="17.25" customHeight="1" thickBot="1">
      <c r="A21" s="126" t="s">
        <v>230</v>
      </c>
      <c r="B21" s="127">
        <f t="shared" si="0"/>
        <v>168</v>
      </c>
      <c r="C21" s="74">
        <f t="shared" si="1"/>
        <v>5.9880239999999998E-3</v>
      </c>
      <c r="D21" s="127">
        <f t="shared" si="2"/>
        <v>149</v>
      </c>
      <c r="E21" s="74">
        <f t="shared" si="3"/>
        <v>-0.1130952380952381</v>
      </c>
      <c r="F21" s="203">
        <f t="shared" si="4"/>
        <v>-16964.285714285714</v>
      </c>
      <c r="G21" s="44">
        <f t="shared" si="5"/>
        <v>142</v>
      </c>
      <c r="H21" s="74">
        <f t="shared" si="6"/>
        <v>-0.15476190476190477</v>
      </c>
      <c r="I21" s="204">
        <f t="shared" si="7"/>
        <v>-23214.285714285714</v>
      </c>
      <c r="J21" s="127">
        <f t="shared" si="8"/>
        <v>142</v>
      </c>
      <c r="K21" s="74">
        <f t="shared" si="9"/>
        <v>-0.15476190476190477</v>
      </c>
      <c r="L21" s="203">
        <f t="shared" si="10"/>
        <v>-23214.285714285714</v>
      </c>
      <c r="M21" s="44">
        <f t="shared" si="11"/>
        <v>145</v>
      </c>
      <c r="N21" s="74">
        <f t="shared" si="12"/>
        <v>-0.13690476190476192</v>
      </c>
      <c r="O21" s="203">
        <f t="shared" si="13"/>
        <v>-20535.714285714286</v>
      </c>
      <c r="Q21" s="267"/>
      <c r="R21" s="267"/>
      <c r="S21" s="267"/>
    </row>
    <row r="22" spans="1:19" ht="17.25" customHeight="1" thickBot="1">
      <c r="A22" s="124" t="s">
        <v>282</v>
      </c>
      <c r="B22" s="128">
        <f t="shared" si="0"/>
        <v>169</v>
      </c>
      <c r="C22" s="76">
        <f t="shared" si="1"/>
        <v>5.9523809999999996E-3</v>
      </c>
      <c r="D22" s="128">
        <f t="shared" si="2"/>
        <v>159</v>
      </c>
      <c r="E22" s="76">
        <f t="shared" si="3"/>
        <v>-5.9171597633136092E-2</v>
      </c>
      <c r="F22" s="205">
        <f t="shared" si="4"/>
        <v>-8875.7396449704138</v>
      </c>
      <c r="G22" s="45">
        <f t="shared" si="5"/>
        <v>149</v>
      </c>
      <c r="H22" s="76">
        <f t="shared" si="6"/>
        <v>-0.11834319526627218</v>
      </c>
      <c r="I22" s="206">
        <f t="shared" si="7"/>
        <v>-17751.479289940828</v>
      </c>
      <c r="J22" s="128">
        <f t="shared" si="8"/>
        <v>152</v>
      </c>
      <c r="K22" s="76">
        <f t="shared" si="9"/>
        <v>-0.10059171597633136</v>
      </c>
      <c r="L22" s="205">
        <f t="shared" si="10"/>
        <v>-15088.757396449704</v>
      </c>
      <c r="M22" s="45">
        <f t="shared" si="11"/>
        <v>149</v>
      </c>
      <c r="N22" s="76">
        <f t="shared" si="12"/>
        <v>-0.11834319526627218</v>
      </c>
      <c r="O22" s="205">
        <f t="shared" si="13"/>
        <v>-17751.479289940828</v>
      </c>
      <c r="Q22" s="267"/>
      <c r="R22" s="267"/>
      <c r="S22" s="267"/>
    </row>
    <row r="23" spans="1:19" ht="17.25" customHeight="1" thickBot="1">
      <c r="A23" s="124" t="s">
        <v>240</v>
      </c>
      <c r="B23" s="125">
        <f t="shared" si="0"/>
        <v>173</v>
      </c>
      <c r="C23" s="73">
        <f t="shared" si="1"/>
        <v>5.8139534999999999E-3</v>
      </c>
      <c r="D23" s="125">
        <f t="shared" si="2"/>
        <v>159</v>
      </c>
      <c r="E23" s="73">
        <f t="shared" si="3"/>
        <v>-8.0924855491329481E-2</v>
      </c>
      <c r="F23" s="136">
        <f t="shared" si="4"/>
        <v>-12138.728323699423</v>
      </c>
      <c r="G23" s="39">
        <f t="shared" si="5"/>
        <v>147</v>
      </c>
      <c r="H23" s="73">
        <f t="shared" si="6"/>
        <v>-0.15028901734104047</v>
      </c>
      <c r="I23" s="202">
        <f t="shared" si="7"/>
        <v>-22543.352601156072</v>
      </c>
      <c r="J23" s="125">
        <f t="shared" si="8"/>
        <v>148</v>
      </c>
      <c r="K23" s="73">
        <f t="shared" si="9"/>
        <v>-0.14450867052023122</v>
      </c>
      <c r="L23" s="136">
        <f t="shared" si="10"/>
        <v>-21676.300578034683</v>
      </c>
      <c r="M23" s="39">
        <f t="shared" si="11"/>
        <v>149</v>
      </c>
      <c r="N23" s="73">
        <f t="shared" si="12"/>
        <v>-0.13872832369942195</v>
      </c>
      <c r="O23" s="136">
        <f t="shared" si="13"/>
        <v>-20809.248554913294</v>
      </c>
      <c r="Q23" s="267"/>
      <c r="R23" s="267"/>
      <c r="S23" s="267"/>
    </row>
    <row r="24" spans="1:19" ht="17.25" customHeight="1" thickBot="1">
      <c r="A24" s="124" t="s">
        <v>246</v>
      </c>
      <c r="B24" s="125">
        <f t="shared" si="0"/>
        <v>371</v>
      </c>
      <c r="C24" s="73">
        <f t="shared" si="1"/>
        <v>5.4200541999999997E-3</v>
      </c>
      <c r="D24" s="125">
        <f t="shared" si="2"/>
        <v>320</v>
      </c>
      <c r="E24" s="73">
        <f t="shared" si="3"/>
        <v>-0.13746630727762804</v>
      </c>
      <c r="F24" s="136">
        <f t="shared" si="4"/>
        <v>-20619.946091644208</v>
      </c>
      <c r="G24" s="39">
        <f t="shared" si="5"/>
        <v>311</v>
      </c>
      <c r="H24" s="73">
        <f t="shared" si="6"/>
        <v>-0.16172506738544473</v>
      </c>
      <c r="I24" s="202">
        <f t="shared" si="7"/>
        <v>-24258.76010781671</v>
      </c>
      <c r="J24" s="125">
        <f t="shared" si="8"/>
        <v>317</v>
      </c>
      <c r="K24" s="73">
        <f t="shared" si="9"/>
        <v>-0.14555256064690028</v>
      </c>
      <c r="L24" s="136">
        <f t="shared" si="10"/>
        <v>-21832.884097035043</v>
      </c>
      <c r="M24" s="39">
        <f t="shared" si="11"/>
        <v>317</v>
      </c>
      <c r="N24" s="73">
        <f t="shared" si="12"/>
        <v>-0.14555256064690028</v>
      </c>
      <c r="O24" s="136">
        <f t="shared" si="13"/>
        <v>-21832.884097035043</v>
      </c>
      <c r="Q24" s="267"/>
      <c r="R24" s="267"/>
      <c r="S24" s="267"/>
    </row>
    <row r="25" spans="1:19" ht="17.25" customHeight="1" thickBot="1">
      <c r="A25" s="124" t="s">
        <v>200</v>
      </c>
      <c r="B25" s="125">
        <f t="shared" si="0"/>
        <v>340</v>
      </c>
      <c r="C25" s="73">
        <f t="shared" si="1"/>
        <v>2.9498524999999999E-3</v>
      </c>
      <c r="D25" s="125">
        <f t="shared" si="2"/>
        <v>304</v>
      </c>
      <c r="E25" s="73">
        <f t="shared" si="3"/>
        <v>-0.10588235294117647</v>
      </c>
      <c r="F25" s="136">
        <f t="shared" si="4"/>
        <v>-15882.35294117647</v>
      </c>
      <c r="G25" s="39">
        <f t="shared" si="5"/>
        <v>298</v>
      </c>
      <c r="H25" s="73">
        <f t="shared" si="6"/>
        <v>-0.12352941176470589</v>
      </c>
      <c r="I25" s="202">
        <f t="shared" si="7"/>
        <v>-18529.411764705885</v>
      </c>
      <c r="J25" s="125">
        <f t="shared" si="8"/>
        <v>301</v>
      </c>
      <c r="K25" s="73">
        <f t="shared" si="9"/>
        <v>-0.11470588235294117</v>
      </c>
      <c r="L25" s="136">
        <f t="shared" si="10"/>
        <v>-17205.882352941175</v>
      </c>
      <c r="M25" s="39">
        <f t="shared" si="11"/>
        <v>300</v>
      </c>
      <c r="N25" s="73">
        <f t="shared" si="12"/>
        <v>-0.11764705882352941</v>
      </c>
      <c r="O25" s="136">
        <f t="shared" si="13"/>
        <v>-17647.058823529413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173</v>
      </c>
      <c r="C26" s="75">
        <f t="shared" si="1"/>
        <v>0</v>
      </c>
      <c r="D26" s="130">
        <f t="shared" si="2"/>
        <v>148</v>
      </c>
      <c r="E26" s="75">
        <f t="shared" si="3"/>
        <v>-0.14450867052023122</v>
      </c>
      <c r="F26" s="137">
        <f t="shared" si="4"/>
        <v>-21676.300578034683</v>
      </c>
      <c r="G26" s="37">
        <f t="shared" si="5"/>
        <v>143</v>
      </c>
      <c r="H26" s="75">
        <f t="shared" si="6"/>
        <v>-0.17341040462427745</v>
      </c>
      <c r="I26" s="207">
        <f t="shared" si="7"/>
        <v>-26011.560693641619</v>
      </c>
      <c r="J26" s="130">
        <f t="shared" si="8"/>
        <v>147</v>
      </c>
      <c r="K26" s="75">
        <f t="shared" si="9"/>
        <v>-0.15028901734104047</v>
      </c>
      <c r="L26" s="137">
        <f t="shared" si="10"/>
        <v>-22543.352601156072</v>
      </c>
      <c r="M26" s="37">
        <f t="shared" si="11"/>
        <v>144</v>
      </c>
      <c r="N26" s="75">
        <f t="shared" si="12"/>
        <v>-0.16763005780346821</v>
      </c>
      <c r="O26" s="137">
        <f t="shared" si="13"/>
        <v>-25144.50867052023</v>
      </c>
      <c r="Q26" s="276"/>
      <c r="R26" s="277"/>
      <c r="S26" s="278"/>
    </row>
    <row r="27" spans="1:19" ht="17.25" customHeight="1">
      <c r="A27" s="122" t="s">
        <v>174</v>
      </c>
      <c r="B27" s="123">
        <f t="shared" si="0"/>
        <v>267</v>
      </c>
      <c r="C27" s="72">
        <f t="shared" si="1"/>
        <v>-3.7313432999999999E-3</v>
      </c>
      <c r="D27" s="123">
        <f t="shared" si="2"/>
        <v>244</v>
      </c>
      <c r="E27" s="72">
        <f t="shared" si="3"/>
        <v>-8.6142322097378279E-2</v>
      </c>
      <c r="F27" s="140">
        <f t="shared" si="4"/>
        <v>-12921.348314606741</v>
      </c>
      <c r="G27" s="38">
        <f t="shared" si="5"/>
        <v>239</v>
      </c>
      <c r="H27" s="72">
        <f t="shared" si="6"/>
        <v>-0.10486891385767791</v>
      </c>
      <c r="I27" s="201">
        <f t="shared" si="7"/>
        <v>-15730.337078651686</v>
      </c>
      <c r="J27" s="123">
        <f t="shared" si="8"/>
        <v>241</v>
      </c>
      <c r="K27" s="72">
        <f t="shared" si="9"/>
        <v>-9.7378277153558054E-2</v>
      </c>
      <c r="L27" s="140">
        <f t="shared" si="10"/>
        <v>-14606.741573033709</v>
      </c>
      <c r="M27" s="38">
        <f t="shared" si="11"/>
        <v>243</v>
      </c>
      <c r="N27" s="72">
        <f t="shared" si="12"/>
        <v>-8.98876404494382E-2</v>
      </c>
      <c r="O27" s="140">
        <f t="shared" si="13"/>
        <v>-13483.14606741573</v>
      </c>
      <c r="Q27" s="279"/>
      <c r="R27" s="280"/>
      <c r="S27" s="281"/>
    </row>
    <row r="28" spans="1:19" ht="17.25" customHeight="1" thickBot="1">
      <c r="A28" s="124" t="s">
        <v>112</v>
      </c>
      <c r="B28" s="125">
        <f t="shared" si="0"/>
        <v>252</v>
      </c>
      <c r="C28" s="73">
        <f t="shared" si="1"/>
        <v>-3.9525691999999996E-3</v>
      </c>
      <c r="D28" s="125">
        <f t="shared" si="2"/>
        <v>232</v>
      </c>
      <c r="E28" s="73">
        <f t="shared" si="3"/>
        <v>-7.9365079365079361E-2</v>
      </c>
      <c r="F28" s="136">
        <f t="shared" si="4"/>
        <v>-11904.761904761905</v>
      </c>
      <c r="G28" s="39">
        <f t="shared" si="5"/>
        <v>225</v>
      </c>
      <c r="H28" s="73">
        <f t="shared" si="6"/>
        <v>-0.10714285714285714</v>
      </c>
      <c r="I28" s="202">
        <f t="shared" si="7"/>
        <v>-16071.428571428571</v>
      </c>
      <c r="J28" s="125">
        <f t="shared" si="8"/>
        <v>228</v>
      </c>
      <c r="K28" s="73">
        <f t="shared" si="9"/>
        <v>-9.5238095238095233E-2</v>
      </c>
      <c r="L28" s="136">
        <f t="shared" si="10"/>
        <v>-14285.714285714284</v>
      </c>
      <c r="M28" s="39">
        <f t="shared" si="11"/>
        <v>227</v>
      </c>
      <c r="N28" s="73">
        <f t="shared" si="12"/>
        <v>-9.9206349206349201E-2</v>
      </c>
      <c r="O28" s="136">
        <f t="shared" si="13"/>
        <v>-14880.95238095238</v>
      </c>
      <c r="Q28" s="282"/>
      <c r="R28" s="283"/>
      <c r="S28" s="284"/>
    </row>
    <row r="29" spans="1:19" ht="17.25" customHeight="1" thickBot="1">
      <c r="A29" s="124" t="s">
        <v>260</v>
      </c>
      <c r="B29" s="125">
        <f t="shared" si="0"/>
        <v>126</v>
      </c>
      <c r="C29" s="73">
        <f t="shared" si="1"/>
        <v>-7.8740157000000005E-3</v>
      </c>
      <c r="D29" s="125">
        <f t="shared" si="2"/>
        <v>124</v>
      </c>
      <c r="E29" s="73">
        <f t="shared" si="3"/>
        <v>-1.5873015873015872E-2</v>
      </c>
      <c r="F29" s="136">
        <f t="shared" si="4"/>
        <v>-2380.9523809523807</v>
      </c>
      <c r="G29" s="39">
        <f t="shared" si="5"/>
        <v>115</v>
      </c>
      <c r="H29" s="73">
        <f t="shared" si="6"/>
        <v>-8.7301587301587297E-2</v>
      </c>
      <c r="I29" s="202">
        <f t="shared" si="7"/>
        <v>-13095.238095238095</v>
      </c>
      <c r="J29" s="125">
        <f t="shared" si="8"/>
        <v>117</v>
      </c>
      <c r="K29" s="73">
        <f t="shared" si="9"/>
        <v>-7.1428571428571425E-2</v>
      </c>
      <c r="L29" s="136">
        <f t="shared" si="10"/>
        <v>-10714.285714285714</v>
      </c>
      <c r="M29" s="39">
        <f t="shared" si="11"/>
        <v>115</v>
      </c>
      <c r="N29" s="73">
        <f t="shared" si="12"/>
        <v>-8.7301587301587297E-2</v>
      </c>
      <c r="O29" s="136">
        <f t="shared" si="13"/>
        <v>-13095.238095238095</v>
      </c>
      <c r="Q29" s="267"/>
      <c r="R29" s="267"/>
      <c r="S29" s="267"/>
    </row>
    <row r="30" spans="1:19" ht="17.25" customHeight="1" thickBot="1">
      <c r="A30" s="124" t="s">
        <v>122</v>
      </c>
      <c r="B30" s="125">
        <f t="shared" si="0"/>
        <v>112</v>
      </c>
      <c r="C30" s="73">
        <f t="shared" si="1"/>
        <v>-8.8495575000000007E-3</v>
      </c>
      <c r="D30" s="125">
        <f t="shared" si="2"/>
        <v>105</v>
      </c>
      <c r="E30" s="73">
        <f t="shared" si="3"/>
        <v>-6.25E-2</v>
      </c>
      <c r="F30" s="136">
        <f t="shared" si="4"/>
        <v>-9375</v>
      </c>
      <c r="G30" s="39">
        <f t="shared" si="5"/>
        <v>103</v>
      </c>
      <c r="H30" s="73">
        <f t="shared" si="6"/>
        <v>-8.0357142857142863E-2</v>
      </c>
      <c r="I30" s="202">
        <f t="shared" si="7"/>
        <v>-12053.571428571429</v>
      </c>
      <c r="J30" s="125">
        <f t="shared" si="8"/>
        <v>105</v>
      </c>
      <c r="K30" s="73">
        <f t="shared" si="9"/>
        <v>-6.25E-2</v>
      </c>
      <c r="L30" s="136">
        <f t="shared" si="10"/>
        <v>-9375</v>
      </c>
      <c r="M30" s="39">
        <f t="shared" si="11"/>
        <v>106</v>
      </c>
      <c r="N30" s="73">
        <f t="shared" si="12"/>
        <v>-5.3571428571428568E-2</v>
      </c>
      <c r="O30" s="136">
        <f t="shared" si="13"/>
        <v>-8035.7142857142853</v>
      </c>
      <c r="Q30" s="262"/>
      <c r="R30" s="262"/>
      <c r="S30" s="262"/>
    </row>
    <row r="31" spans="1:19" ht="17.25" customHeight="1" thickBot="1">
      <c r="A31" s="126" t="s">
        <v>202</v>
      </c>
      <c r="B31" s="127">
        <f t="shared" si="0"/>
        <v>190</v>
      </c>
      <c r="C31" s="74">
        <f t="shared" si="1"/>
        <v>-1.04166667E-2</v>
      </c>
      <c r="D31" s="127">
        <f t="shared" si="2"/>
        <v>173</v>
      </c>
      <c r="E31" s="74">
        <f t="shared" si="3"/>
        <v>-8.9473684210526316E-2</v>
      </c>
      <c r="F31" s="203">
        <f t="shared" si="4"/>
        <v>-13421.052631578947</v>
      </c>
      <c r="G31" s="44">
        <f t="shared" si="5"/>
        <v>163</v>
      </c>
      <c r="H31" s="74">
        <f t="shared" si="6"/>
        <v>-0.14210526315789473</v>
      </c>
      <c r="I31" s="204">
        <f t="shared" si="7"/>
        <v>-21315.78947368421</v>
      </c>
      <c r="J31" s="127">
        <f t="shared" si="8"/>
        <v>170</v>
      </c>
      <c r="K31" s="74">
        <f t="shared" si="9"/>
        <v>-0.10526315789473684</v>
      </c>
      <c r="L31" s="203">
        <f t="shared" si="10"/>
        <v>-15789.473684210525</v>
      </c>
      <c r="M31" s="44">
        <f t="shared" si="11"/>
        <v>165</v>
      </c>
      <c r="N31" s="74">
        <f t="shared" si="12"/>
        <v>-0.13157894736842105</v>
      </c>
      <c r="O31" s="203">
        <f t="shared" si="13"/>
        <v>-19736.842105263157</v>
      </c>
      <c r="Q31" s="262"/>
      <c r="R31" s="262"/>
      <c r="S31" s="262"/>
    </row>
    <row r="32" spans="1:19" ht="17.25" customHeight="1" thickBot="1">
      <c r="A32" s="124" t="s">
        <v>238</v>
      </c>
      <c r="B32" s="128">
        <f t="shared" si="0"/>
        <v>276</v>
      </c>
      <c r="C32" s="76">
        <f t="shared" si="1"/>
        <v>-1.0752688200000001E-2</v>
      </c>
      <c r="D32" s="128">
        <f t="shared" si="2"/>
        <v>241</v>
      </c>
      <c r="E32" s="76">
        <f t="shared" si="3"/>
        <v>-0.12681159420289856</v>
      </c>
      <c r="F32" s="205">
        <f t="shared" si="4"/>
        <v>-19021.739130434784</v>
      </c>
      <c r="G32" s="45">
        <f t="shared" si="5"/>
        <v>238</v>
      </c>
      <c r="H32" s="76">
        <f t="shared" si="6"/>
        <v>-0.13768115942028986</v>
      </c>
      <c r="I32" s="206">
        <f t="shared" si="7"/>
        <v>-20652.17391304348</v>
      </c>
      <c r="J32" s="128">
        <f t="shared" si="8"/>
        <v>242</v>
      </c>
      <c r="K32" s="76">
        <f t="shared" si="9"/>
        <v>-0.12318840579710146</v>
      </c>
      <c r="L32" s="205">
        <f t="shared" si="10"/>
        <v>-18478.26086956522</v>
      </c>
      <c r="M32" s="45">
        <f t="shared" si="11"/>
        <v>245</v>
      </c>
      <c r="N32" s="76">
        <f t="shared" si="12"/>
        <v>-0.11231884057971014</v>
      </c>
      <c r="O32" s="205">
        <f t="shared" si="13"/>
        <v>-16847.82608695652</v>
      </c>
      <c r="Q32" s="267"/>
      <c r="R32" s="267"/>
      <c r="S32" s="267"/>
    </row>
    <row r="33" spans="1:19" ht="17.25" customHeight="1" thickBot="1">
      <c r="A33" s="124" t="s">
        <v>210</v>
      </c>
      <c r="B33" s="125">
        <f t="shared" si="0"/>
        <v>181</v>
      </c>
      <c r="C33" s="73">
        <f t="shared" si="1"/>
        <v>-1.09289617E-2</v>
      </c>
      <c r="D33" s="125">
        <f t="shared" si="2"/>
        <v>170</v>
      </c>
      <c r="E33" s="73">
        <f t="shared" si="3"/>
        <v>-6.0773480662983423E-2</v>
      </c>
      <c r="F33" s="136">
        <f t="shared" si="4"/>
        <v>-9116.022099447513</v>
      </c>
      <c r="G33" s="39">
        <f t="shared" si="5"/>
        <v>162</v>
      </c>
      <c r="H33" s="73">
        <f t="shared" si="6"/>
        <v>-0.10497237569060773</v>
      </c>
      <c r="I33" s="202">
        <f t="shared" si="7"/>
        <v>-15745.85635359116</v>
      </c>
      <c r="J33" s="125">
        <f t="shared" si="8"/>
        <v>164</v>
      </c>
      <c r="K33" s="73">
        <f t="shared" si="9"/>
        <v>-9.3922651933701654E-2</v>
      </c>
      <c r="L33" s="136">
        <f t="shared" si="10"/>
        <v>-14088.397790055247</v>
      </c>
      <c r="M33" s="39">
        <f t="shared" si="11"/>
        <v>164</v>
      </c>
      <c r="N33" s="73">
        <f t="shared" si="12"/>
        <v>-9.3922651933701654E-2</v>
      </c>
      <c r="O33" s="136">
        <f t="shared" si="13"/>
        <v>-14088.397790055247</v>
      </c>
      <c r="Q33" s="267"/>
      <c r="R33" s="267"/>
      <c r="S33" s="267"/>
    </row>
    <row r="34" spans="1:19" ht="17.25" customHeight="1" thickBot="1">
      <c r="A34" s="124" t="s">
        <v>212</v>
      </c>
      <c r="B34" s="125">
        <f t="shared" si="0"/>
        <v>140</v>
      </c>
      <c r="C34" s="73">
        <f t="shared" si="1"/>
        <v>-1.4084507E-2</v>
      </c>
      <c r="D34" s="125">
        <f t="shared" si="2"/>
        <v>128</v>
      </c>
      <c r="E34" s="73">
        <f t="shared" si="3"/>
        <v>-8.5714285714285715E-2</v>
      </c>
      <c r="F34" s="136">
        <f t="shared" si="4"/>
        <v>-12857.142857142857</v>
      </c>
      <c r="G34" s="39">
        <f t="shared" si="5"/>
        <v>122</v>
      </c>
      <c r="H34" s="73">
        <f t="shared" si="6"/>
        <v>-0.12857142857142856</v>
      </c>
      <c r="I34" s="202">
        <f t="shared" si="7"/>
        <v>-19285.714285714283</v>
      </c>
      <c r="J34" s="125">
        <f t="shared" si="8"/>
        <v>122</v>
      </c>
      <c r="K34" s="73">
        <f t="shared" si="9"/>
        <v>-0.12857142857142856</v>
      </c>
      <c r="L34" s="136">
        <f t="shared" si="10"/>
        <v>-19285.714285714283</v>
      </c>
      <c r="M34" s="39">
        <f t="shared" si="11"/>
        <v>123</v>
      </c>
      <c r="N34" s="73">
        <f t="shared" si="12"/>
        <v>-0.12142857142857143</v>
      </c>
      <c r="O34" s="136">
        <f t="shared" si="13"/>
        <v>-18214.285714285714</v>
      </c>
      <c r="Q34" s="267"/>
      <c r="R34" s="267"/>
      <c r="S34" s="267"/>
    </row>
    <row r="35" spans="1:19" ht="17.25" customHeight="1">
      <c r="A35" s="124" t="s">
        <v>226</v>
      </c>
      <c r="B35" s="125">
        <f t="shared" si="0"/>
        <v>484</v>
      </c>
      <c r="C35" s="73">
        <f t="shared" si="1"/>
        <v>-1.4256619099999999E-2</v>
      </c>
      <c r="D35" s="125">
        <f t="shared" si="2"/>
        <v>426</v>
      </c>
      <c r="E35" s="73">
        <f t="shared" si="3"/>
        <v>-0.11983471074380166</v>
      </c>
      <c r="F35" s="136">
        <f t="shared" si="4"/>
        <v>-17975.206611570247</v>
      </c>
      <c r="G35" s="39">
        <f t="shared" si="5"/>
        <v>412</v>
      </c>
      <c r="H35" s="73">
        <f t="shared" si="6"/>
        <v>-0.1487603305785124</v>
      </c>
      <c r="I35" s="202">
        <f t="shared" si="7"/>
        <v>-22314.049586776859</v>
      </c>
      <c r="J35" s="125">
        <f t="shared" si="8"/>
        <v>424</v>
      </c>
      <c r="K35" s="73">
        <f t="shared" si="9"/>
        <v>-0.12396694214876033</v>
      </c>
      <c r="L35" s="136">
        <f t="shared" si="10"/>
        <v>-18595.041322314049</v>
      </c>
      <c r="M35" s="39">
        <f t="shared" si="11"/>
        <v>422</v>
      </c>
      <c r="N35" s="73">
        <f t="shared" si="12"/>
        <v>-0.128099173553719</v>
      </c>
      <c r="O35" s="136">
        <f t="shared" si="13"/>
        <v>-19214.876033057848</v>
      </c>
      <c r="Q35" s="289"/>
      <c r="R35" s="290"/>
      <c r="S35" s="291"/>
    </row>
    <row r="36" spans="1:19" ht="17.25" customHeight="1" thickBot="1">
      <c r="A36" s="129" t="s">
        <v>403</v>
      </c>
      <c r="B36" s="130">
        <f t="shared" si="0"/>
        <v>83.6</v>
      </c>
      <c r="C36" s="75">
        <f t="shared" si="1"/>
        <v>-0.17227722770000001</v>
      </c>
      <c r="D36" s="130">
        <f t="shared" si="2"/>
        <v>74.599999999999994</v>
      </c>
      <c r="E36" s="75">
        <f t="shared" si="3"/>
        <v>-0.1076555023923445</v>
      </c>
      <c r="F36" s="137">
        <f t="shared" si="4"/>
        <v>-16148.325358851676</v>
      </c>
      <c r="G36" s="37">
        <f t="shared" si="5"/>
        <v>70</v>
      </c>
      <c r="H36" s="75">
        <f t="shared" si="6"/>
        <v>-0.16267942583732051</v>
      </c>
      <c r="I36" s="207">
        <f t="shared" si="7"/>
        <v>-24401.913875598075</v>
      </c>
      <c r="J36" s="130">
        <f t="shared" si="8"/>
        <v>72.2</v>
      </c>
      <c r="K36" s="75">
        <f t="shared" si="9"/>
        <v>-0.13636363636363627</v>
      </c>
      <c r="L36" s="137">
        <f t="shared" si="10"/>
        <v>-20454.545454545441</v>
      </c>
      <c r="M36" s="37">
        <f t="shared" si="11"/>
        <v>72.2</v>
      </c>
      <c r="N36" s="75">
        <f t="shared" si="12"/>
        <v>-0.13636363636363627</v>
      </c>
      <c r="O36" s="137">
        <f t="shared" si="13"/>
        <v>-20454.545454545441</v>
      </c>
      <c r="Q36" s="292"/>
      <c r="R36" s="293"/>
      <c r="S36" s="294"/>
    </row>
    <row r="37" spans="1:19" ht="17.25" customHeight="1" thickBot="1">
      <c r="A37" s="131" t="s">
        <v>42</v>
      </c>
      <c r="B37" s="300">
        <v>150000</v>
      </c>
      <c r="C37" s="301"/>
      <c r="D37" s="131" t="s">
        <v>43</v>
      </c>
      <c r="E37" s="223">
        <f>IF(COUNT(E17:E36), SUM(E17:E36) / COUNT(E17:E36), 0)</f>
        <v>-8.9485570450694885E-2</v>
      </c>
      <c r="F37" s="208">
        <f>SUM(F17:F36)</f>
        <v>-268456.71135208471</v>
      </c>
      <c r="G37" s="131" t="s">
        <v>43</v>
      </c>
      <c r="H37" s="223">
        <f>IF(COUNT(H17:H36), SUM(H17:H36) / COUNT(H17:H36), 0)</f>
        <v>-0.12504896406063606</v>
      </c>
      <c r="I37" s="208">
        <f>SUM(I17:I36)</f>
        <v>-375146.89218190819</v>
      </c>
      <c r="J37" s="131" t="s">
        <v>43</v>
      </c>
      <c r="K37" s="223">
        <f>IF(COUNT(K17:K36), SUM(K17:K36) / COUNT(K17:K36), 0)</f>
        <v>-0.11021560013295661</v>
      </c>
      <c r="L37" s="208">
        <f>SUM(L17:L36)</f>
        <v>-330646.80039886979</v>
      </c>
      <c r="M37" s="131" t="s">
        <v>43</v>
      </c>
      <c r="N37" s="223">
        <f>IF(COUNT(N17:N36), SUM(N17:N36) / COUNT(N17:N36), 0)</f>
        <v>-0.11294928574022531</v>
      </c>
      <c r="O37" s="208">
        <f>SUM(O17:O36)</f>
        <v>-338847.85722067603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217" t="s">
        <v>298</v>
      </c>
      <c r="B41" s="241" t="s">
        <v>49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62017000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-1.6680144000000001E-2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2021-05-13(목) 오전 00:00</v>
      </c>
      <c r="C42" s="305"/>
      <c r="D42" s="241" t="str">
        <f>TEXT($G$1, "[$-ko-KR]yyyy-mm-dd(ddd) ") &amp; "오후 14:00"</f>
        <v>2021-05-13(목) 오후 14:00</v>
      </c>
      <c r="E42" s="242"/>
      <c r="F42" s="243"/>
      <c r="G42" s="241" t="str">
        <f>TEXT($G$1, "[$-ko-KR]yyyy-mm-dd(ddd) ") &amp; "오후 19:00"</f>
        <v>2021-05-13(목) 오후 19:00</v>
      </c>
      <c r="H42" s="242"/>
      <c r="I42" s="243"/>
      <c r="J42" s="241" t="str">
        <f>TEXT($G$1, "[$-ko-KR]yyyy-mm-dd(ddd) ") &amp; "오후 21:00"</f>
        <v>2021-05-13(목) 오후 21:00</v>
      </c>
      <c r="K42" s="242"/>
      <c r="L42" s="243"/>
      <c r="M42" s="241" t="str">
        <f>TEXT($G$1+1, "[$-ko-KR]yyyy-mm-dd(ddd) ") &amp; "오전 00:00"</f>
        <v>2021-05-14(금) 오전 00:00</v>
      </c>
      <c r="N42" s="242"/>
      <c r="O42" s="243"/>
      <c r="Q42" s="262"/>
      <c r="R42" s="262"/>
      <c r="S42" s="262"/>
    </row>
    <row r="43" spans="1:19" ht="17.25" customHeight="1" thickBot="1">
      <c r="A43" s="303"/>
      <c r="B43" s="120" t="s">
        <v>58</v>
      </c>
      <c r="C43" s="121" t="s">
        <v>59</v>
      </c>
      <c r="D43" s="120" t="s">
        <v>58</v>
      </c>
      <c r="E43" s="121" t="s">
        <v>299</v>
      </c>
      <c r="F43" s="224" t="s">
        <v>300</v>
      </c>
      <c r="G43" s="217" t="s">
        <v>58</v>
      </c>
      <c r="H43" s="218" t="s">
        <v>299</v>
      </c>
      <c r="I43" s="219" t="s">
        <v>300</v>
      </c>
      <c r="J43" s="121" t="s">
        <v>58</v>
      </c>
      <c r="K43" s="121" t="s">
        <v>299</v>
      </c>
      <c r="L43" s="221" t="s">
        <v>300</v>
      </c>
      <c r="M43" s="120" t="s">
        <v>58</v>
      </c>
      <c r="N43" s="121" t="s">
        <v>299</v>
      </c>
      <c r="O43" s="222" t="s">
        <v>300</v>
      </c>
      <c r="Q43" s="267"/>
      <c r="R43" s="267"/>
      <c r="S43" s="267"/>
    </row>
    <row r="44" spans="1:19" ht="17.25" customHeight="1" thickBot="1">
      <c r="A44" s="122" t="s">
        <v>198</v>
      </c>
      <c r="B44" s="123">
        <v>28</v>
      </c>
      <c r="C44" s="72">
        <v>6.4638783300000002E-2</v>
      </c>
      <c r="D44" s="123">
        <v>24.4</v>
      </c>
      <c r="E44" s="72">
        <f>IF(ISNUMBER(D44), (D44 - $B44) / $B44, "")</f>
        <v>-0.12857142857142861</v>
      </c>
      <c r="F44" s="140">
        <f>IF(ISNUMBER(D44), $B64 * E44, "")</f>
        <v>-19285.714285714294</v>
      </c>
      <c r="G44" s="38">
        <v>23.6</v>
      </c>
      <c r="H44" s="72">
        <f>IF(ISNUMBER(G44), (G44 - $B44) / $B44, "")</f>
        <v>-0.15714285714285708</v>
      </c>
      <c r="I44" s="201">
        <f>IF(ISNUMBER(G44), $B64 * H44, "")</f>
        <v>-23571.428571428562</v>
      </c>
      <c r="J44" s="123">
        <v>23.8</v>
      </c>
      <c r="K44" s="72">
        <f>IF(ISNUMBER(J44), (J44 - $B44) / $B44, "")</f>
        <v>-0.14999999999999997</v>
      </c>
      <c r="L44" s="140">
        <f>IF(ISNUMBER(J44), $B64 * K44, "")</f>
        <v>-22499.999999999996</v>
      </c>
      <c r="M44" s="38">
        <v>23.8</v>
      </c>
      <c r="N44" s="72">
        <f>IF(ISNUMBER(M44), (M44 - $B44) / $B44, "")</f>
        <v>-0.14999999999999997</v>
      </c>
      <c r="O44" s="140">
        <f>IF(ISNUMBER(M44), $B64 * N44, "")</f>
        <v>-22499.999999999996</v>
      </c>
      <c r="Q44" s="262"/>
      <c r="R44" s="262"/>
      <c r="S44" s="262"/>
    </row>
    <row r="45" spans="1:19" ht="17.25" customHeight="1" thickBot="1">
      <c r="A45" s="124" t="s">
        <v>172</v>
      </c>
      <c r="B45" s="125">
        <v>24.3</v>
      </c>
      <c r="C45" s="73">
        <v>3.8461538500000003E-2</v>
      </c>
      <c r="D45" s="125">
        <v>24.5</v>
      </c>
      <c r="E45" s="73">
        <f t="shared" ref="E45:E48" si="14">IF(ISNUMBER(D45), (D45 - $B45) / $B45, "")</f>
        <v>8.2304526748970906E-3</v>
      </c>
      <c r="F45" s="136">
        <f>IF(ISNUMBER(D45), $B64 * E45, "")</f>
        <v>1234.5679012345636</v>
      </c>
      <c r="G45" s="39">
        <v>23</v>
      </c>
      <c r="H45" s="73">
        <f t="shared" ref="H45:H48" si="15">IF(ISNUMBER(G45), (G45 - $B45) / $B45, "")</f>
        <v>-5.3497942386831303E-2</v>
      </c>
      <c r="I45" s="202">
        <f>IF(ISNUMBER(G45), $B64 * H45, "")</f>
        <v>-8024.6913580246955</v>
      </c>
      <c r="J45" s="125">
        <v>23.7</v>
      </c>
      <c r="K45" s="73">
        <f t="shared" ref="K45:K48" si="16">IF(ISNUMBER(J45), (J45 - $B45) / $B45, "")</f>
        <v>-2.4691358024691416E-2</v>
      </c>
      <c r="L45" s="136">
        <f>IF(ISNUMBER(J45), $B64 * K45, "")</f>
        <v>-3703.7037037037126</v>
      </c>
      <c r="M45" s="39">
        <v>23.8</v>
      </c>
      <c r="N45" s="73">
        <f t="shared" ref="N45:N48" si="17">IF(ISNUMBER(M45), (M45 - $B45) / $B45, "")</f>
        <v>-2.0576131687242798E-2</v>
      </c>
      <c r="O45" s="136">
        <f>IF(ISNUMBER(M45), $B64 * N45, "")</f>
        <v>-3086.4197530864199</v>
      </c>
      <c r="Q45" s="262"/>
      <c r="R45" s="262"/>
      <c r="S45" s="262"/>
    </row>
    <row r="46" spans="1:19" ht="17.25" customHeight="1" thickBot="1">
      <c r="A46" s="124" t="s">
        <v>214</v>
      </c>
      <c r="B46" s="125">
        <v>22.4</v>
      </c>
      <c r="C46" s="73">
        <v>9.0090090000000001E-3</v>
      </c>
      <c r="D46" s="125">
        <v>20.100000000000001</v>
      </c>
      <c r="E46" s="73">
        <f t="shared" si="14"/>
        <v>-0.10267857142857131</v>
      </c>
      <c r="F46" s="136">
        <f>IF(ISNUMBER(D46), $B64 * E46, "")</f>
        <v>-15401.785714285697</v>
      </c>
      <c r="G46" s="39">
        <v>19.399999999999999</v>
      </c>
      <c r="H46" s="73">
        <f t="shared" si="15"/>
        <v>-0.13392857142857142</v>
      </c>
      <c r="I46" s="202">
        <f>IF(ISNUMBER(G46), $B64 * H46, "")</f>
        <v>-20089.285714285714</v>
      </c>
      <c r="J46" s="125">
        <v>19.5</v>
      </c>
      <c r="K46" s="73">
        <f t="shared" si="16"/>
        <v>-0.12946428571428567</v>
      </c>
      <c r="L46" s="136">
        <f>IF(ISNUMBER(J46), $B64 * K46, "")</f>
        <v>-19419.642857142851</v>
      </c>
      <c r="M46" s="39">
        <v>19.5</v>
      </c>
      <c r="N46" s="73">
        <f t="shared" si="17"/>
        <v>-0.12946428571428567</v>
      </c>
      <c r="O46" s="136">
        <f>IF(ISNUMBER(M46), $B64 * N46, "")</f>
        <v>-19419.642857142851</v>
      </c>
      <c r="Q46" s="267"/>
      <c r="R46" s="267"/>
      <c r="S46" s="267"/>
    </row>
    <row r="47" spans="1:19" ht="17.25" customHeight="1" thickBot="1">
      <c r="A47" s="124" t="s">
        <v>154</v>
      </c>
      <c r="B47" s="125">
        <v>20.100000000000001</v>
      </c>
      <c r="C47" s="73">
        <v>5.0000000000000001E-3</v>
      </c>
      <c r="D47" s="125">
        <v>18</v>
      </c>
      <c r="E47" s="73">
        <f t="shared" si="14"/>
        <v>-0.10447761194029857</v>
      </c>
      <c r="F47" s="136">
        <f>IF(ISNUMBER(D47), $B64 * E47, "")</f>
        <v>-15671.641791044785</v>
      </c>
      <c r="G47" s="39">
        <v>17.399999999999999</v>
      </c>
      <c r="H47" s="73">
        <f t="shared" si="15"/>
        <v>-0.13432835820895536</v>
      </c>
      <c r="I47" s="202">
        <f>IF(ISNUMBER(G47), $B64 * H47, "")</f>
        <v>-20149.253731343306</v>
      </c>
      <c r="J47" s="125">
        <v>17.7</v>
      </c>
      <c r="K47" s="73">
        <f t="shared" si="16"/>
        <v>-0.11940298507462696</v>
      </c>
      <c r="L47" s="136">
        <f>IF(ISNUMBER(J47), $B64 * K47, "")</f>
        <v>-17910.447761194046</v>
      </c>
      <c r="M47" s="39">
        <v>17.5</v>
      </c>
      <c r="N47" s="73">
        <f t="shared" si="17"/>
        <v>-0.12935323383084582</v>
      </c>
      <c r="O47" s="136">
        <f>IF(ISNUMBER(M47), $B64 * N47, "")</f>
        <v>-19402.985074626875</v>
      </c>
      <c r="Q47" s="267"/>
      <c r="R47" s="267"/>
      <c r="S47" s="267"/>
    </row>
    <row r="48" spans="1:19" ht="17.25" customHeight="1" thickBot="1">
      <c r="A48" s="126" t="s">
        <v>72</v>
      </c>
      <c r="B48" s="127">
        <v>36.4</v>
      </c>
      <c r="C48" s="74">
        <v>-2.7397260000000001E-3</v>
      </c>
      <c r="D48" s="127">
        <v>32.6</v>
      </c>
      <c r="E48" s="74">
        <f t="shared" si="14"/>
        <v>-0.10439560439560432</v>
      </c>
      <c r="F48" s="203">
        <f>IF(ISNUMBER(D48), $B64 * E48, "")</f>
        <v>-15659.340659340647</v>
      </c>
      <c r="G48" s="44">
        <v>30.7</v>
      </c>
      <c r="H48" s="74">
        <f t="shared" si="15"/>
        <v>-0.15659340659340659</v>
      </c>
      <c r="I48" s="204">
        <f>IF(ISNUMBER(G48), $B64 * H48, "")</f>
        <v>-23489.010989010989</v>
      </c>
      <c r="J48" s="127">
        <v>31.3</v>
      </c>
      <c r="K48" s="74">
        <f t="shared" si="16"/>
        <v>-0.14010989010989006</v>
      </c>
      <c r="L48" s="203">
        <f>IF(ISNUMBER(J48), $B64 * K48, "")</f>
        <v>-21016.483516483509</v>
      </c>
      <c r="M48" s="44">
        <v>31.5</v>
      </c>
      <c r="N48" s="74">
        <f t="shared" si="17"/>
        <v>-0.13461538461538458</v>
      </c>
      <c r="O48" s="203">
        <f>IF(ISNUMBER(M48), $B64 * N48, "")</f>
        <v>-20192.307692307688</v>
      </c>
      <c r="Q48" s="267"/>
      <c r="R48" s="267"/>
      <c r="S48" s="267"/>
    </row>
    <row r="49" spans="1:19" ht="17.25" customHeight="1" thickBot="1">
      <c r="A49" s="124" t="s">
        <v>228</v>
      </c>
      <c r="B49" s="128">
        <v>18.100000000000001</v>
      </c>
      <c r="C49" s="76">
        <v>-1.09289617E-2</v>
      </c>
      <c r="D49" s="128">
        <v>16.100000000000001</v>
      </c>
      <c r="E49" s="76">
        <f>IF(ISNUMBER(D49), (D49 - $B49) / $B49, "")</f>
        <v>-0.11049723756906077</v>
      </c>
      <c r="F49" s="205">
        <f>IF(ISNUMBER(D49), $B64 * E49, "")</f>
        <v>-16574.585635359115</v>
      </c>
      <c r="G49" s="45">
        <v>15.8</v>
      </c>
      <c r="H49" s="76">
        <f>IF(ISNUMBER(G49), (G49 - $B49) / $B49, "")</f>
        <v>-0.12707182320441993</v>
      </c>
      <c r="I49" s="206">
        <f>IF(ISNUMBER(G49), $B64 * H49, "")</f>
        <v>-19060.773480662989</v>
      </c>
      <c r="J49" s="128">
        <v>15.9</v>
      </c>
      <c r="K49" s="76">
        <f>IF(ISNUMBER(J49), (J49 - $B49) / $B49, "")</f>
        <v>-0.1215469613259669</v>
      </c>
      <c r="L49" s="205">
        <f>IF(ISNUMBER(J49), $B64 * K49, "")</f>
        <v>-18232.044198895037</v>
      </c>
      <c r="M49" s="45">
        <v>15.8</v>
      </c>
      <c r="N49" s="76">
        <f>IF(ISNUMBER(M49), (M49 - $B49) / $B49, "")</f>
        <v>-0.12707182320441993</v>
      </c>
      <c r="O49" s="205">
        <f>IF(ISNUMBER(M49), $B64 * N49, "")</f>
        <v>-19060.773480662989</v>
      </c>
      <c r="Q49" s="267"/>
      <c r="R49" s="267"/>
      <c r="S49" s="267"/>
    </row>
    <row r="50" spans="1:19" ht="17.25" customHeight="1" thickBot="1">
      <c r="A50" s="124" t="s">
        <v>222</v>
      </c>
      <c r="B50" s="125">
        <v>18.100000000000001</v>
      </c>
      <c r="C50" s="73">
        <v>-1.09289617E-2</v>
      </c>
      <c r="D50" s="125">
        <v>16.100000000000001</v>
      </c>
      <c r="E50" s="73">
        <f t="shared" ref="E50:E53" si="18">IF(ISNUMBER(D50), (D50 - $B50) / $B50, "")</f>
        <v>-0.11049723756906077</v>
      </c>
      <c r="F50" s="136">
        <f>IF(ISNUMBER(D50), $B64 * E50, "")</f>
        <v>-16574.585635359115</v>
      </c>
      <c r="G50" s="39">
        <v>15.6</v>
      </c>
      <c r="H50" s="73">
        <f t="shared" ref="H50:H53" si="19">IF(ISNUMBER(G50), (G50 - $B50) / $B50, "")</f>
        <v>-0.13812154696132606</v>
      </c>
      <c r="I50" s="202">
        <f>IF(ISNUMBER(G50), $B64 * H50, "")</f>
        <v>-20718.23204419891</v>
      </c>
      <c r="J50" s="125">
        <v>15.7</v>
      </c>
      <c r="K50" s="73">
        <f t="shared" ref="K50:K53" si="20">IF(ISNUMBER(J50), (J50 - $B50) / $B50, "")</f>
        <v>-0.13259668508287303</v>
      </c>
      <c r="L50" s="136">
        <f>IF(ISNUMBER(J50), $B64 * K50, "")</f>
        <v>-19889.502762430955</v>
      </c>
      <c r="M50" s="39">
        <v>15.7</v>
      </c>
      <c r="N50" s="73">
        <f t="shared" ref="N50:N53" si="21">IF(ISNUMBER(M50), (M50 - $B50) / $B50, "")</f>
        <v>-0.13259668508287303</v>
      </c>
      <c r="O50" s="136">
        <f>IF(ISNUMBER(M50), $B64 * N50, "")</f>
        <v>-19889.502762430955</v>
      </c>
      <c r="Q50" s="267"/>
      <c r="R50" s="267"/>
      <c r="S50" s="267"/>
    </row>
    <row r="51" spans="1:19" ht="17.25" customHeight="1" thickBot="1">
      <c r="A51" s="124" t="s">
        <v>218</v>
      </c>
      <c r="B51" s="125">
        <v>26.7</v>
      </c>
      <c r="C51" s="73">
        <v>-1.11111111E-2</v>
      </c>
      <c r="D51" s="125">
        <v>23.9</v>
      </c>
      <c r="E51" s="73">
        <f t="shared" si="18"/>
        <v>-0.10486891385767794</v>
      </c>
      <c r="F51" s="136">
        <f>IF(ISNUMBER(D51), $B64 * E51, "")</f>
        <v>-15730.33707865169</v>
      </c>
      <c r="G51" s="39">
        <v>22.6</v>
      </c>
      <c r="H51" s="73">
        <f t="shared" si="19"/>
        <v>-0.15355805243445686</v>
      </c>
      <c r="I51" s="202">
        <f>IF(ISNUMBER(G51), $B64 * H51, "")</f>
        <v>-23033.70786516853</v>
      </c>
      <c r="J51" s="125">
        <v>23.2</v>
      </c>
      <c r="K51" s="73">
        <f t="shared" si="20"/>
        <v>-0.13108614232209739</v>
      </c>
      <c r="L51" s="136">
        <f>IF(ISNUMBER(J51), $B64 * K51, "")</f>
        <v>-19662.921348314609</v>
      </c>
      <c r="M51" s="39">
        <v>23</v>
      </c>
      <c r="N51" s="73">
        <f t="shared" si="21"/>
        <v>-0.13857677902621721</v>
      </c>
      <c r="O51" s="136">
        <f>IF(ISNUMBER(M51), $B64 * N51, "")</f>
        <v>-20786.516853932582</v>
      </c>
      <c r="Q51" s="267"/>
      <c r="R51" s="267"/>
      <c r="S51" s="267"/>
    </row>
    <row r="52" spans="1:19" ht="17.25" customHeight="1" thickBot="1">
      <c r="A52" s="124" t="s">
        <v>196</v>
      </c>
      <c r="B52" s="125">
        <v>19.399999999999999</v>
      </c>
      <c r="C52" s="73">
        <v>-2.02020202E-2</v>
      </c>
      <c r="D52" s="125">
        <v>17.7</v>
      </c>
      <c r="E52" s="73">
        <f t="shared" si="18"/>
        <v>-8.762886597938141E-2</v>
      </c>
      <c r="F52" s="136">
        <f>IF(ISNUMBER(D52), $B64 * E52, "")</f>
        <v>-13144.329896907211</v>
      </c>
      <c r="G52" s="39">
        <v>17.3</v>
      </c>
      <c r="H52" s="73">
        <f t="shared" si="19"/>
        <v>-0.10824742268041226</v>
      </c>
      <c r="I52" s="202">
        <f>IF(ISNUMBER(G52), $B64 * H52, "")</f>
        <v>-16237.113402061839</v>
      </c>
      <c r="J52" s="125">
        <v>17.399999999999999</v>
      </c>
      <c r="K52" s="73">
        <f t="shared" si="20"/>
        <v>-0.10309278350515465</v>
      </c>
      <c r="L52" s="136">
        <f>IF(ISNUMBER(J52), $B64 * K52, "")</f>
        <v>-15463.917525773197</v>
      </c>
      <c r="M52" s="39">
        <v>17.399999999999999</v>
      </c>
      <c r="N52" s="73">
        <f t="shared" si="21"/>
        <v>-0.10309278350515465</v>
      </c>
      <c r="O52" s="136">
        <f>IF(ISNUMBER(M52), $B64 * N52, "")</f>
        <v>-15463.917525773197</v>
      </c>
      <c r="Q52" s="33"/>
      <c r="R52" s="33"/>
    </row>
    <row r="53" spans="1:19" ht="17.25" customHeight="1" thickBot="1">
      <c r="A53" s="129" t="s">
        <v>186</v>
      </c>
      <c r="B53" s="130">
        <v>23.8</v>
      </c>
      <c r="C53" s="75">
        <v>-2.85714286E-2</v>
      </c>
      <c r="D53" s="130">
        <v>21.3</v>
      </c>
      <c r="E53" s="75">
        <f t="shared" si="18"/>
        <v>-0.10504201680672269</v>
      </c>
      <c r="F53" s="137">
        <f>IF(ISNUMBER(D53), $B64 * E53, "")</f>
        <v>-15756.302521008403</v>
      </c>
      <c r="G53" s="37">
        <v>20.3</v>
      </c>
      <c r="H53" s="75">
        <f t="shared" si="19"/>
        <v>-0.14705882352941177</v>
      </c>
      <c r="I53" s="207">
        <f>IF(ISNUMBER(G53), $B64 * H53, "")</f>
        <v>-22058.823529411766</v>
      </c>
      <c r="J53" s="130">
        <v>20.7</v>
      </c>
      <c r="K53" s="75">
        <f t="shared" si="20"/>
        <v>-0.1302521008403362</v>
      </c>
      <c r="L53" s="137">
        <f>IF(ISNUMBER(J53), $B64 * K53, "")</f>
        <v>-19537.815126050431</v>
      </c>
      <c r="M53" s="37">
        <v>21</v>
      </c>
      <c r="N53" s="75">
        <f t="shared" si="21"/>
        <v>-0.11764705882352944</v>
      </c>
      <c r="O53" s="137">
        <f>IF(ISNUMBER(M53), $B64 * N53, "")</f>
        <v>-17647.058823529416</v>
      </c>
      <c r="Q53" s="276"/>
      <c r="R53" s="277"/>
      <c r="S53" s="278"/>
    </row>
    <row r="54" spans="1:19" ht="17.25" customHeight="1">
      <c r="A54" s="122" t="s">
        <v>268</v>
      </c>
      <c r="B54" s="123">
        <v>87.6</v>
      </c>
      <c r="C54" s="72">
        <v>-3.2044198900000001E-2</v>
      </c>
      <c r="D54" s="123">
        <v>78.8</v>
      </c>
      <c r="E54" s="72">
        <f>IF(ISNUMBER(D54), (D54 - $B54) / $B54, "")</f>
        <v>-0.10045662100456619</v>
      </c>
      <c r="F54" s="140">
        <f>IF(ISNUMBER(D54), $B64 * E54, "")</f>
        <v>-15068.493150684928</v>
      </c>
      <c r="G54" s="38">
        <v>75.3</v>
      </c>
      <c r="H54" s="72">
        <f>IF(ISNUMBER(G54), (G54 - $B54) / $B54, "")</f>
        <v>-0.14041095890410957</v>
      </c>
      <c r="I54" s="201">
        <f>IF(ISNUMBER(G54), $B64 * H54, "")</f>
        <v>-21061.643835616436</v>
      </c>
      <c r="J54" s="123">
        <v>77</v>
      </c>
      <c r="K54" s="72">
        <f>IF(ISNUMBER(J54), (J54 - $B54) / $B54, "")</f>
        <v>-0.1210045662100456</v>
      </c>
      <c r="L54" s="140">
        <f>IF(ISNUMBER(J54), $B64 * K54, "")</f>
        <v>-18150.684931506839</v>
      </c>
      <c r="M54" s="38">
        <v>77.900000000000006</v>
      </c>
      <c r="N54" s="72">
        <f>IF(ISNUMBER(M54), (M54 - $B54) / $B54, "")</f>
        <v>-0.11073059360730582</v>
      </c>
      <c r="O54" s="140">
        <f>IF(ISNUMBER(M54), $B64 * N54, "")</f>
        <v>-16609.589041095875</v>
      </c>
      <c r="Q54" s="279"/>
      <c r="R54" s="280"/>
      <c r="S54" s="281"/>
    </row>
    <row r="55" spans="1:19" ht="17.25" customHeight="1" thickBot="1">
      <c r="A55" s="124" t="s">
        <v>100</v>
      </c>
      <c r="B55" s="125">
        <v>8.1199999999999992</v>
      </c>
      <c r="C55" s="73">
        <v>-3.5629453700000001E-2</v>
      </c>
      <c r="D55" s="125">
        <v>7.6</v>
      </c>
      <c r="E55" s="73">
        <f t="shared" ref="E55:E58" si="22">IF(ISNUMBER(D55), (D55 - $B55) / $B55, "")</f>
        <v>-6.4039408866995023E-2</v>
      </c>
      <c r="F55" s="136">
        <f>IF(ISNUMBER(D55), $B64 * E55, "")</f>
        <v>-9605.9113300492536</v>
      </c>
      <c r="G55" s="39">
        <v>7.3</v>
      </c>
      <c r="H55" s="73">
        <f t="shared" ref="H55:H58" si="23">IF(ISNUMBER(G55), (G55 - $B55) / $B55, "")</f>
        <v>-0.10098522167487678</v>
      </c>
      <c r="I55" s="202">
        <f>IF(ISNUMBER(G55), $B64 * H55, "")</f>
        <v>-15147.783251231516</v>
      </c>
      <c r="J55" s="125">
        <v>7.42</v>
      </c>
      <c r="K55" s="73">
        <f t="shared" ref="K55:K58" si="24">IF(ISNUMBER(J55), (J55 - $B55) / $B55, "")</f>
        <v>-8.620689655172406E-2</v>
      </c>
      <c r="L55" s="136">
        <f>IF(ISNUMBER(J55), $B64 * K55, "")</f>
        <v>-12931.034482758609</v>
      </c>
      <c r="M55" s="39">
        <v>7.39</v>
      </c>
      <c r="N55" s="73">
        <f t="shared" ref="N55:N58" si="25">IF(ISNUMBER(M55), (M55 - $B55) / $B55, "")</f>
        <v>-8.9901477832512261E-2</v>
      </c>
      <c r="O55" s="136">
        <f>IF(ISNUMBER(M55), $B64 * N55, "")</f>
        <v>-13485.221674876839</v>
      </c>
      <c r="Q55" s="282"/>
      <c r="R55" s="283"/>
      <c r="S55" s="284"/>
    </row>
    <row r="56" spans="1:19" ht="17.25" customHeight="1" thickBot="1">
      <c r="A56" s="124" t="s">
        <v>220</v>
      </c>
      <c r="B56" s="125">
        <v>18.5</v>
      </c>
      <c r="C56" s="73">
        <v>-3.64583333E-2</v>
      </c>
      <c r="D56" s="125">
        <v>16.600000000000001</v>
      </c>
      <c r="E56" s="73">
        <f t="shared" si="22"/>
        <v>-0.10270270270270263</v>
      </c>
      <c r="F56" s="136">
        <f>IF(ISNUMBER(D56), $B64 * E56, "")</f>
        <v>-15405.405405405394</v>
      </c>
      <c r="G56" s="39">
        <v>16.3</v>
      </c>
      <c r="H56" s="73">
        <f t="shared" si="23"/>
        <v>-0.11891891891891888</v>
      </c>
      <c r="I56" s="202">
        <f>IF(ISNUMBER(G56), $B64 * H56, "")</f>
        <v>-17837.837837837833</v>
      </c>
      <c r="J56" s="125">
        <v>16.899999999999999</v>
      </c>
      <c r="K56" s="73">
        <f t="shared" si="24"/>
        <v>-8.6486486486486561E-2</v>
      </c>
      <c r="L56" s="136">
        <f>IF(ISNUMBER(J56), $B64 * K56, "")</f>
        <v>-12972.972972972984</v>
      </c>
      <c r="M56" s="39">
        <v>16.899999999999999</v>
      </c>
      <c r="N56" s="73">
        <f t="shared" si="25"/>
        <v>-8.6486486486486561E-2</v>
      </c>
      <c r="O56" s="136">
        <f>IF(ISNUMBER(M56), $B64 * N56, "")</f>
        <v>-12972.972972972984</v>
      </c>
      <c r="Q56" s="267"/>
      <c r="R56" s="267"/>
      <c r="S56" s="267"/>
    </row>
    <row r="57" spans="1:19" ht="17.25" customHeight="1" thickBot="1">
      <c r="A57" s="124" t="s">
        <v>152</v>
      </c>
      <c r="B57" s="125">
        <v>44.1</v>
      </c>
      <c r="C57" s="73">
        <v>-3.7117903899999999E-2</v>
      </c>
      <c r="D57" s="125">
        <v>39.9</v>
      </c>
      <c r="E57" s="73">
        <f t="shared" si="22"/>
        <v>-9.5238095238095302E-2</v>
      </c>
      <c r="F57" s="136">
        <f>IF(ISNUMBER(D57), $B64 * E57, "")</f>
        <v>-14285.714285714295</v>
      </c>
      <c r="G57" s="39">
        <v>38.299999999999997</v>
      </c>
      <c r="H57" s="73">
        <f t="shared" si="23"/>
        <v>-0.13151927437641733</v>
      </c>
      <c r="I57" s="202">
        <f>IF(ISNUMBER(G57), $B64 * H57, "")</f>
        <v>-19727.8911564626</v>
      </c>
      <c r="J57" s="125">
        <v>38.799999999999997</v>
      </c>
      <c r="K57" s="73">
        <f t="shared" si="24"/>
        <v>-0.12018140589569171</v>
      </c>
      <c r="L57" s="136">
        <f>IF(ISNUMBER(J57), $B64 * K57, "")</f>
        <v>-18027.210884353757</v>
      </c>
      <c r="M57" s="39">
        <v>38.799999999999997</v>
      </c>
      <c r="N57" s="73">
        <f t="shared" si="25"/>
        <v>-0.12018140589569171</v>
      </c>
      <c r="O57" s="136">
        <f>IF(ISNUMBER(M57), $B64 * N57, "")</f>
        <v>-18027.210884353757</v>
      </c>
      <c r="Q57" s="262"/>
      <c r="R57" s="262"/>
      <c r="S57" s="262"/>
    </row>
    <row r="58" spans="1:19" ht="17.25" customHeight="1" thickBot="1">
      <c r="A58" s="126" t="s">
        <v>266</v>
      </c>
      <c r="B58" s="127">
        <v>90.1</v>
      </c>
      <c r="C58" s="74">
        <v>-3.7393162399999999E-2</v>
      </c>
      <c r="D58" s="127">
        <v>83.9</v>
      </c>
      <c r="E58" s="74">
        <f t="shared" si="22"/>
        <v>-6.8812430632630289E-2</v>
      </c>
      <c r="F58" s="203">
        <f>IF(ISNUMBER(D58), $B64 * E58, "")</f>
        <v>-10321.864594894543</v>
      </c>
      <c r="G58" s="44">
        <v>82.6</v>
      </c>
      <c r="H58" s="74">
        <f t="shared" si="23"/>
        <v>-8.324084350721421E-2</v>
      </c>
      <c r="I58" s="204">
        <f>IF(ISNUMBER(G58), $B64 * H58, "")</f>
        <v>-12486.126526082131</v>
      </c>
      <c r="J58" s="127">
        <v>83.2</v>
      </c>
      <c r="K58" s="74">
        <f t="shared" si="24"/>
        <v>-7.6581576026636983E-2</v>
      </c>
      <c r="L58" s="203">
        <f>IF(ISNUMBER(J58), $B64 * K58, "")</f>
        <v>-11487.236403995548</v>
      </c>
      <c r="M58" s="44">
        <v>83.1</v>
      </c>
      <c r="N58" s="74">
        <f t="shared" si="25"/>
        <v>-7.7691453940066602E-2</v>
      </c>
      <c r="O58" s="203">
        <f>IF(ISNUMBER(M58), $B64 * N58, "")</f>
        <v>-11653.718091009991</v>
      </c>
      <c r="Q58" s="262"/>
      <c r="R58" s="262"/>
      <c r="S58" s="262"/>
    </row>
    <row r="59" spans="1:19" ht="17.25" customHeight="1" thickBot="1">
      <c r="A59" s="124" t="s">
        <v>65</v>
      </c>
      <c r="B59" s="128">
        <v>69.8</v>
      </c>
      <c r="C59" s="76">
        <v>-4.9046321499999997E-2</v>
      </c>
      <c r="D59" s="128">
        <v>64.900000000000006</v>
      </c>
      <c r="E59" s="76">
        <f>IF(ISNUMBER(D59), (D59 - $B59) / $B59, "")</f>
        <v>-7.0200573065902466E-2</v>
      </c>
      <c r="F59" s="205">
        <f>IF(ISNUMBER(D59), $B64 * E59, "")</f>
        <v>-10530.085959885369</v>
      </c>
      <c r="G59" s="45">
        <v>63</v>
      </c>
      <c r="H59" s="76">
        <f>IF(ISNUMBER(G59), (G59 - $B59) / $B59, "")</f>
        <v>-9.7421203438395373E-2</v>
      </c>
      <c r="I59" s="206">
        <f>IF(ISNUMBER(G59), $B64 * H59, "")</f>
        <v>-14613.180515759306</v>
      </c>
      <c r="J59" s="128">
        <v>63.8</v>
      </c>
      <c r="K59" s="76">
        <f>IF(ISNUMBER(J59), (J59 - $B59) / $B59, "")</f>
        <v>-8.5959885386819493E-2</v>
      </c>
      <c r="L59" s="205">
        <f>IF(ISNUMBER(J59), $B64 * K59, "")</f>
        <v>-12893.982808022924</v>
      </c>
      <c r="M59" s="45">
        <v>62.8</v>
      </c>
      <c r="N59" s="76">
        <f>IF(ISNUMBER(M59), (M59 - $B59) / $B59, "")</f>
        <v>-0.10028653295128941</v>
      </c>
      <c r="O59" s="205">
        <f>IF(ISNUMBER(M59), $B64 * N59, "")</f>
        <v>-15042.979942693411</v>
      </c>
      <c r="Q59" s="267"/>
      <c r="R59" s="267"/>
      <c r="S59" s="267"/>
    </row>
    <row r="60" spans="1:19" ht="17.25" customHeight="1" thickBot="1">
      <c r="A60" s="124" t="s">
        <v>126</v>
      </c>
      <c r="B60" s="125">
        <v>54.6</v>
      </c>
      <c r="C60" s="73">
        <v>-5.5363321799999997E-2</v>
      </c>
      <c r="D60" s="125">
        <v>50</v>
      </c>
      <c r="E60" s="73">
        <f t="shared" ref="E60:E63" si="26">IF(ISNUMBER(D60), (D60 - $B60) / $B60, "")</f>
        <v>-8.4249084249084269E-2</v>
      </c>
      <c r="F60" s="136">
        <f>IF(ISNUMBER(D60), $B64 * E60, "")</f>
        <v>-12637.362637362641</v>
      </c>
      <c r="G60" s="39">
        <v>48</v>
      </c>
      <c r="H60" s="73">
        <f t="shared" ref="H60:H63" si="27">IF(ISNUMBER(G60), (G60 - $B60) / $B60, "")</f>
        <v>-0.12087912087912091</v>
      </c>
      <c r="I60" s="202">
        <f>IF(ISNUMBER(G60), $B64 * H60, "")</f>
        <v>-18131.868131868137</v>
      </c>
      <c r="J60" s="125">
        <v>48.7</v>
      </c>
      <c r="K60" s="73">
        <f t="shared" ref="K60:K63" si="28">IF(ISNUMBER(J60), (J60 - $B60) / $B60, "")</f>
        <v>-0.10805860805860804</v>
      </c>
      <c r="L60" s="136">
        <f>IF(ISNUMBER(J60), $B64 * K60, "")</f>
        <v>-16208.791208791205</v>
      </c>
      <c r="M60" s="39">
        <v>49</v>
      </c>
      <c r="N60" s="73">
        <f t="shared" ref="N60:N63" si="29">IF(ISNUMBER(M60), (M60 - $B60) / $B60, "")</f>
        <v>-0.10256410256410259</v>
      </c>
      <c r="O60" s="136">
        <f>IF(ISNUMBER(M60), $B64 * N60, "")</f>
        <v>-15384.615384615388</v>
      </c>
      <c r="Q60" s="267"/>
      <c r="R60" s="267"/>
      <c r="S60" s="267"/>
    </row>
    <row r="61" spans="1:19" ht="17.25" customHeight="1" thickBot="1">
      <c r="A61" s="124" t="s">
        <v>254</v>
      </c>
      <c r="B61" s="125">
        <v>82.8</v>
      </c>
      <c r="C61" s="73">
        <v>-6.01589103E-2</v>
      </c>
      <c r="D61" s="125">
        <v>73.599999999999994</v>
      </c>
      <c r="E61" s="73">
        <f t="shared" si="26"/>
        <v>-0.11111111111111115</v>
      </c>
      <c r="F61" s="136">
        <f>IF(ISNUMBER(D61), $B64 * E61, "")</f>
        <v>-16666.666666666672</v>
      </c>
      <c r="G61" s="39">
        <v>71.2</v>
      </c>
      <c r="H61" s="73">
        <f t="shared" si="27"/>
        <v>-0.14009661835748785</v>
      </c>
      <c r="I61" s="202">
        <f>IF(ISNUMBER(G61), $B64 * H61, "")</f>
        <v>-21014.492753623177</v>
      </c>
      <c r="J61" s="125">
        <v>72.099999999999994</v>
      </c>
      <c r="K61" s="73">
        <f t="shared" si="28"/>
        <v>-0.12922705314009666</v>
      </c>
      <c r="L61" s="136">
        <f>IF(ISNUMBER(J61), $B64 * K61, "")</f>
        <v>-19384.057971014499</v>
      </c>
      <c r="M61" s="39">
        <v>72.900000000000006</v>
      </c>
      <c r="N61" s="73">
        <f t="shared" si="29"/>
        <v>-0.11956521739130425</v>
      </c>
      <c r="O61" s="136">
        <f>IF(ISNUMBER(M61), $B64 * N61, "")</f>
        <v>-17934.782608695637</v>
      </c>
      <c r="Q61" s="267"/>
      <c r="R61" s="267"/>
      <c r="S61" s="267"/>
    </row>
    <row r="62" spans="1:19" ht="17.25" customHeight="1">
      <c r="A62" s="124" t="s">
        <v>236</v>
      </c>
      <c r="B62" s="125">
        <v>83.6</v>
      </c>
      <c r="C62" s="73">
        <v>-0.17227722770000001</v>
      </c>
      <c r="D62" s="125">
        <v>74.599999999999994</v>
      </c>
      <c r="E62" s="73">
        <f t="shared" si="26"/>
        <v>-0.1076555023923445</v>
      </c>
      <c r="F62" s="136">
        <f>IF(ISNUMBER(D62), $B64 * E62, "")</f>
        <v>-16148.325358851676</v>
      </c>
      <c r="G62" s="39">
        <v>70</v>
      </c>
      <c r="H62" s="73">
        <f t="shared" si="27"/>
        <v>-0.16267942583732051</v>
      </c>
      <c r="I62" s="202">
        <f>IF(ISNUMBER(G62), $B64 * H62, "")</f>
        <v>-24401.913875598075</v>
      </c>
      <c r="J62" s="125">
        <v>72.2</v>
      </c>
      <c r="K62" s="73">
        <f t="shared" si="28"/>
        <v>-0.13636363636363627</v>
      </c>
      <c r="L62" s="136">
        <f>IF(ISNUMBER(J62), $B64 * K62, "")</f>
        <v>-20454.545454545441</v>
      </c>
      <c r="M62" s="39">
        <v>72.2</v>
      </c>
      <c r="N62" s="73">
        <f t="shared" si="29"/>
        <v>-0.13636363636363627</v>
      </c>
      <c r="O62" s="136">
        <f>IF(ISNUMBER(M62), $B64 * N62, "")</f>
        <v>-20454.545454545441</v>
      </c>
      <c r="Q62" s="289"/>
      <c r="R62" s="290"/>
      <c r="S62" s="291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292"/>
      <c r="R63" s="293"/>
      <c r="S63" s="294"/>
    </row>
    <row r="64" spans="1:19" ht="17.25" customHeight="1" thickBot="1">
      <c r="A64" s="131" t="s">
        <v>301</v>
      </c>
      <c r="B64" s="300">
        <f>$B$37</f>
        <v>150000</v>
      </c>
      <c r="C64" s="301"/>
      <c r="D64" s="131" t="s">
        <v>302</v>
      </c>
      <c r="E64" s="223">
        <f>IF(COUNT(E44:E63), SUM(E44:E63) / COUNT(E44:E63), 0)</f>
        <v>-9.2362766563491627E-2</v>
      </c>
      <c r="F64" s="208">
        <f>SUM(F44:F63)</f>
        <v>-263233.88470595115</v>
      </c>
      <c r="G64" s="131" t="s">
        <v>302</v>
      </c>
      <c r="H64" s="223">
        <f>IF(COUNT(H44:H63), SUM(H44:H63) / COUNT(H44:H63), 0)</f>
        <v>-0.12661581002444788</v>
      </c>
      <c r="I64" s="208">
        <f>SUM(I44:I63)</f>
        <v>-360855.05856967648</v>
      </c>
      <c r="J64" s="131" t="s">
        <v>302</v>
      </c>
      <c r="K64" s="223">
        <f>IF(COUNT(K44:K63), SUM(K44:K63) / COUNT(K44:K63), 0)</f>
        <v>-0.11222701611156145</v>
      </c>
      <c r="L64" s="208">
        <f>SUM(L44:L63)</f>
        <v>-319846.99591795017</v>
      </c>
      <c r="M64" s="131" t="s">
        <v>302</v>
      </c>
      <c r="N64" s="223">
        <f>IF(COUNT(N44:N63), SUM(N44:N63) / COUNT(N44:N63), 0)</f>
        <v>-0.11193500381696571</v>
      </c>
      <c r="O64" s="208">
        <f>SUM(O44:O63)</f>
        <v>-319014.76087835233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217" t="s">
        <v>298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62017000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-1.6680144000000001E-2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2021-05-13(목) 오전 00:00</v>
      </c>
      <c r="C69" s="305"/>
      <c r="D69" s="241" t="str">
        <f>TEXT($G$1, "[$-ko-KR]yyyy-mm-dd(ddd) ") &amp; "오후 14:00"</f>
        <v>2021-05-13(목) 오후 14:00</v>
      </c>
      <c r="E69" s="242"/>
      <c r="F69" s="243"/>
      <c r="G69" s="241" t="str">
        <f>TEXT($G$1, "[$-ko-KR]yyyy-mm-dd(ddd) ") &amp; "오후 19:00"</f>
        <v>2021-05-13(목) 오후 19:00</v>
      </c>
      <c r="H69" s="242"/>
      <c r="I69" s="243"/>
      <c r="J69" s="241" t="str">
        <f>TEXT($G$1, "[$-ko-KR]yyyy-mm-dd(ddd) ") &amp; "오후 21:00"</f>
        <v>2021-05-13(목) 오후 21:00</v>
      </c>
      <c r="K69" s="242"/>
      <c r="L69" s="243"/>
      <c r="M69" s="241" t="str">
        <f>TEXT($G$1+1, "[$-ko-KR]yyyy-mm-dd(ddd) ") &amp; "오전 00:00"</f>
        <v>2021-05-14(금) 오전 00:00</v>
      </c>
      <c r="N69" s="242"/>
      <c r="O69" s="243"/>
      <c r="Q69" s="262"/>
      <c r="R69" s="262"/>
      <c r="S69" s="262"/>
    </row>
    <row r="70" spans="1:19" ht="17.25" thickBot="1">
      <c r="A70" s="303"/>
      <c r="B70" s="120" t="s">
        <v>58</v>
      </c>
      <c r="C70" s="121" t="s">
        <v>59</v>
      </c>
      <c r="D70" s="120" t="s">
        <v>58</v>
      </c>
      <c r="E70" s="121" t="s">
        <v>299</v>
      </c>
      <c r="F70" s="224" t="s">
        <v>300</v>
      </c>
      <c r="G70" s="217" t="s">
        <v>58</v>
      </c>
      <c r="H70" s="218" t="s">
        <v>299</v>
      </c>
      <c r="I70" s="219" t="s">
        <v>300</v>
      </c>
      <c r="J70" s="121" t="s">
        <v>58</v>
      </c>
      <c r="K70" s="121" t="s">
        <v>299</v>
      </c>
      <c r="L70" s="221" t="s">
        <v>300</v>
      </c>
      <c r="M70" s="120" t="s">
        <v>58</v>
      </c>
      <c r="N70" s="121" t="s">
        <v>299</v>
      </c>
      <c r="O70" s="222" t="s">
        <v>300</v>
      </c>
      <c r="Q70" s="267"/>
      <c r="R70" s="267"/>
      <c r="S70" s="267"/>
    </row>
    <row r="71" spans="1:19" ht="17.25" thickBot="1">
      <c r="A71" s="122" t="s">
        <v>208</v>
      </c>
      <c r="B71" s="123">
        <v>555</v>
      </c>
      <c r="C71" s="72">
        <v>0.19098712449999999</v>
      </c>
      <c r="D71" s="123">
        <v>481</v>
      </c>
      <c r="E71" s="72">
        <f>IF(ISNUMBER(D71), (D71 - $B71) / $B71, "")</f>
        <v>-0.13333333333333333</v>
      </c>
      <c r="F71" s="140">
        <f>IF(ISNUMBER(D71), $B91 * E71, "")</f>
        <v>-20000</v>
      </c>
      <c r="G71" s="38">
        <v>446</v>
      </c>
      <c r="H71" s="72">
        <f>IF(ISNUMBER(G71), (G71 - $B71) / $B71, "")</f>
        <v>-0.19639639639639639</v>
      </c>
      <c r="I71" s="201">
        <f>IF(ISNUMBER(G71), $B91 * H71, "")</f>
        <v>-29459.45945945946</v>
      </c>
      <c r="J71" s="123">
        <v>453</v>
      </c>
      <c r="K71" s="72">
        <f>IF(ISNUMBER(J71), (J71 - $B71) / $B71, "")</f>
        <v>-0.18378378378378379</v>
      </c>
      <c r="L71" s="140">
        <f>IF(ISNUMBER(J71), $B91 * K71, "")</f>
        <v>-27567.56756756757</v>
      </c>
      <c r="M71" s="38">
        <v>448</v>
      </c>
      <c r="N71" s="72">
        <f>IF(ISNUMBER(M71), (M71 - $B71) / $B71, "")</f>
        <v>-0.19279279279279279</v>
      </c>
      <c r="O71" s="140">
        <f>IF(ISNUMBER(M71), $B91 * N71, "")</f>
        <v>-28918.91891891892</v>
      </c>
      <c r="Q71" s="262"/>
      <c r="R71" s="262"/>
      <c r="S71" s="262"/>
    </row>
    <row r="72" spans="1:19" ht="17.25" thickBot="1">
      <c r="A72" s="124" t="s">
        <v>134</v>
      </c>
      <c r="B72" s="125">
        <v>160</v>
      </c>
      <c r="C72" s="73">
        <v>1.9108280299999999E-2</v>
      </c>
      <c r="D72" s="125">
        <v>147</v>
      </c>
      <c r="E72" s="73">
        <f t="shared" ref="E72:E75" si="30">IF(ISNUMBER(D72), (D72 - $B72) / $B72, "")</f>
        <v>-8.1250000000000003E-2</v>
      </c>
      <c r="F72" s="136">
        <f>IF(ISNUMBER(D72), $B91 * E72, "")</f>
        <v>-12187.5</v>
      </c>
      <c r="G72" s="39">
        <v>138</v>
      </c>
      <c r="H72" s="73">
        <f t="shared" ref="H72:H75" si="31">IF(ISNUMBER(G72), (G72 - $B72) / $B72, "")</f>
        <v>-0.13750000000000001</v>
      </c>
      <c r="I72" s="202">
        <f>IF(ISNUMBER(G72), $B91 * H72, "")</f>
        <v>-20625</v>
      </c>
      <c r="J72" s="125">
        <v>142</v>
      </c>
      <c r="K72" s="73">
        <f t="shared" ref="K72:K75" si="32">IF(ISNUMBER(J72), (J72 - $B72) / $B72, "")</f>
        <v>-0.1125</v>
      </c>
      <c r="L72" s="136">
        <f>IF(ISNUMBER(J72), $B91 * K72, "")</f>
        <v>-16875</v>
      </c>
      <c r="M72" s="39">
        <v>141</v>
      </c>
      <c r="N72" s="73">
        <f t="shared" ref="N72:N75" si="33">IF(ISNUMBER(M72), (M72 - $B72) / $B72, "")</f>
        <v>-0.11874999999999999</v>
      </c>
      <c r="O72" s="136">
        <f>IF(ISNUMBER(M72), $B91 * N72, "")</f>
        <v>-17812.5</v>
      </c>
      <c r="Q72" s="262"/>
      <c r="R72" s="262"/>
      <c r="S72" s="262"/>
    </row>
    <row r="73" spans="1:19" ht="17.25" thickBot="1">
      <c r="A73" s="124" t="s">
        <v>256</v>
      </c>
      <c r="B73" s="125">
        <v>247</v>
      </c>
      <c r="C73" s="73">
        <v>1.6460905299999998E-2</v>
      </c>
      <c r="D73" s="125">
        <v>224</v>
      </c>
      <c r="E73" s="73">
        <f t="shared" si="30"/>
        <v>-9.3117408906882596E-2</v>
      </c>
      <c r="F73" s="136">
        <f>IF(ISNUMBER(D73), $B91 * E73, "")</f>
        <v>-13967.611336032389</v>
      </c>
      <c r="G73" s="39">
        <v>232</v>
      </c>
      <c r="H73" s="73">
        <f t="shared" si="31"/>
        <v>-6.0728744939271252E-2</v>
      </c>
      <c r="I73" s="202">
        <f>IF(ISNUMBER(G73), $B91 * H73, "")</f>
        <v>-9109.3117408906874</v>
      </c>
      <c r="J73" s="125">
        <v>232</v>
      </c>
      <c r="K73" s="73">
        <f t="shared" si="32"/>
        <v>-6.0728744939271252E-2</v>
      </c>
      <c r="L73" s="136">
        <f>IF(ISNUMBER(J73), $B91 * K73, "")</f>
        <v>-9109.3117408906874</v>
      </c>
      <c r="M73" s="39">
        <v>229</v>
      </c>
      <c r="N73" s="73">
        <f t="shared" si="33"/>
        <v>-7.28744939271255E-2</v>
      </c>
      <c r="O73" s="136">
        <f>IF(ISNUMBER(M73), $B91 * N73, "")</f>
        <v>-10931.174089068825</v>
      </c>
      <c r="Q73" s="267"/>
      <c r="R73" s="267"/>
      <c r="S73" s="267"/>
    </row>
    <row r="74" spans="1:19" ht="17.25" thickBot="1">
      <c r="A74" s="124" t="s">
        <v>120</v>
      </c>
      <c r="B74" s="125">
        <v>215</v>
      </c>
      <c r="C74" s="73">
        <v>1.4150943399999999E-2</v>
      </c>
      <c r="D74" s="125">
        <v>203</v>
      </c>
      <c r="E74" s="73">
        <f t="shared" si="30"/>
        <v>-5.5813953488372092E-2</v>
      </c>
      <c r="F74" s="136">
        <f>IF(ISNUMBER(D74), $B91 * E74, "")</f>
        <v>-8372.093023255813</v>
      </c>
      <c r="G74" s="39">
        <v>197</v>
      </c>
      <c r="H74" s="73">
        <f t="shared" si="31"/>
        <v>-8.3720930232558138E-2</v>
      </c>
      <c r="I74" s="202">
        <f>IF(ISNUMBER(G74), $B91 * H74, "")</f>
        <v>-12558.139534883721</v>
      </c>
      <c r="J74" s="125">
        <v>199</v>
      </c>
      <c r="K74" s="73">
        <f t="shared" si="32"/>
        <v>-7.441860465116279E-2</v>
      </c>
      <c r="L74" s="136">
        <f>IF(ISNUMBER(J74), $B91 * K74, "")</f>
        <v>-11162.790697674418</v>
      </c>
      <c r="M74" s="39">
        <v>199</v>
      </c>
      <c r="N74" s="73">
        <f t="shared" si="33"/>
        <v>-7.441860465116279E-2</v>
      </c>
      <c r="O74" s="136">
        <f>IF(ISNUMBER(M74), $B91 * N74, "")</f>
        <v>-11162.790697674418</v>
      </c>
      <c r="Q74" s="267"/>
      <c r="R74" s="267"/>
      <c r="S74" s="267"/>
    </row>
    <row r="75" spans="1:19" ht="17.25" thickBot="1">
      <c r="A75" s="126" t="s">
        <v>264</v>
      </c>
      <c r="B75" s="127">
        <v>166</v>
      </c>
      <c r="C75" s="74">
        <v>6.0606061000000001E-3</v>
      </c>
      <c r="D75" s="127">
        <v>152</v>
      </c>
      <c r="E75" s="74">
        <f t="shared" si="30"/>
        <v>-8.4337349397590355E-2</v>
      </c>
      <c r="F75" s="203">
        <f>IF(ISNUMBER(D75), $B91 * E75, "")</f>
        <v>-12650.602409638554</v>
      </c>
      <c r="G75" s="44">
        <v>144</v>
      </c>
      <c r="H75" s="74">
        <f t="shared" si="31"/>
        <v>-0.13253012048192772</v>
      </c>
      <c r="I75" s="204">
        <f>IF(ISNUMBER(G75), $B91 * H75, "")</f>
        <v>-19879.518072289156</v>
      </c>
      <c r="J75" s="127">
        <v>148</v>
      </c>
      <c r="K75" s="74">
        <f t="shared" si="32"/>
        <v>-0.10843373493975904</v>
      </c>
      <c r="L75" s="203">
        <f>IF(ISNUMBER(J75), $B91 * K75, "")</f>
        <v>-16265.060240963856</v>
      </c>
      <c r="M75" s="44">
        <v>147</v>
      </c>
      <c r="N75" s="74">
        <f t="shared" si="33"/>
        <v>-0.1144578313253012</v>
      </c>
      <c r="O75" s="203">
        <f>IF(ISNUMBER(M75), $B91 * N75, "")</f>
        <v>-17168.674698795181</v>
      </c>
      <c r="Q75" s="267"/>
      <c r="R75" s="267"/>
      <c r="S75" s="267"/>
    </row>
    <row r="76" spans="1:19" ht="17.25" thickBot="1">
      <c r="A76" s="124" t="s">
        <v>230</v>
      </c>
      <c r="B76" s="128">
        <v>168</v>
      </c>
      <c r="C76" s="76">
        <v>5.9880239999999998E-3</v>
      </c>
      <c r="D76" s="128">
        <v>149</v>
      </c>
      <c r="E76" s="76">
        <f>IF(ISNUMBER(D76), (D76 - $B76) / $B76, "")</f>
        <v>-0.1130952380952381</v>
      </c>
      <c r="F76" s="205">
        <f>IF(ISNUMBER(D76), $B91 * E76, "")</f>
        <v>-16964.285714285714</v>
      </c>
      <c r="G76" s="45">
        <v>142</v>
      </c>
      <c r="H76" s="76">
        <f>IF(ISNUMBER(G76), (G76 - $B76) / $B76, "")</f>
        <v>-0.15476190476190477</v>
      </c>
      <c r="I76" s="206">
        <f>IF(ISNUMBER(G76), $B91 * H76, "")</f>
        <v>-23214.285714285714</v>
      </c>
      <c r="J76" s="128">
        <v>142</v>
      </c>
      <c r="K76" s="76">
        <f>IF(ISNUMBER(J76), (J76 - $B76) / $B76, "")</f>
        <v>-0.15476190476190477</v>
      </c>
      <c r="L76" s="205">
        <f>IF(ISNUMBER(J76), $B91 * K76, "")</f>
        <v>-23214.285714285714</v>
      </c>
      <c r="M76" s="45">
        <v>145</v>
      </c>
      <c r="N76" s="76">
        <f>IF(ISNUMBER(M76), (M76 - $B76) / $B76, "")</f>
        <v>-0.13690476190476192</v>
      </c>
      <c r="O76" s="205">
        <f>IF(ISNUMBER(M76), $B91 * N76, "")</f>
        <v>-20535.714285714286</v>
      </c>
      <c r="Q76" s="267"/>
      <c r="R76" s="267"/>
      <c r="S76" s="267"/>
    </row>
    <row r="77" spans="1:19" ht="17.25" thickBot="1">
      <c r="A77" s="124" t="s">
        <v>282</v>
      </c>
      <c r="B77" s="125">
        <v>169</v>
      </c>
      <c r="C77" s="73">
        <v>5.9523809999999996E-3</v>
      </c>
      <c r="D77" s="125">
        <v>159</v>
      </c>
      <c r="E77" s="73">
        <f t="shared" ref="E77:E80" si="34">IF(ISNUMBER(D77), (D77 - $B77) / $B77, "")</f>
        <v>-5.9171597633136092E-2</v>
      </c>
      <c r="F77" s="136">
        <f>IF(ISNUMBER(D77), $B91 * E77, "")</f>
        <v>-8875.7396449704138</v>
      </c>
      <c r="G77" s="39">
        <v>149</v>
      </c>
      <c r="H77" s="73">
        <f t="shared" ref="H77:H80" si="35">IF(ISNUMBER(G77), (G77 - $B77) / $B77, "")</f>
        <v>-0.11834319526627218</v>
      </c>
      <c r="I77" s="202">
        <f>IF(ISNUMBER(G77), $B91 * H77, "")</f>
        <v>-17751.479289940828</v>
      </c>
      <c r="J77" s="125">
        <v>152</v>
      </c>
      <c r="K77" s="73">
        <f t="shared" ref="K77:K80" si="36">IF(ISNUMBER(J77), (J77 - $B77) / $B77, "")</f>
        <v>-0.10059171597633136</v>
      </c>
      <c r="L77" s="136">
        <f>IF(ISNUMBER(J77), $B91 * K77, "")</f>
        <v>-15088.757396449704</v>
      </c>
      <c r="M77" s="39">
        <v>149</v>
      </c>
      <c r="N77" s="73">
        <f t="shared" ref="N77:N80" si="37">IF(ISNUMBER(M77), (M77 - $B77) / $B77, "")</f>
        <v>-0.11834319526627218</v>
      </c>
      <c r="O77" s="136">
        <f>IF(ISNUMBER(M77), $B91 * N77, "")</f>
        <v>-17751.479289940828</v>
      </c>
      <c r="Q77" s="267"/>
      <c r="R77" s="267"/>
      <c r="S77" s="267"/>
    </row>
    <row r="78" spans="1:19" ht="17.25" thickBot="1">
      <c r="A78" s="124" t="s">
        <v>240</v>
      </c>
      <c r="B78" s="125">
        <v>173</v>
      </c>
      <c r="C78" s="73">
        <v>5.8139534999999999E-3</v>
      </c>
      <c r="D78" s="125">
        <v>159</v>
      </c>
      <c r="E78" s="73">
        <f t="shared" si="34"/>
        <v>-8.0924855491329481E-2</v>
      </c>
      <c r="F78" s="136">
        <f>IF(ISNUMBER(D78), $B91 * E78, "")</f>
        <v>-12138.728323699423</v>
      </c>
      <c r="G78" s="39">
        <v>147</v>
      </c>
      <c r="H78" s="73">
        <f t="shared" si="35"/>
        <v>-0.15028901734104047</v>
      </c>
      <c r="I78" s="202">
        <f>IF(ISNUMBER(G78), $B91 * H78, "")</f>
        <v>-22543.352601156072</v>
      </c>
      <c r="J78" s="125">
        <v>148</v>
      </c>
      <c r="K78" s="73">
        <f t="shared" si="36"/>
        <v>-0.14450867052023122</v>
      </c>
      <c r="L78" s="136">
        <f>IF(ISNUMBER(J78), $B91 * K78, "")</f>
        <v>-21676.300578034683</v>
      </c>
      <c r="M78" s="39">
        <v>149</v>
      </c>
      <c r="N78" s="73">
        <f t="shared" si="37"/>
        <v>-0.13872832369942195</v>
      </c>
      <c r="O78" s="136">
        <f>IF(ISNUMBER(M78), $B91 * N78, "")</f>
        <v>-20809.248554913294</v>
      </c>
      <c r="Q78" s="267"/>
      <c r="R78" s="267"/>
      <c r="S78" s="267"/>
    </row>
    <row r="79" spans="1:19" ht="17.25" thickBot="1">
      <c r="A79" s="124" t="s">
        <v>246</v>
      </c>
      <c r="B79" s="125">
        <v>371</v>
      </c>
      <c r="C79" s="73">
        <v>5.4200541999999997E-3</v>
      </c>
      <c r="D79" s="125">
        <v>320</v>
      </c>
      <c r="E79" s="73">
        <f t="shared" si="34"/>
        <v>-0.13746630727762804</v>
      </c>
      <c r="F79" s="136">
        <f>IF(ISNUMBER(D79), $B91 * E79, "")</f>
        <v>-20619.946091644208</v>
      </c>
      <c r="G79" s="39">
        <v>311</v>
      </c>
      <c r="H79" s="73">
        <f t="shared" si="35"/>
        <v>-0.16172506738544473</v>
      </c>
      <c r="I79" s="202">
        <f>IF(ISNUMBER(G79), $B91 * H79, "")</f>
        <v>-24258.76010781671</v>
      </c>
      <c r="J79" s="125">
        <v>317</v>
      </c>
      <c r="K79" s="73">
        <f t="shared" si="36"/>
        <v>-0.14555256064690028</v>
      </c>
      <c r="L79" s="136">
        <f>IF(ISNUMBER(J79), $B91 * K79, "")</f>
        <v>-21832.884097035043</v>
      </c>
      <c r="M79" s="39">
        <v>317</v>
      </c>
      <c r="N79" s="73">
        <f t="shared" si="37"/>
        <v>-0.14555256064690028</v>
      </c>
      <c r="O79" s="136">
        <f>IF(ISNUMBER(M79), $B91 * N79, "")</f>
        <v>-21832.884097035043</v>
      </c>
      <c r="Q79" s="33"/>
      <c r="R79" s="33"/>
    </row>
    <row r="80" spans="1:19" ht="17.25" thickBot="1">
      <c r="A80" s="129" t="s">
        <v>200</v>
      </c>
      <c r="B80" s="130">
        <v>340</v>
      </c>
      <c r="C80" s="75">
        <v>2.9498524999999999E-3</v>
      </c>
      <c r="D80" s="130">
        <v>304</v>
      </c>
      <c r="E80" s="75">
        <f t="shared" si="34"/>
        <v>-0.10588235294117647</v>
      </c>
      <c r="F80" s="137">
        <f>IF(ISNUMBER(D80), $B91 * E80, "")</f>
        <v>-15882.35294117647</v>
      </c>
      <c r="G80" s="37">
        <v>298</v>
      </c>
      <c r="H80" s="75">
        <f t="shared" si="35"/>
        <v>-0.12352941176470589</v>
      </c>
      <c r="I80" s="207">
        <f>IF(ISNUMBER(G80), $B91 * H80, "")</f>
        <v>-18529.411764705885</v>
      </c>
      <c r="J80" s="130">
        <v>301</v>
      </c>
      <c r="K80" s="75">
        <f t="shared" si="36"/>
        <v>-0.11470588235294117</v>
      </c>
      <c r="L80" s="137">
        <f>IF(ISNUMBER(J80), $B91 * K80, "")</f>
        <v>-17205.882352941175</v>
      </c>
      <c r="M80" s="37">
        <v>300</v>
      </c>
      <c r="N80" s="75">
        <f t="shared" si="37"/>
        <v>-0.11764705882352941</v>
      </c>
      <c r="O80" s="137">
        <f>IF(ISNUMBER(M80), $B91 * N80, "")</f>
        <v>-17647.058823529413</v>
      </c>
      <c r="Q80" s="276"/>
      <c r="R80" s="277"/>
      <c r="S80" s="278"/>
    </row>
    <row r="81" spans="1:19">
      <c r="A81" s="122" t="s">
        <v>232</v>
      </c>
      <c r="B81" s="123">
        <v>173</v>
      </c>
      <c r="C81" s="72">
        <v>0</v>
      </c>
      <c r="D81" s="123">
        <v>148</v>
      </c>
      <c r="E81" s="72">
        <f>IF(ISNUMBER(D81), (D81 - $B81) / $B81, "")</f>
        <v>-0.14450867052023122</v>
      </c>
      <c r="F81" s="140">
        <f>IF(ISNUMBER(D81), $B91 * E81, "")</f>
        <v>-21676.300578034683</v>
      </c>
      <c r="G81" s="38">
        <v>143</v>
      </c>
      <c r="H81" s="72">
        <f>IF(ISNUMBER(G81), (G81 - $B81) / $B81, "")</f>
        <v>-0.17341040462427745</v>
      </c>
      <c r="I81" s="201">
        <f>IF(ISNUMBER(G81), $B91 * H81, "")</f>
        <v>-26011.560693641619</v>
      </c>
      <c r="J81" s="123">
        <v>147</v>
      </c>
      <c r="K81" s="72">
        <f>IF(ISNUMBER(J81), (J81 - $B81) / $B81, "")</f>
        <v>-0.15028901734104047</v>
      </c>
      <c r="L81" s="140">
        <f>IF(ISNUMBER(J81), $B91 * K81, "")</f>
        <v>-22543.352601156072</v>
      </c>
      <c r="M81" s="38">
        <v>144</v>
      </c>
      <c r="N81" s="72">
        <f>IF(ISNUMBER(M81), (M81 - $B81) / $B81, "")</f>
        <v>-0.16763005780346821</v>
      </c>
      <c r="O81" s="140">
        <f>IF(ISNUMBER(M81), $B91 * N81, "")</f>
        <v>-25144.50867052023</v>
      </c>
      <c r="Q81" s="279"/>
      <c r="R81" s="280"/>
      <c r="S81" s="281"/>
    </row>
    <row r="82" spans="1:19" ht="17.25" thickBot="1">
      <c r="A82" s="124" t="s">
        <v>174</v>
      </c>
      <c r="B82" s="125">
        <v>267</v>
      </c>
      <c r="C82" s="73">
        <v>-3.7313432999999999E-3</v>
      </c>
      <c r="D82" s="125">
        <v>244</v>
      </c>
      <c r="E82" s="73">
        <f t="shared" ref="E82:E85" si="38">IF(ISNUMBER(D82), (D82 - $B82) / $B82, "")</f>
        <v>-8.6142322097378279E-2</v>
      </c>
      <c r="F82" s="136">
        <f>IF(ISNUMBER(D82), $B91 * E82, "")</f>
        <v>-12921.348314606741</v>
      </c>
      <c r="G82" s="39">
        <v>239</v>
      </c>
      <c r="H82" s="73">
        <f t="shared" ref="H82:H85" si="39">IF(ISNUMBER(G82), (G82 - $B82) / $B82, "")</f>
        <v>-0.10486891385767791</v>
      </c>
      <c r="I82" s="202">
        <f>IF(ISNUMBER(G82), $B91 * H82, "")</f>
        <v>-15730.337078651686</v>
      </c>
      <c r="J82" s="125">
        <v>241</v>
      </c>
      <c r="K82" s="73">
        <f t="shared" ref="K82:K85" si="40">IF(ISNUMBER(J82), (J82 - $B82) / $B82, "")</f>
        <v>-9.7378277153558054E-2</v>
      </c>
      <c r="L82" s="136">
        <f>IF(ISNUMBER(J82), $B91 * K82, "")</f>
        <v>-14606.741573033709</v>
      </c>
      <c r="M82" s="39">
        <v>243</v>
      </c>
      <c r="N82" s="73">
        <f t="shared" ref="N82:N85" si="41">IF(ISNUMBER(M82), (M82 - $B82) / $B82, "")</f>
        <v>-8.98876404494382E-2</v>
      </c>
      <c r="O82" s="136">
        <f>IF(ISNUMBER(M82), $B91 * N82, "")</f>
        <v>-13483.14606741573</v>
      </c>
      <c r="Q82" s="282"/>
      <c r="R82" s="283"/>
      <c r="S82" s="284"/>
    </row>
    <row r="83" spans="1:19" ht="17.25" thickBot="1">
      <c r="A83" s="124" t="s">
        <v>112</v>
      </c>
      <c r="B83" s="125">
        <v>252</v>
      </c>
      <c r="C83" s="73">
        <v>-3.9525691999999996E-3</v>
      </c>
      <c r="D83" s="125">
        <v>232</v>
      </c>
      <c r="E83" s="73">
        <f t="shared" si="38"/>
        <v>-7.9365079365079361E-2</v>
      </c>
      <c r="F83" s="136">
        <f>IF(ISNUMBER(D83), $B91 * E83, "")</f>
        <v>-11904.761904761905</v>
      </c>
      <c r="G83" s="39">
        <v>225</v>
      </c>
      <c r="H83" s="73">
        <f t="shared" si="39"/>
        <v>-0.10714285714285714</v>
      </c>
      <c r="I83" s="202">
        <f>IF(ISNUMBER(G83), $B91 * H83, "")</f>
        <v>-16071.428571428571</v>
      </c>
      <c r="J83" s="125">
        <v>228</v>
      </c>
      <c r="K83" s="73">
        <f t="shared" si="40"/>
        <v>-9.5238095238095233E-2</v>
      </c>
      <c r="L83" s="136">
        <f>IF(ISNUMBER(J83), $B91 * K83, "")</f>
        <v>-14285.714285714284</v>
      </c>
      <c r="M83" s="39">
        <v>227</v>
      </c>
      <c r="N83" s="73">
        <f t="shared" si="41"/>
        <v>-9.9206349206349201E-2</v>
      </c>
      <c r="O83" s="136">
        <f>IF(ISNUMBER(M83), $B91 * N83, "")</f>
        <v>-14880.95238095238</v>
      </c>
      <c r="Q83" s="267"/>
      <c r="R83" s="267"/>
      <c r="S83" s="267"/>
    </row>
    <row r="84" spans="1:19" ht="17.25" thickBot="1">
      <c r="A84" s="124" t="s">
        <v>260</v>
      </c>
      <c r="B84" s="125">
        <v>126</v>
      </c>
      <c r="C84" s="73">
        <v>-7.8740157000000005E-3</v>
      </c>
      <c r="D84" s="125">
        <v>124</v>
      </c>
      <c r="E84" s="73">
        <f t="shared" si="38"/>
        <v>-1.5873015873015872E-2</v>
      </c>
      <c r="F84" s="136">
        <f>IF(ISNUMBER(D84), $B91 * E84, "")</f>
        <v>-2380.9523809523807</v>
      </c>
      <c r="G84" s="39">
        <v>115</v>
      </c>
      <c r="H84" s="73">
        <f t="shared" si="39"/>
        <v>-8.7301587301587297E-2</v>
      </c>
      <c r="I84" s="202">
        <f>IF(ISNUMBER(G84), $B91 * H84, "")</f>
        <v>-13095.238095238095</v>
      </c>
      <c r="J84" s="125">
        <v>117</v>
      </c>
      <c r="K84" s="73">
        <f t="shared" si="40"/>
        <v>-7.1428571428571425E-2</v>
      </c>
      <c r="L84" s="136">
        <f>IF(ISNUMBER(J84), $B91 * K84, "")</f>
        <v>-10714.285714285714</v>
      </c>
      <c r="M84" s="39">
        <v>115</v>
      </c>
      <c r="N84" s="73">
        <f t="shared" si="41"/>
        <v>-8.7301587301587297E-2</v>
      </c>
      <c r="O84" s="136">
        <f>IF(ISNUMBER(M84), $B91 * N84, "")</f>
        <v>-13095.238095238095</v>
      </c>
      <c r="Q84" s="262"/>
      <c r="R84" s="262"/>
      <c r="S84" s="262"/>
    </row>
    <row r="85" spans="1:19" ht="17.25" thickBot="1">
      <c r="A85" s="126" t="s">
        <v>122</v>
      </c>
      <c r="B85" s="127">
        <v>112</v>
      </c>
      <c r="C85" s="74">
        <v>-8.8495575000000007E-3</v>
      </c>
      <c r="D85" s="127">
        <v>105</v>
      </c>
      <c r="E85" s="74">
        <f t="shared" si="38"/>
        <v>-6.25E-2</v>
      </c>
      <c r="F85" s="203">
        <f>IF(ISNUMBER(D85), $B91 * E85, "")</f>
        <v>-9375</v>
      </c>
      <c r="G85" s="44">
        <v>103</v>
      </c>
      <c r="H85" s="74">
        <f t="shared" si="39"/>
        <v>-8.0357142857142863E-2</v>
      </c>
      <c r="I85" s="204">
        <f>IF(ISNUMBER(G85), $B91 * H85, "")</f>
        <v>-12053.571428571429</v>
      </c>
      <c r="J85" s="127">
        <v>105</v>
      </c>
      <c r="K85" s="74">
        <f t="shared" si="40"/>
        <v>-6.25E-2</v>
      </c>
      <c r="L85" s="203">
        <f>IF(ISNUMBER(J85), $B91 * K85, "")</f>
        <v>-9375</v>
      </c>
      <c r="M85" s="44">
        <v>106</v>
      </c>
      <c r="N85" s="74">
        <f t="shared" si="41"/>
        <v>-5.3571428571428568E-2</v>
      </c>
      <c r="O85" s="203">
        <f>IF(ISNUMBER(M85), $B91 * N85, "")</f>
        <v>-8035.7142857142853</v>
      </c>
      <c r="Q85" s="262"/>
      <c r="R85" s="262"/>
      <c r="S85" s="262"/>
    </row>
    <row r="86" spans="1:19" ht="17.25" thickBot="1">
      <c r="A86" s="124" t="s">
        <v>202</v>
      </c>
      <c r="B86" s="128">
        <v>190</v>
      </c>
      <c r="C86" s="76">
        <v>-1.04166667E-2</v>
      </c>
      <c r="D86" s="128">
        <v>173</v>
      </c>
      <c r="E86" s="76">
        <f>IF(ISNUMBER(D86), (D86 - $B86) / $B86, "")</f>
        <v>-8.9473684210526316E-2</v>
      </c>
      <c r="F86" s="205">
        <f>IF(ISNUMBER(D86), $B91 * E86, "")</f>
        <v>-13421.052631578947</v>
      </c>
      <c r="G86" s="45">
        <v>163</v>
      </c>
      <c r="H86" s="76">
        <f>IF(ISNUMBER(G86), (G86 - $B86) / $B86, "")</f>
        <v>-0.14210526315789473</v>
      </c>
      <c r="I86" s="206">
        <f>IF(ISNUMBER(G86), $B91 * H86, "")</f>
        <v>-21315.78947368421</v>
      </c>
      <c r="J86" s="128">
        <v>170</v>
      </c>
      <c r="K86" s="76">
        <f>IF(ISNUMBER(J86), (J86 - $B86) / $B86, "")</f>
        <v>-0.10526315789473684</v>
      </c>
      <c r="L86" s="205">
        <f>IF(ISNUMBER(J86), $B91 * K86, "")</f>
        <v>-15789.473684210525</v>
      </c>
      <c r="M86" s="45">
        <v>165</v>
      </c>
      <c r="N86" s="76">
        <f>IF(ISNUMBER(M86), (M86 - $B86) / $B86, "")</f>
        <v>-0.13157894736842105</v>
      </c>
      <c r="O86" s="205">
        <f>IF(ISNUMBER(M86), $B91 * N86, "")</f>
        <v>-19736.842105263157</v>
      </c>
      <c r="Q86" s="267"/>
      <c r="R86" s="267"/>
      <c r="S86" s="267"/>
    </row>
    <row r="87" spans="1:19" ht="17.25" thickBot="1">
      <c r="A87" s="124" t="s">
        <v>238</v>
      </c>
      <c r="B87" s="125">
        <v>276</v>
      </c>
      <c r="C87" s="73">
        <v>-1.0752688200000001E-2</v>
      </c>
      <c r="D87" s="125">
        <v>241</v>
      </c>
      <c r="E87" s="73">
        <f t="shared" ref="E87:E90" si="42">IF(ISNUMBER(D87), (D87 - $B87) / $B87, "")</f>
        <v>-0.12681159420289856</v>
      </c>
      <c r="F87" s="136">
        <f>IF(ISNUMBER(D87), $B91 * E87, "")</f>
        <v>-19021.739130434784</v>
      </c>
      <c r="G87" s="39">
        <v>238</v>
      </c>
      <c r="H87" s="73">
        <f t="shared" ref="H87:H90" si="43">IF(ISNUMBER(G87), (G87 - $B87) / $B87, "")</f>
        <v>-0.13768115942028986</v>
      </c>
      <c r="I87" s="202">
        <f>IF(ISNUMBER(G87), $B91 * H87, "")</f>
        <v>-20652.17391304348</v>
      </c>
      <c r="J87" s="125">
        <v>242</v>
      </c>
      <c r="K87" s="73">
        <f t="shared" ref="K87:K90" si="44">IF(ISNUMBER(J87), (J87 - $B87) / $B87, "")</f>
        <v>-0.12318840579710146</v>
      </c>
      <c r="L87" s="136">
        <f>IF(ISNUMBER(J87), $B91 * K87, "")</f>
        <v>-18478.26086956522</v>
      </c>
      <c r="M87" s="39">
        <v>245</v>
      </c>
      <c r="N87" s="73">
        <f t="shared" ref="N87:N90" si="45">IF(ISNUMBER(M87), (M87 - $B87) / $B87, "")</f>
        <v>-0.11231884057971014</v>
      </c>
      <c r="O87" s="136">
        <f>IF(ISNUMBER(M87), $B91 * N87, "")</f>
        <v>-16847.82608695652</v>
      </c>
      <c r="Q87" s="267"/>
      <c r="R87" s="267"/>
      <c r="S87" s="267"/>
    </row>
    <row r="88" spans="1:19" ht="17.25" thickBot="1">
      <c r="A88" s="124" t="s">
        <v>210</v>
      </c>
      <c r="B88" s="125">
        <v>181</v>
      </c>
      <c r="C88" s="73">
        <v>-1.09289617E-2</v>
      </c>
      <c r="D88" s="125">
        <v>170</v>
      </c>
      <c r="E88" s="73">
        <f t="shared" si="42"/>
        <v>-6.0773480662983423E-2</v>
      </c>
      <c r="F88" s="136">
        <f>IF(ISNUMBER(D88), $B91 * E88, "")</f>
        <v>-9116.022099447513</v>
      </c>
      <c r="G88" s="39">
        <v>162</v>
      </c>
      <c r="H88" s="73">
        <f t="shared" si="43"/>
        <v>-0.10497237569060773</v>
      </c>
      <c r="I88" s="202">
        <f>IF(ISNUMBER(G88), $B91 * H88, "")</f>
        <v>-15745.85635359116</v>
      </c>
      <c r="J88" s="125">
        <v>164</v>
      </c>
      <c r="K88" s="73">
        <f t="shared" si="44"/>
        <v>-9.3922651933701654E-2</v>
      </c>
      <c r="L88" s="136">
        <f>IF(ISNUMBER(J88), $B91 * K88, "")</f>
        <v>-14088.397790055247</v>
      </c>
      <c r="M88" s="39">
        <v>164</v>
      </c>
      <c r="N88" s="73">
        <f t="shared" si="45"/>
        <v>-9.3922651933701654E-2</v>
      </c>
      <c r="O88" s="136">
        <f>IF(ISNUMBER(M88), $B91 * N88, "")</f>
        <v>-14088.397790055247</v>
      </c>
      <c r="Q88" s="267"/>
      <c r="R88" s="267"/>
      <c r="S88" s="267"/>
    </row>
    <row r="89" spans="1:19">
      <c r="A89" s="124" t="s">
        <v>212</v>
      </c>
      <c r="B89" s="125">
        <v>140</v>
      </c>
      <c r="C89" s="73">
        <v>-1.4084507E-2</v>
      </c>
      <c r="D89" s="125">
        <v>128</v>
      </c>
      <c r="E89" s="73">
        <f t="shared" si="42"/>
        <v>-8.5714285714285715E-2</v>
      </c>
      <c r="F89" s="136">
        <f>IF(ISNUMBER(D89), $B91 * E89, "")</f>
        <v>-12857.142857142857</v>
      </c>
      <c r="G89" s="39">
        <v>122</v>
      </c>
      <c r="H89" s="73">
        <f t="shared" si="43"/>
        <v>-0.12857142857142856</v>
      </c>
      <c r="I89" s="202">
        <f>IF(ISNUMBER(G89), $B91 * H89, "")</f>
        <v>-19285.714285714283</v>
      </c>
      <c r="J89" s="125">
        <v>122</v>
      </c>
      <c r="K89" s="73">
        <f t="shared" si="44"/>
        <v>-0.12857142857142856</v>
      </c>
      <c r="L89" s="136">
        <f>IF(ISNUMBER(J89), $B91 * K89, "")</f>
        <v>-19285.714285714283</v>
      </c>
      <c r="M89" s="39">
        <v>123</v>
      </c>
      <c r="N89" s="73">
        <f t="shared" si="45"/>
        <v>-0.12142857142857143</v>
      </c>
      <c r="O89" s="136">
        <f>IF(ISNUMBER(M89), $B91 * N89, "")</f>
        <v>-18214.285714285714</v>
      </c>
      <c r="Q89" s="289"/>
      <c r="R89" s="290"/>
      <c r="S89" s="291"/>
    </row>
    <row r="90" spans="1:19" ht="17.25" thickBot="1">
      <c r="A90" s="129" t="s">
        <v>226</v>
      </c>
      <c r="B90" s="130">
        <v>484</v>
      </c>
      <c r="C90" s="75">
        <v>-1.4256619099999999E-2</v>
      </c>
      <c r="D90" s="130">
        <v>426</v>
      </c>
      <c r="E90" s="75">
        <f t="shared" si="42"/>
        <v>-0.11983471074380166</v>
      </c>
      <c r="F90" s="137">
        <f>IF(ISNUMBER(D90), $B91 * E90, "")</f>
        <v>-17975.206611570247</v>
      </c>
      <c r="G90" s="37">
        <v>412</v>
      </c>
      <c r="H90" s="75">
        <f t="shared" si="43"/>
        <v>-0.1487603305785124</v>
      </c>
      <c r="I90" s="207">
        <f>IF(ISNUMBER(G90), $B91 * H90, "")</f>
        <v>-22314.049586776859</v>
      </c>
      <c r="J90" s="130">
        <v>424</v>
      </c>
      <c r="K90" s="75">
        <f t="shared" si="44"/>
        <v>-0.12396694214876033</v>
      </c>
      <c r="L90" s="137">
        <f>IF(ISNUMBER(J90), $B91 * K90, "")</f>
        <v>-18595.041322314049</v>
      </c>
      <c r="M90" s="37">
        <v>422</v>
      </c>
      <c r="N90" s="75">
        <f t="shared" si="45"/>
        <v>-0.128099173553719</v>
      </c>
      <c r="O90" s="137">
        <f>IF(ISNUMBER(M90), $B91 * N90, "")</f>
        <v>-19214.876033057848</v>
      </c>
      <c r="Q90" s="292"/>
      <c r="R90" s="293"/>
      <c r="S90" s="294"/>
    </row>
    <row r="91" spans="1:19" ht="17.25" thickBot="1">
      <c r="A91" s="131" t="s">
        <v>301</v>
      </c>
      <c r="B91" s="300">
        <f>$B$37</f>
        <v>150000</v>
      </c>
      <c r="C91" s="301"/>
      <c r="D91" s="131" t="s">
        <v>302</v>
      </c>
      <c r="E91" s="223">
        <f>IF(COUNT(E71:E90), SUM(E71:E90) / COUNT(E71:E90), 0)</f>
        <v>-9.0769461997744327E-2</v>
      </c>
      <c r="F91" s="208">
        <f>SUM(F71:F90)</f>
        <v>-272308.38599323301</v>
      </c>
      <c r="G91" s="131" t="s">
        <v>302</v>
      </c>
      <c r="H91" s="223">
        <f>IF(COUNT(H71:H90), SUM(H71:H90) / COUNT(H71:H90), 0)</f>
        <v>-0.12673481258858987</v>
      </c>
      <c r="I91" s="208">
        <f>SUM(I71:I90)</f>
        <v>-380204.4377657696</v>
      </c>
      <c r="J91" s="131" t="s">
        <v>302</v>
      </c>
      <c r="K91" s="223">
        <f>IF(COUNT(K71:K90), SUM(K71:K90) / COUNT(K71:K90), 0)</f>
        <v>-0.11258660750396399</v>
      </c>
      <c r="L91" s="208">
        <f>SUM(L71:L90)</f>
        <v>-337759.82251189195</v>
      </c>
      <c r="M91" s="131" t="s">
        <v>302</v>
      </c>
      <c r="N91" s="223">
        <f>IF(COUNT(N71:N90), SUM(N71:N90) / COUNT(N71:N90), 0)</f>
        <v>-0.11577074356168315</v>
      </c>
      <c r="O91" s="208">
        <f>SUM(O71:O90)</f>
        <v>-347312.23068504955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217" t="s">
        <v>298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62017000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-1.6680144000000001E-2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2021-05-13(목) 오전 00:00</v>
      </c>
      <c r="C96" s="305"/>
      <c r="D96" s="241" t="str">
        <f>TEXT($G$1, "[$-ko-KR]yyyy-mm-dd(ddd) ") &amp; "오후 14:00"</f>
        <v>2021-05-13(목) 오후 14:00</v>
      </c>
      <c r="E96" s="242"/>
      <c r="F96" s="243"/>
      <c r="G96" s="241" t="str">
        <f>TEXT($G$1, "[$-ko-KR]yyyy-mm-dd(ddd) ") &amp; "오후 19:00"</f>
        <v>2021-05-13(목) 오후 19:00</v>
      </c>
      <c r="H96" s="242"/>
      <c r="I96" s="243"/>
      <c r="J96" s="241" t="str">
        <f>TEXT($G$1, "[$-ko-KR]yyyy-mm-dd(ddd) ") &amp; "오후 21:00"</f>
        <v>2021-05-13(목) 오후 21:00</v>
      </c>
      <c r="K96" s="242"/>
      <c r="L96" s="243"/>
      <c r="M96" s="241" t="str">
        <f>TEXT($G$1+1, "[$-ko-KR]yyyy-mm-dd(ddd) ") &amp; "오전 00:00"</f>
        <v>2021-05-14(금) 오전 00:00</v>
      </c>
      <c r="N96" s="242"/>
      <c r="O96" s="243"/>
      <c r="Q96" s="262"/>
      <c r="R96" s="262"/>
      <c r="S96" s="262"/>
    </row>
    <row r="97" spans="1:19" ht="17.25" thickBot="1">
      <c r="A97" s="303"/>
      <c r="B97" s="120" t="s">
        <v>58</v>
      </c>
      <c r="C97" s="121" t="s">
        <v>59</v>
      </c>
      <c r="D97" s="120" t="s">
        <v>58</v>
      </c>
      <c r="E97" s="121" t="s">
        <v>299</v>
      </c>
      <c r="F97" s="224" t="s">
        <v>300</v>
      </c>
      <c r="G97" s="217" t="s">
        <v>58</v>
      </c>
      <c r="H97" s="218" t="s">
        <v>299</v>
      </c>
      <c r="I97" s="219" t="s">
        <v>300</v>
      </c>
      <c r="J97" s="121" t="s">
        <v>58</v>
      </c>
      <c r="K97" s="121" t="s">
        <v>299</v>
      </c>
      <c r="L97" s="221" t="s">
        <v>300</v>
      </c>
      <c r="M97" s="120" t="s">
        <v>58</v>
      </c>
      <c r="N97" s="121" t="s">
        <v>299</v>
      </c>
      <c r="O97" s="222" t="s">
        <v>300</v>
      </c>
      <c r="Q97" s="267"/>
      <c r="R97" s="267"/>
      <c r="S97" s="267"/>
    </row>
    <row r="98" spans="1:19" ht="17.25" thickBot="1">
      <c r="A98" s="122" t="s">
        <v>208</v>
      </c>
      <c r="B98" s="123">
        <v>555</v>
      </c>
      <c r="C98" s="72">
        <v>0.19098712449999999</v>
      </c>
      <c r="D98" s="123">
        <v>481</v>
      </c>
      <c r="E98" s="72">
        <f>IF(ISNUMBER(D98), (D98 - $B98) / $B98, "")</f>
        <v>-0.13333333333333333</v>
      </c>
      <c r="F98" s="140">
        <f>IF(ISNUMBER(D98), $B118 * E98, "")</f>
        <v>-20000</v>
      </c>
      <c r="G98" s="38">
        <v>446</v>
      </c>
      <c r="H98" s="72">
        <f>IF(ISNUMBER(G98), (G98 - $B98) / $B98, "")</f>
        <v>-0.19639639639639639</v>
      </c>
      <c r="I98" s="201">
        <f>IF(ISNUMBER(G98), $B118 * H98, "")</f>
        <v>-29459.45945945946</v>
      </c>
      <c r="J98" s="123">
        <v>453</v>
      </c>
      <c r="K98" s="72">
        <f>IF(ISNUMBER(J98), (J98 - $B98) / $B98, "")</f>
        <v>-0.18378378378378379</v>
      </c>
      <c r="L98" s="140">
        <f>IF(ISNUMBER(J98), $B118 * K98, "")</f>
        <v>-27567.56756756757</v>
      </c>
      <c r="M98" s="38">
        <v>448</v>
      </c>
      <c r="N98" s="72">
        <f>IF(ISNUMBER(M98), (M98 - $B98) / $B98, "")</f>
        <v>-0.19279279279279279</v>
      </c>
      <c r="O98" s="140">
        <f>IF(ISNUMBER(M98), $B118 * N98, "")</f>
        <v>-28918.91891891892</v>
      </c>
      <c r="Q98" s="262"/>
      <c r="R98" s="262"/>
      <c r="S98" s="262"/>
    </row>
    <row r="99" spans="1:19" ht="17.25" thickBot="1">
      <c r="A99" s="124" t="s">
        <v>190</v>
      </c>
      <c r="B99" s="125">
        <v>72100</v>
      </c>
      <c r="C99" s="73">
        <v>9.6577946799999995E-2</v>
      </c>
      <c r="D99" s="125">
        <v>64000</v>
      </c>
      <c r="E99" s="73">
        <f t="shared" ref="E99:E102" si="46">IF(ISNUMBER(D99), (D99 - $B99) / $B99, "")</f>
        <v>-0.11234396671289876</v>
      </c>
      <c r="F99" s="136">
        <f>IF(ISNUMBER(D99), $B118 * E99, "")</f>
        <v>-16851.595006934815</v>
      </c>
      <c r="G99" s="39">
        <v>60930</v>
      </c>
      <c r="H99" s="73">
        <f t="shared" ref="H99:H102" si="47">IF(ISNUMBER(G99), (G99 - $B99) / $B99, "")</f>
        <v>-0.15492371705963939</v>
      </c>
      <c r="I99" s="202">
        <f>IF(ISNUMBER(G99), $B118 * H99, "")</f>
        <v>-23238.557558945908</v>
      </c>
      <c r="J99" s="125">
        <v>62090</v>
      </c>
      <c r="K99" s="73">
        <f t="shared" ref="K99:K102" si="48">IF(ISNUMBER(J99), (J99 - $B99) / $B99, "")</f>
        <v>-0.13883495145631067</v>
      </c>
      <c r="L99" s="136">
        <f>IF(ISNUMBER(J99), $B118 * K99, "")</f>
        <v>-20825.2427184466</v>
      </c>
      <c r="M99" s="39">
        <v>63610</v>
      </c>
      <c r="N99" s="73">
        <f t="shared" ref="N99:N102" si="49">IF(ISNUMBER(M99), (M99 - $B99) / $B99, "")</f>
        <v>-0.11775312066574202</v>
      </c>
      <c r="O99" s="136">
        <f>IF(ISNUMBER(M99), $B118 * N99, "")</f>
        <v>-17662.968099861304</v>
      </c>
      <c r="Q99" s="262"/>
      <c r="R99" s="262"/>
      <c r="S99" s="262"/>
    </row>
    <row r="100" spans="1:19" ht="17.25" thickBot="1">
      <c r="A100" s="124" t="s">
        <v>198</v>
      </c>
      <c r="B100" s="125">
        <v>28</v>
      </c>
      <c r="C100" s="73">
        <v>6.4638783300000002E-2</v>
      </c>
      <c r="D100" s="125">
        <v>24.4</v>
      </c>
      <c r="E100" s="73">
        <f t="shared" si="46"/>
        <v>-0.12857142857142861</v>
      </c>
      <c r="F100" s="136">
        <f>IF(ISNUMBER(D100), $B118 * E100, "")</f>
        <v>-19285.714285714294</v>
      </c>
      <c r="G100" s="39">
        <v>23.6</v>
      </c>
      <c r="H100" s="73">
        <f t="shared" si="47"/>
        <v>-0.15714285714285708</v>
      </c>
      <c r="I100" s="202">
        <f>IF(ISNUMBER(G100), $B118 * H100, "")</f>
        <v>-23571.428571428562</v>
      </c>
      <c r="J100" s="125">
        <v>23.8</v>
      </c>
      <c r="K100" s="73">
        <f t="shared" si="48"/>
        <v>-0.14999999999999997</v>
      </c>
      <c r="L100" s="136">
        <f>IF(ISNUMBER(J100), $B118 * K100, "")</f>
        <v>-22499.999999999996</v>
      </c>
      <c r="M100" s="39">
        <v>23.8</v>
      </c>
      <c r="N100" s="73">
        <f t="shared" si="49"/>
        <v>-0.14999999999999997</v>
      </c>
      <c r="O100" s="136">
        <f>IF(ISNUMBER(M100), $B118 * N100, "")</f>
        <v>-22499.999999999996</v>
      </c>
      <c r="Q100" s="267"/>
      <c r="R100" s="267"/>
      <c r="S100" s="267"/>
    </row>
    <row r="101" spans="1:19" ht="17.25" thickBot="1">
      <c r="A101" s="124" t="s">
        <v>138</v>
      </c>
      <c r="B101" s="125">
        <v>49780</v>
      </c>
      <c r="C101" s="73">
        <v>4.8883270100000001E-2</v>
      </c>
      <c r="D101" s="125">
        <v>49960</v>
      </c>
      <c r="E101" s="73">
        <f t="shared" si="46"/>
        <v>3.6159100040176776E-3</v>
      </c>
      <c r="F101" s="136">
        <f>IF(ISNUMBER(D101), $B118 * E101, "")</f>
        <v>542.38650060265161</v>
      </c>
      <c r="G101" s="39">
        <v>50280</v>
      </c>
      <c r="H101" s="73">
        <f t="shared" si="47"/>
        <v>1.0044194455604661E-2</v>
      </c>
      <c r="I101" s="202">
        <f>IF(ISNUMBER(G101), $B118 * H101, "")</f>
        <v>1506.6291683406992</v>
      </c>
      <c r="J101" s="125">
        <v>50210</v>
      </c>
      <c r="K101" s="73">
        <f t="shared" si="48"/>
        <v>8.6380072318200073E-3</v>
      </c>
      <c r="L101" s="136">
        <f>IF(ISNUMBER(J101), $B118 * K101, "")</f>
        <v>1295.7010847730012</v>
      </c>
      <c r="M101" s="39">
        <v>50000</v>
      </c>
      <c r="N101" s="73">
        <f t="shared" si="49"/>
        <v>4.4194455604660505E-3</v>
      </c>
      <c r="O101" s="136">
        <f>IF(ISNUMBER(M101), $B118 * N101, "")</f>
        <v>662.91683406990762</v>
      </c>
      <c r="Q101" s="267"/>
      <c r="R101" s="267"/>
      <c r="S101" s="267"/>
    </row>
    <row r="102" spans="1:19" ht="17.25" thickBot="1">
      <c r="A102" s="126" t="s">
        <v>172</v>
      </c>
      <c r="B102" s="127">
        <v>24.3</v>
      </c>
      <c r="C102" s="74">
        <v>3.8461538500000003E-2</v>
      </c>
      <c r="D102" s="127">
        <v>24.5</v>
      </c>
      <c r="E102" s="74">
        <f t="shared" si="46"/>
        <v>8.2304526748970906E-3</v>
      </c>
      <c r="F102" s="203">
        <f>IF(ISNUMBER(D102), $B118 * E102, "")</f>
        <v>1234.5679012345636</v>
      </c>
      <c r="G102" s="44">
        <v>23</v>
      </c>
      <c r="H102" s="74">
        <f t="shared" si="47"/>
        <v>-5.3497942386831303E-2</v>
      </c>
      <c r="I102" s="204">
        <f>IF(ISNUMBER(G102), $B118 * H102, "")</f>
        <v>-8024.6913580246955</v>
      </c>
      <c r="J102" s="127">
        <v>23.7</v>
      </c>
      <c r="K102" s="74">
        <f t="shared" si="48"/>
        <v>-2.4691358024691416E-2</v>
      </c>
      <c r="L102" s="203">
        <f>IF(ISNUMBER(J102), $B118 * K102, "")</f>
        <v>-3703.7037037037126</v>
      </c>
      <c r="M102" s="44">
        <v>23.8</v>
      </c>
      <c r="N102" s="74">
        <f t="shared" si="49"/>
        <v>-2.0576131687242798E-2</v>
      </c>
      <c r="O102" s="203">
        <f>IF(ISNUMBER(M102), $B118 * N102, "")</f>
        <v>-3086.4197530864199</v>
      </c>
      <c r="Q102" s="267"/>
      <c r="R102" s="267"/>
      <c r="S102" s="267"/>
    </row>
    <row r="103" spans="1:19" ht="17.25" thickBot="1">
      <c r="A103" s="124" t="s">
        <v>164</v>
      </c>
      <c r="B103" s="128">
        <v>42260</v>
      </c>
      <c r="C103" s="76">
        <v>3.6546480300000003E-2</v>
      </c>
      <c r="D103" s="128">
        <v>41430</v>
      </c>
      <c r="E103" s="76">
        <f>IF(ISNUMBER(D103), (D103 - $B103) / $B103, "")</f>
        <v>-1.9640321817321345E-2</v>
      </c>
      <c r="F103" s="205">
        <f>IF(ISNUMBER(D103), $B118 * E103, "")</f>
        <v>-2946.0482725982019</v>
      </c>
      <c r="G103" s="45">
        <v>39700</v>
      </c>
      <c r="H103" s="76">
        <f>IF(ISNUMBER(G103), (G103 - $B103) / $B103, "")</f>
        <v>-6.0577378135352578E-2</v>
      </c>
      <c r="I103" s="206">
        <f>IF(ISNUMBER(G103), $B118 * H103, "")</f>
        <v>-9086.606720302887</v>
      </c>
      <c r="J103" s="128">
        <v>40340</v>
      </c>
      <c r="K103" s="76">
        <f>IF(ISNUMBER(J103), (J103 - $B103) / $B103, "")</f>
        <v>-4.5433033601514433E-2</v>
      </c>
      <c r="L103" s="205">
        <f>IF(ISNUMBER(J103), $B118 * K103, "")</f>
        <v>-6814.9550402271652</v>
      </c>
      <c r="M103" s="45">
        <v>39660</v>
      </c>
      <c r="N103" s="76">
        <f>IF(ISNUMBER(M103), (M103 - $B103) / $B103, "")</f>
        <v>-6.1523899668717463E-2</v>
      </c>
      <c r="O103" s="205">
        <f>IF(ISNUMBER(M103), $B118 * N103, "")</f>
        <v>-9228.5849503076188</v>
      </c>
      <c r="Q103" s="267"/>
      <c r="R103" s="267"/>
      <c r="S103" s="267"/>
    </row>
    <row r="104" spans="1:19" ht="17.25" thickBot="1">
      <c r="A104" s="124" t="s">
        <v>106</v>
      </c>
      <c r="B104" s="125">
        <v>2350</v>
      </c>
      <c r="C104" s="73">
        <v>3.07017544E-2</v>
      </c>
      <c r="D104" s="125">
        <v>2125</v>
      </c>
      <c r="E104" s="73">
        <f t="shared" ref="E104:E107" si="50">IF(ISNUMBER(D104), (D104 - $B104) / $B104, "")</f>
        <v>-9.5744680851063829E-2</v>
      </c>
      <c r="F104" s="136">
        <f>IF(ISNUMBER(D104), $B118 * E104, "")</f>
        <v>-14361.702127659575</v>
      </c>
      <c r="G104" s="39">
        <v>2070</v>
      </c>
      <c r="H104" s="73">
        <f t="shared" ref="H104:H107" si="51">IF(ISNUMBER(G104), (G104 - $B104) / $B104, "")</f>
        <v>-0.11914893617021277</v>
      </c>
      <c r="I104" s="202">
        <f>IF(ISNUMBER(G104), $B118 * H104, "")</f>
        <v>-17872.340425531915</v>
      </c>
      <c r="J104" s="125">
        <v>2115</v>
      </c>
      <c r="K104" s="73">
        <f t="shared" ref="K104:K107" si="52">IF(ISNUMBER(J104), (J104 - $B104) / $B104, "")</f>
        <v>-0.1</v>
      </c>
      <c r="L104" s="136">
        <f>IF(ISNUMBER(J104), $B118 * K104, "")</f>
        <v>-15000</v>
      </c>
      <c r="M104" s="39">
        <v>2115</v>
      </c>
      <c r="N104" s="73">
        <f t="shared" ref="N104:N107" si="53">IF(ISNUMBER(M104), (M104 - $B104) / $B104, "")</f>
        <v>-0.1</v>
      </c>
      <c r="O104" s="136">
        <f>IF(ISNUMBER(M104), $B118 * N104, "")</f>
        <v>-15000</v>
      </c>
      <c r="Q104" s="267"/>
      <c r="R104" s="267"/>
      <c r="S104" s="267"/>
    </row>
    <row r="105" spans="1:19" ht="17.25" thickBot="1">
      <c r="A105" s="124" t="s">
        <v>224</v>
      </c>
      <c r="B105" s="125">
        <v>2115</v>
      </c>
      <c r="C105" s="73">
        <v>2.4213075099999998E-2</v>
      </c>
      <c r="D105" s="125">
        <v>1890</v>
      </c>
      <c r="E105" s="73">
        <f t="shared" si="50"/>
        <v>-0.10638297872340426</v>
      </c>
      <c r="F105" s="136">
        <f>IF(ISNUMBER(D105), $B118 * E105, "")</f>
        <v>-15957.446808510638</v>
      </c>
      <c r="G105" s="39">
        <v>1825</v>
      </c>
      <c r="H105" s="73">
        <f t="shared" si="51"/>
        <v>-0.13711583924349882</v>
      </c>
      <c r="I105" s="202">
        <f>IF(ISNUMBER(G105), $B118 * H105, "")</f>
        <v>-20567.375886524824</v>
      </c>
      <c r="J105" s="125">
        <v>1875</v>
      </c>
      <c r="K105" s="73">
        <f t="shared" si="52"/>
        <v>-0.11347517730496454</v>
      </c>
      <c r="L105" s="136">
        <f>IF(ISNUMBER(J105), $B118 * K105, "")</f>
        <v>-17021.276595744679</v>
      </c>
      <c r="M105" s="39">
        <v>1835</v>
      </c>
      <c r="N105" s="73">
        <f t="shared" si="53"/>
        <v>-0.13238770685579196</v>
      </c>
      <c r="O105" s="136">
        <f>IF(ISNUMBER(M105), $B118 * N105, "")</f>
        <v>-19858.156028368794</v>
      </c>
      <c r="Q105" s="267"/>
      <c r="R105" s="267"/>
      <c r="S105" s="267"/>
    </row>
    <row r="106" spans="1:19" ht="17.25" thickBot="1">
      <c r="A106" s="124" t="s">
        <v>96</v>
      </c>
      <c r="B106" s="125">
        <v>5230000</v>
      </c>
      <c r="C106" s="73">
        <v>2.18835483E-2</v>
      </c>
      <c r="D106" s="125">
        <v>4916000</v>
      </c>
      <c r="E106" s="73">
        <f t="shared" si="50"/>
        <v>-6.0038240917782024E-2</v>
      </c>
      <c r="F106" s="136">
        <f>IF(ISNUMBER(D106), $B118 * E106, "")</f>
        <v>-9005.7361376673034</v>
      </c>
      <c r="G106" s="39">
        <v>4771000</v>
      </c>
      <c r="H106" s="73">
        <f t="shared" si="51"/>
        <v>-8.7762906309751434E-2</v>
      </c>
      <c r="I106" s="202">
        <f>IF(ISNUMBER(G106), $B118 * H106, "")</f>
        <v>-13164.435946462716</v>
      </c>
      <c r="J106" s="125">
        <v>4840000</v>
      </c>
      <c r="K106" s="73">
        <f t="shared" si="52"/>
        <v>-7.4569789674952203E-2</v>
      </c>
      <c r="L106" s="136">
        <f>IF(ISNUMBER(J106), $B118 * K106, "")</f>
        <v>-11185.46845124283</v>
      </c>
      <c r="M106" s="39">
        <v>4781000</v>
      </c>
      <c r="N106" s="73">
        <f t="shared" si="53"/>
        <v>-8.5850860420650099E-2</v>
      </c>
      <c r="O106" s="136">
        <f>IF(ISNUMBER(M106), $B118 * N106, "")</f>
        <v>-12877.629063097515</v>
      </c>
      <c r="Q106" s="33"/>
      <c r="R106" s="33"/>
    </row>
    <row r="107" spans="1:19" ht="17.25" thickBot="1">
      <c r="A107" s="129" t="s">
        <v>158</v>
      </c>
      <c r="B107" s="130">
        <v>10100</v>
      </c>
      <c r="C107" s="75">
        <v>1.96870268E-2</v>
      </c>
      <c r="D107" s="130">
        <v>9130</v>
      </c>
      <c r="E107" s="75">
        <f t="shared" si="50"/>
        <v>-9.6039603960396042E-2</v>
      </c>
      <c r="F107" s="137">
        <f>IF(ISNUMBER(D107), $B118 * E107, "")</f>
        <v>-14405.940594059406</v>
      </c>
      <c r="G107" s="37">
        <v>8825</v>
      </c>
      <c r="H107" s="75">
        <f t="shared" si="51"/>
        <v>-0.12623762376237624</v>
      </c>
      <c r="I107" s="207">
        <f>IF(ISNUMBER(G107), $B118 * H107, "")</f>
        <v>-18935.643564356436</v>
      </c>
      <c r="J107" s="130">
        <v>9065</v>
      </c>
      <c r="K107" s="75">
        <f t="shared" si="52"/>
        <v>-0.10247524752475247</v>
      </c>
      <c r="L107" s="137">
        <f>IF(ISNUMBER(J107), $B118 * K107, "")</f>
        <v>-15371.287128712871</v>
      </c>
      <c r="M107" s="37">
        <v>8815</v>
      </c>
      <c r="N107" s="75">
        <f t="shared" si="53"/>
        <v>-0.12722772277227723</v>
      </c>
      <c r="O107" s="137">
        <f>IF(ISNUMBER(M107), $B118 * N107, "")</f>
        <v>-19084.158415841586</v>
      </c>
      <c r="Q107" s="276"/>
      <c r="R107" s="277"/>
      <c r="S107" s="278"/>
    </row>
    <row r="108" spans="1:19">
      <c r="A108" s="122" t="s">
        <v>134</v>
      </c>
      <c r="B108" s="123">
        <v>160</v>
      </c>
      <c r="C108" s="72">
        <v>1.9108280299999999E-2</v>
      </c>
      <c r="D108" s="123">
        <v>147</v>
      </c>
      <c r="E108" s="72">
        <f>IF(ISNUMBER(D108), (D108 - $B108) / $B108, "")</f>
        <v>-8.1250000000000003E-2</v>
      </c>
      <c r="F108" s="140">
        <f>IF(ISNUMBER(D108), $B118 * E108, "")</f>
        <v>-12187.5</v>
      </c>
      <c r="G108" s="38">
        <v>138</v>
      </c>
      <c r="H108" s="72">
        <f>IF(ISNUMBER(G108), (G108 - $B108) / $B108, "")</f>
        <v>-0.13750000000000001</v>
      </c>
      <c r="I108" s="201">
        <f>IF(ISNUMBER(G108), $B118 * H108, "")</f>
        <v>-20625</v>
      </c>
      <c r="J108" s="123">
        <v>142</v>
      </c>
      <c r="K108" s="72">
        <f>IF(ISNUMBER(J108), (J108 - $B108) / $B108, "")</f>
        <v>-0.1125</v>
      </c>
      <c r="L108" s="140">
        <f>IF(ISNUMBER(J108), $B118 * K108, "")</f>
        <v>-16875</v>
      </c>
      <c r="M108" s="38">
        <v>141</v>
      </c>
      <c r="N108" s="72">
        <f>IF(ISNUMBER(M108), (M108 - $B108) / $B108, "")</f>
        <v>-0.11874999999999999</v>
      </c>
      <c r="O108" s="140">
        <f>IF(ISNUMBER(M108), $B118 * N108, "")</f>
        <v>-17812.5</v>
      </c>
      <c r="Q108" s="279"/>
      <c r="R108" s="280"/>
      <c r="S108" s="281"/>
    </row>
    <row r="109" spans="1:19" ht="17.25" thickBot="1">
      <c r="A109" s="124" t="s">
        <v>256</v>
      </c>
      <c r="B109" s="125">
        <v>247</v>
      </c>
      <c r="C109" s="73">
        <v>1.6460905299999998E-2</v>
      </c>
      <c r="D109" s="125">
        <v>224</v>
      </c>
      <c r="E109" s="73">
        <f t="shared" ref="E109:E112" si="54">IF(ISNUMBER(D109), (D109 - $B109) / $B109, "")</f>
        <v>-9.3117408906882596E-2</v>
      </c>
      <c r="F109" s="136">
        <f>IF(ISNUMBER(D109), $B118 * E109, "")</f>
        <v>-13967.611336032389</v>
      </c>
      <c r="G109" s="39">
        <v>232</v>
      </c>
      <c r="H109" s="73">
        <f t="shared" ref="H109:H112" si="55">IF(ISNUMBER(G109), (G109 - $B109) / $B109, "")</f>
        <v>-6.0728744939271252E-2</v>
      </c>
      <c r="I109" s="202">
        <f>IF(ISNUMBER(G109), $B118 * H109, "")</f>
        <v>-9109.3117408906874</v>
      </c>
      <c r="J109" s="125">
        <v>232</v>
      </c>
      <c r="K109" s="73">
        <f t="shared" ref="K109:K112" si="56">IF(ISNUMBER(J109), (J109 - $B109) / $B109, "")</f>
        <v>-6.0728744939271252E-2</v>
      </c>
      <c r="L109" s="136">
        <f>IF(ISNUMBER(J109), $B118 * K109, "")</f>
        <v>-9109.3117408906874</v>
      </c>
      <c r="M109" s="39">
        <v>229</v>
      </c>
      <c r="N109" s="73">
        <f t="shared" ref="N109:N112" si="57">IF(ISNUMBER(M109), (M109 - $B109) / $B109, "")</f>
        <v>-7.28744939271255E-2</v>
      </c>
      <c r="O109" s="136">
        <f>IF(ISNUMBER(M109), $B118 * N109, "")</f>
        <v>-10931.174089068825</v>
      </c>
      <c r="Q109" s="282"/>
      <c r="R109" s="283"/>
      <c r="S109" s="284"/>
    </row>
    <row r="110" spans="1:19" ht="17.25" thickBot="1">
      <c r="A110" s="124" t="s">
        <v>120</v>
      </c>
      <c r="B110" s="125">
        <v>215</v>
      </c>
      <c r="C110" s="73">
        <v>1.4150943399999999E-2</v>
      </c>
      <c r="D110" s="125">
        <v>203</v>
      </c>
      <c r="E110" s="73">
        <f t="shared" si="54"/>
        <v>-5.5813953488372092E-2</v>
      </c>
      <c r="F110" s="136">
        <f>IF(ISNUMBER(D110), $B118 * E110, "")</f>
        <v>-8372.093023255813</v>
      </c>
      <c r="G110" s="39">
        <v>197</v>
      </c>
      <c r="H110" s="73">
        <f t="shared" si="55"/>
        <v>-8.3720930232558138E-2</v>
      </c>
      <c r="I110" s="202">
        <f>IF(ISNUMBER(G110), $B118 * H110, "")</f>
        <v>-12558.139534883721</v>
      </c>
      <c r="J110" s="125">
        <v>199</v>
      </c>
      <c r="K110" s="73">
        <f t="shared" si="56"/>
        <v>-7.441860465116279E-2</v>
      </c>
      <c r="L110" s="136">
        <f>IF(ISNUMBER(J110), $B118 * K110, "")</f>
        <v>-11162.790697674418</v>
      </c>
      <c r="M110" s="39">
        <v>199</v>
      </c>
      <c r="N110" s="73">
        <f t="shared" si="57"/>
        <v>-7.441860465116279E-2</v>
      </c>
      <c r="O110" s="136">
        <f>IF(ISNUMBER(M110), $B118 * N110, "")</f>
        <v>-11162.790697674418</v>
      </c>
      <c r="Q110" s="267"/>
      <c r="R110" s="267"/>
      <c r="S110" s="267"/>
    </row>
    <row r="111" spans="1:19" ht="17.25" thickBot="1">
      <c r="A111" s="124" t="s">
        <v>194</v>
      </c>
      <c r="B111" s="125">
        <v>13450</v>
      </c>
      <c r="C111" s="73">
        <v>1.2039127199999999E-2</v>
      </c>
      <c r="D111" s="125">
        <v>11980</v>
      </c>
      <c r="E111" s="73">
        <f t="shared" si="54"/>
        <v>-0.10929368029739776</v>
      </c>
      <c r="F111" s="136">
        <f>IF(ISNUMBER(D111), $B118 * E111, "")</f>
        <v>-16394.052044609663</v>
      </c>
      <c r="G111" s="39">
        <v>11860</v>
      </c>
      <c r="H111" s="73">
        <f t="shared" si="55"/>
        <v>-0.11821561338289963</v>
      </c>
      <c r="I111" s="202">
        <f>IF(ISNUMBER(G111), $B118 * H111, "")</f>
        <v>-17732.342007434945</v>
      </c>
      <c r="J111" s="125">
        <v>11840</v>
      </c>
      <c r="K111" s="73">
        <f t="shared" si="56"/>
        <v>-0.11970260223048328</v>
      </c>
      <c r="L111" s="136">
        <f>IF(ISNUMBER(J111), $B118 * K111, "")</f>
        <v>-17955.39033457249</v>
      </c>
      <c r="M111" s="39">
        <v>11990</v>
      </c>
      <c r="N111" s="73">
        <f t="shared" si="57"/>
        <v>-0.10855018587360594</v>
      </c>
      <c r="O111" s="136">
        <f>IF(ISNUMBER(M111), $B118 * N111, "")</f>
        <v>-16282.527881040891</v>
      </c>
      <c r="Q111" s="262"/>
      <c r="R111" s="262"/>
      <c r="S111" s="262"/>
    </row>
    <row r="112" spans="1:19" ht="17.25" thickBot="1">
      <c r="A112" s="126" t="s">
        <v>214</v>
      </c>
      <c r="B112" s="127">
        <v>22.4</v>
      </c>
      <c r="C112" s="74">
        <v>9.0090090000000001E-3</v>
      </c>
      <c r="D112" s="127">
        <v>20.100000000000001</v>
      </c>
      <c r="E112" s="74">
        <f t="shared" si="54"/>
        <v>-0.10267857142857131</v>
      </c>
      <c r="F112" s="203">
        <f>IF(ISNUMBER(D112), $B118 * E112, "")</f>
        <v>-15401.785714285697</v>
      </c>
      <c r="G112" s="44">
        <v>19.399999999999999</v>
      </c>
      <c r="H112" s="74">
        <f t="shared" si="55"/>
        <v>-0.13392857142857142</v>
      </c>
      <c r="I112" s="204">
        <f>IF(ISNUMBER(G112), $B118 * H112, "")</f>
        <v>-20089.285714285714</v>
      </c>
      <c r="J112" s="127">
        <v>19.5</v>
      </c>
      <c r="K112" s="74">
        <f t="shared" si="56"/>
        <v>-0.12946428571428567</v>
      </c>
      <c r="L112" s="203">
        <f>IF(ISNUMBER(J112), $B118 * K112, "")</f>
        <v>-19419.642857142851</v>
      </c>
      <c r="M112" s="44">
        <v>19.5</v>
      </c>
      <c r="N112" s="74">
        <f t="shared" si="57"/>
        <v>-0.12946428571428567</v>
      </c>
      <c r="O112" s="203">
        <f>IF(ISNUMBER(M112), $B118 * N112, "")</f>
        <v>-19419.642857142851</v>
      </c>
      <c r="Q112" s="262"/>
      <c r="R112" s="262"/>
      <c r="S112" s="262"/>
    </row>
    <row r="113" spans="1:19" ht="17.25" thickBot="1">
      <c r="A113" s="124" t="s">
        <v>264</v>
      </c>
      <c r="B113" s="128">
        <v>166</v>
      </c>
      <c r="C113" s="76">
        <v>6.0606061000000001E-3</v>
      </c>
      <c r="D113" s="128">
        <v>152</v>
      </c>
      <c r="E113" s="76">
        <f>IF(ISNUMBER(D113), (D113 - $B113) / $B113, "")</f>
        <v>-8.4337349397590355E-2</v>
      </c>
      <c r="F113" s="205">
        <f>IF(ISNUMBER(D113), $B118 * E113, "")</f>
        <v>-12650.602409638554</v>
      </c>
      <c r="G113" s="45">
        <v>144</v>
      </c>
      <c r="H113" s="76">
        <f>IF(ISNUMBER(G113), (G113 - $B113) / $B113, "")</f>
        <v>-0.13253012048192772</v>
      </c>
      <c r="I113" s="206">
        <f>IF(ISNUMBER(G113), $B118 * H113, "")</f>
        <v>-19879.518072289156</v>
      </c>
      <c r="J113" s="128">
        <v>148</v>
      </c>
      <c r="K113" s="76">
        <f>IF(ISNUMBER(J113), (J113 - $B113) / $B113, "")</f>
        <v>-0.10843373493975904</v>
      </c>
      <c r="L113" s="205">
        <f>IF(ISNUMBER(J113), $B118 * K113, "")</f>
        <v>-16265.060240963856</v>
      </c>
      <c r="M113" s="45">
        <v>147</v>
      </c>
      <c r="N113" s="76">
        <f>IF(ISNUMBER(M113), (M113 - $B113) / $B113, "")</f>
        <v>-0.1144578313253012</v>
      </c>
      <c r="O113" s="205">
        <f>IF(ISNUMBER(M113), $B118 * N113, "")</f>
        <v>-17168.674698795181</v>
      </c>
      <c r="Q113" s="267"/>
      <c r="R113" s="267"/>
      <c r="S113" s="267"/>
    </row>
    <row r="114" spans="1:19" ht="17.25" thickBot="1">
      <c r="A114" s="124" t="s">
        <v>230</v>
      </c>
      <c r="B114" s="125">
        <v>168</v>
      </c>
      <c r="C114" s="73">
        <v>5.9880239999999998E-3</v>
      </c>
      <c r="D114" s="125">
        <v>149</v>
      </c>
      <c r="E114" s="73">
        <f t="shared" ref="E114:E117" si="58">IF(ISNUMBER(D114), (D114 - $B114) / $B114, "")</f>
        <v>-0.1130952380952381</v>
      </c>
      <c r="F114" s="136">
        <f>IF(ISNUMBER(D114), $B118 * E114, "")</f>
        <v>-16964.285714285714</v>
      </c>
      <c r="G114" s="39">
        <v>142</v>
      </c>
      <c r="H114" s="73">
        <f t="shared" ref="H114:H117" si="59">IF(ISNUMBER(G114), (G114 - $B114) / $B114, "")</f>
        <v>-0.15476190476190477</v>
      </c>
      <c r="I114" s="202">
        <f>IF(ISNUMBER(G114), $B118 * H114, "")</f>
        <v>-23214.285714285714</v>
      </c>
      <c r="J114" s="125">
        <v>142</v>
      </c>
      <c r="K114" s="73">
        <f t="shared" ref="K114:K117" si="60">IF(ISNUMBER(J114), (J114 - $B114) / $B114, "")</f>
        <v>-0.15476190476190477</v>
      </c>
      <c r="L114" s="136">
        <f>IF(ISNUMBER(J114), $B118 * K114, "")</f>
        <v>-23214.285714285714</v>
      </c>
      <c r="M114" s="39">
        <v>145</v>
      </c>
      <c r="N114" s="73">
        <f t="shared" ref="N114:N117" si="61">IF(ISNUMBER(M114), (M114 - $B114) / $B114, "")</f>
        <v>-0.13690476190476192</v>
      </c>
      <c r="O114" s="136">
        <f>IF(ISNUMBER(M114), $B118 * N114, "")</f>
        <v>-20535.714285714286</v>
      </c>
      <c r="Q114" s="267"/>
      <c r="R114" s="267"/>
      <c r="S114" s="267"/>
    </row>
    <row r="115" spans="1:19" ht="17.25" thickBot="1">
      <c r="A115" s="124" t="s">
        <v>282</v>
      </c>
      <c r="B115" s="125">
        <v>169</v>
      </c>
      <c r="C115" s="73">
        <v>5.9523809999999996E-3</v>
      </c>
      <c r="D115" s="125">
        <v>159</v>
      </c>
      <c r="E115" s="73">
        <f t="shared" si="58"/>
        <v>-5.9171597633136092E-2</v>
      </c>
      <c r="F115" s="136">
        <f>IF(ISNUMBER(D115), $B118 * E115, "")</f>
        <v>-8875.7396449704138</v>
      </c>
      <c r="G115" s="39">
        <v>149</v>
      </c>
      <c r="H115" s="73">
        <f t="shared" si="59"/>
        <v>-0.11834319526627218</v>
      </c>
      <c r="I115" s="202">
        <f>IF(ISNUMBER(G115), $B118 * H115, "")</f>
        <v>-17751.479289940828</v>
      </c>
      <c r="J115" s="125">
        <v>152</v>
      </c>
      <c r="K115" s="73">
        <f t="shared" si="60"/>
        <v>-0.10059171597633136</v>
      </c>
      <c r="L115" s="136">
        <f>IF(ISNUMBER(J115), $B118 * K115, "")</f>
        <v>-15088.757396449704</v>
      </c>
      <c r="M115" s="39">
        <v>149</v>
      </c>
      <c r="N115" s="73">
        <f t="shared" si="61"/>
        <v>-0.11834319526627218</v>
      </c>
      <c r="O115" s="136">
        <f>IF(ISNUMBER(M115), $B118 * N115, "")</f>
        <v>-17751.479289940828</v>
      </c>
      <c r="Q115" s="267"/>
      <c r="R115" s="267"/>
      <c r="S115" s="267"/>
    </row>
    <row r="116" spans="1:19">
      <c r="A116" s="124" t="s">
        <v>240</v>
      </c>
      <c r="B116" s="125">
        <v>173</v>
      </c>
      <c r="C116" s="73">
        <v>5.8139534999999999E-3</v>
      </c>
      <c r="D116" s="125">
        <v>159</v>
      </c>
      <c r="E116" s="73">
        <f t="shared" si="58"/>
        <v>-8.0924855491329481E-2</v>
      </c>
      <c r="F116" s="136">
        <f>IF(ISNUMBER(D116), $B118 * E116, "")</f>
        <v>-12138.728323699423</v>
      </c>
      <c r="G116" s="39">
        <v>147</v>
      </c>
      <c r="H116" s="73">
        <f t="shared" si="59"/>
        <v>-0.15028901734104047</v>
      </c>
      <c r="I116" s="202">
        <f>IF(ISNUMBER(G116), $B118 * H116, "")</f>
        <v>-22543.352601156072</v>
      </c>
      <c r="J116" s="125">
        <v>148</v>
      </c>
      <c r="K116" s="73">
        <f t="shared" si="60"/>
        <v>-0.14450867052023122</v>
      </c>
      <c r="L116" s="136">
        <f>IF(ISNUMBER(J116), $B118 * K116, "")</f>
        <v>-21676.300578034683</v>
      </c>
      <c r="M116" s="39">
        <v>149</v>
      </c>
      <c r="N116" s="73">
        <f t="shared" si="61"/>
        <v>-0.13872832369942195</v>
      </c>
      <c r="O116" s="136">
        <f>IF(ISNUMBER(M116), $B118 * N116, "")</f>
        <v>-20809.248554913294</v>
      </c>
      <c r="Q116" s="289"/>
      <c r="R116" s="290"/>
      <c r="S116" s="291"/>
    </row>
    <row r="117" spans="1:19" ht="17.25" thickBot="1">
      <c r="A117" s="129" t="s">
        <v>246</v>
      </c>
      <c r="B117" s="130">
        <v>371</v>
      </c>
      <c r="C117" s="75">
        <v>5.4200541999999997E-3</v>
      </c>
      <c r="D117" s="130">
        <v>320</v>
      </c>
      <c r="E117" s="75">
        <f t="shared" si="58"/>
        <v>-0.13746630727762804</v>
      </c>
      <c r="F117" s="137">
        <f>IF(ISNUMBER(D117), $B118 * E117, "")</f>
        <v>-20619.946091644208</v>
      </c>
      <c r="G117" s="37">
        <v>311</v>
      </c>
      <c r="H117" s="75">
        <f t="shared" si="59"/>
        <v>-0.16172506738544473</v>
      </c>
      <c r="I117" s="207">
        <f>IF(ISNUMBER(G117), $B118 * H117, "")</f>
        <v>-24258.76010781671</v>
      </c>
      <c r="J117" s="130">
        <v>317</v>
      </c>
      <c r="K117" s="75">
        <f t="shared" si="60"/>
        <v>-0.14555256064690028</v>
      </c>
      <c r="L117" s="137">
        <f>IF(ISNUMBER(J117), $B118 * K117, "")</f>
        <v>-21832.884097035043</v>
      </c>
      <c r="M117" s="37">
        <v>317</v>
      </c>
      <c r="N117" s="75">
        <f t="shared" si="61"/>
        <v>-0.14555256064690028</v>
      </c>
      <c r="O117" s="137">
        <f>IF(ISNUMBER(M117), $B118 * N117, "")</f>
        <v>-21832.884097035043</v>
      </c>
      <c r="Q117" s="292"/>
      <c r="R117" s="293"/>
      <c r="S117" s="294"/>
    </row>
    <row r="118" spans="1:19" ht="17.25" thickBot="1">
      <c r="A118" s="131" t="s">
        <v>301</v>
      </c>
      <c r="B118" s="300">
        <f>$B$37</f>
        <v>150000</v>
      </c>
      <c r="C118" s="301"/>
      <c r="D118" s="131" t="s">
        <v>302</v>
      </c>
      <c r="E118" s="223">
        <f>IF(COUNT(E98:E117), SUM(E98:E117) / COUNT(E98:E117), 0)</f>
        <v>-8.2869857711242972E-2</v>
      </c>
      <c r="F118" s="208">
        <f>SUM(F98:F117)</f>
        <v>-248609.57313372887</v>
      </c>
      <c r="G118" s="131" t="s">
        <v>302</v>
      </c>
      <c r="H118" s="223">
        <f>IF(COUNT(H98:H117), SUM(H98:H117) / COUNT(H98:H117), 0)</f>
        <v>-0.11672512836856008</v>
      </c>
      <c r="I118" s="208">
        <f>SUM(I98:I117)</f>
        <v>-350175.38510568033</v>
      </c>
      <c r="J118" s="131" t="s">
        <v>302</v>
      </c>
      <c r="K118" s="223">
        <f>IF(COUNT(K98:K117), SUM(K98:K117) / COUNT(K98:K117), 0)</f>
        <v>-0.10376440792597394</v>
      </c>
      <c r="L118" s="208">
        <f>SUM(L98:L117)</f>
        <v>-311293.22377792187</v>
      </c>
      <c r="M118" s="131" t="s">
        <v>302</v>
      </c>
      <c r="N118" s="223">
        <f>IF(COUNT(N98:N117), SUM(N98:N117) / COUNT(N98:N117), 0)</f>
        <v>-0.10708685161557929</v>
      </c>
      <c r="O118" s="208">
        <f>SUM(O98:O117)</f>
        <v>-321260.55484673782</v>
      </c>
      <c r="Q118" s="295"/>
      <c r="R118" s="296"/>
      <c r="S118" s="297"/>
    </row>
    <row r="120" spans="1:19" ht="17.25" thickBot="1"/>
    <row r="121" spans="1:19" ht="17.25" thickBot="1">
      <c r="A121" s="241" t="s">
        <v>288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217" t="s">
        <v>298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62017000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-1.6680144000000001E-2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2021-05-13(목) 오전 00:00</v>
      </c>
      <c r="C123" s="305"/>
      <c r="D123" s="241" t="str">
        <f>TEXT($G$1, "[$-ko-KR]yyyy-mm-dd(ddd) ") &amp; "오후 14:00"</f>
        <v>2021-05-13(목) 오후 14:00</v>
      </c>
      <c r="E123" s="242"/>
      <c r="F123" s="243"/>
      <c r="G123" s="241" t="str">
        <f>TEXT($G$1, "[$-ko-KR]yyyy-mm-dd(ddd) ") &amp; "오후 19:00"</f>
        <v>2021-05-13(목) 오후 19:00</v>
      </c>
      <c r="H123" s="242"/>
      <c r="I123" s="243"/>
      <c r="J123" s="241" t="str">
        <f>TEXT($G$1, "[$-ko-KR]yyyy-mm-dd(ddd) ") &amp; "오후 21:00"</f>
        <v>2021-05-13(목) 오후 21:00</v>
      </c>
      <c r="K123" s="242"/>
      <c r="L123" s="243"/>
      <c r="M123" s="241" t="str">
        <f>TEXT($G$1+1, "[$-ko-KR]yyyy-mm-dd(ddd) ") &amp; "오전 00:00"</f>
        <v>2021-05-14(금) 오전 00:00</v>
      </c>
      <c r="N123" s="242"/>
      <c r="O123" s="243"/>
      <c r="Q123" s="262"/>
      <c r="R123" s="262"/>
      <c r="S123" s="262"/>
    </row>
    <row r="124" spans="1:19" ht="17.25" thickBot="1">
      <c r="A124" s="303"/>
      <c r="B124" s="120" t="s">
        <v>58</v>
      </c>
      <c r="C124" s="121" t="s">
        <v>59</v>
      </c>
      <c r="D124" s="120" t="s">
        <v>58</v>
      </c>
      <c r="E124" s="121" t="s">
        <v>299</v>
      </c>
      <c r="F124" s="224" t="s">
        <v>300</v>
      </c>
      <c r="G124" s="217" t="s">
        <v>58</v>
      </c>
      <c r="H124" s="218" t="s">
        <v>299</v>
      </c>
      <c r="I124" s="219" t="s">
        <v>300</v>
      </c>
      <c r="J124" s="121" t="s">
        <v>58</v>
      </c>
      <c r="K124" s="121" t="s">
        <v>299</v>
      </c>
      <c r="L124" s="221" t="s">
        <v>300</v>
      </c>
      <c r="M124" s="120" t="s">
        <v>58</v>
      </c>
      <c r="N124" s="121" t="s">
        <v>299</v>
      </c>
      <c r="O124" s="222" t="s">
        <v>300</v>
      </c>
      <c r="Q124" s="267"/>
      <c r="R124" s="267"/>
      <c r="S124" s="267"/>
    </row>
    <row r="125" spans="1:19" ht="17.25" thickBot="1">
      <c r="A125" s="122" t="s">
        <v>198</v>
      </c>
      <c r="B125" s="123">
        <v>28</v>
      </c>
      <c r="C125" s="72">
        <v>6.4638783300000002E-2</v>
      </c>
      <c r="D125" s="123">
        <v>24.4</v>
      </c>
      <c r="E125" s="72">
        <f>IF(ISNUMBER(D125), (D125 - $B125) / $B125, "")</f>
        <v>-0.12857142857142861</v>
      </c>
      <c r="F125" s="140">
        <f>IF(ISNUMBER(D125), $B145 * E125, "")</f>
        <v>-19285.714285714294</v>
      </c>
      <c r="G125" s="38">
        <v>23.6</v>
      </c>
      <c r="H125" s="72">
        <f>IF(ISNUMBER(G125), (G125 - $B125) / $B125, "")</f>
        <v>-0.15714285714285708</v>
      </c>
      <c r="I125" s="201">
        <f>IF(ISNUMBER(G125), $B145 * H125, "")</f>
        <v>-23571.428571428562</v>
      </c>
      <c r="J125" s="123">
        <v>23.8</v>
      </c>
      <c r="K125" s="72">
        <f>IF(ISNUMBER(J125), (J125 - $B125) / $B125, "")</f>
        <v>-0.14999999999999997</v>
      </c>
      <c r="L125" s="140">
        <f>IF(ISNUMBER(J125), $B145 * K125, "")</f>
        <v>-22499.999999999996</v>
      </c>
      <c r="M125" s="38">
        <v>23.8</v>
      </c>
      <c r="N125" s="72">
        <f>IF(ISNUMBER(M125), (M125 - $B125) / $B125, "")</f>
        <v>-0.14999999999999997</v>
      </c>
      <c r="O125" s="140">
        <f>IF(ISNUMBER(M125), $B145 * N125, "")</f>
        <v>-22499.999999999996</v>
      </c>
      <c r="Q125" s="262"/>
      <c r="R125" s="262"/>
      <c r="S125" s="262"/>
    </row>
    <row r="126" spans="1:19" ht="17.25" thickBot="1">
      <c r="A126" s="124" t="s">
        <v>172</v>
      </c>
      <c r="B126" s="125">
        <v>24.3</v>
      </c>
      <c r="C126" s="73">
        <v>3.8461538500000003E-2</v>
      </c>
      <c r="D126" s="125">
        <v>24.5</v>
      </c>
      <c r="E126" s="73">
        <f t="shared" ref="E126:E129" si="62">IF(ISNUMBER(D126), (D126 - $B126) / $B126, "")</f>
        <v>8.2304526748970906E-3</v>
      </c>
      <c r="F126" s="136">
        <f>IF(ISNUMBER(D126), $B145 * E126, "")</f>
        <v>1234.5679012345636</v>
      </c>
      <c r="G126" s="39">
        <v>23</v>
      </c>
      <c r="H126" s="73">
        <f t="shared" ref="H126:H129" si="63">IF(ISNUMBER(G126), (G126 - $B126) / $B126, "")</f>
        <v>-5.3497942386831303E-2</v>
      </c>
      <c r="I126" s="202">
        <f>IF(ISNUMBER(G126), $B145 * H126, "")</f>
        <v>-8024.6913580246955</v>
      </c>
      <c r="J126" s="125">
        <v>23.7</v>
      </c>
      <c r="K126" s="73">
        <f t="shared" ref="K126:K129" si="64">IF(ISNUMBER(J126), (J126 - $B126) / $B126, "")</f>
        <v>-2.4691358024691416E-2</v>
      </c>
      <c r="L126" s="136">
        <f>IF(ISNUMBER(J126), $B145 * K126, "")</f>
        <v>-3703.7037037037126</v>
      </c>
      <c r="M126" s="39">
        <v>23.8</v>
      </c>
      <c r="N126" s="73">
        <f t="shared" ref="N126:N129" si="65">IF(ISNUMBER(M126), (M126 - $B126) / $B126, "")</f>
        <v>-2.0576131687242798E-2</v>
      </c>
      <c r="O126" s="136">
        <f>IF(ISNUMBER(M126), $B145 * N126, "")</f>
        <v>-3086.4197530864199</v>
      </c>
      <c r="Q126" s="262"/>
      <c r="R126" s="262"/>
      <c r="S126" s="262"/>
    </row>
    <row r="127" spans="1:19" ht="17.25" thickBot="1">
      <c r="A127" s="124" t="s">
        <v>214</v>
      </c>
      <c r="B127" s="125">
        <v>22.4</v>
      </c>
      <c r="C127" s="73">
        <v>9.0090090000000001E-3</v>
      </c>
      <c r="D127" s="125">
        <v>20.100000000000001</v>
      </c>
      <c r="E127" s="73">
        <f t="shared" si="62"/>
        <v>-0.10267857142857131</v>
      </c>
      <c r="F127" s="136">
        <f>IF(ISNUMBER(D127), $B145 * E127, "")</f>
        <v>-15401.785714285697</v>
      </c>
      <c r="G127" s="39">
        <v>19.399999999999999</v>
      </c>
      <c r="H127" s="73">
        <f t="shared" si="63"/>
        <v>-0.13392857142857142</v>
      </c>
      <c r="I127" s="202">
        <f>IF(ISNUMBER(G127), $B145 * H127, "")</f>
        <v>-20089.285714285714</v>
      </c>
      <c r="J127" s="125">
        <v>19.5</v>
      </c>
      <c r="K127" s="73">
        <f t="shared" si="64"/>
        <v>-0.12946428571428567</v>
      </c>
      <c r="L127" s="136">
        <f>IF(ISNUMBER(J127), $B145 * K127, "")</f>
        <v>-19419.642857142851</v>
      </c>
      <c r="M127" s="39">
        <v>19.5</v>
      </c>
      <c r="N127" s="73">
        <f t="shared" si="65"/>
        <v>-0.12946428571428567</v>
      </c>
      <c r="O127" s="136">
        <f>IF(ISNUMBER(M127), $B145 * N127, "")</f>
        <v>-19419.642857142851</v>
      </c>
      <c r="Q127" s="267"/>
      <c r="R127" s="267"/>
      <c r="S127" s="267"/>
    </row>
    <row r="128" spans="1:19" ht="17.25" thickBot="1">
      <c r="A128" s="124" t="s">
        <v>154</v>
      </c>
      <c r="B128" s="125">
        <v>20.100000000000001</v>
      </c>
      <c r="C128" s="73">
        <v>5.0000000000000001E-3</v>
      </c>
      <c r="D128" s="125">
        <v>18</v>
      </c>
      <c r="E128" s="73">
        <f t="shared" si="62"/>
        <v>-0.10447761194029857</v>
      </c>
      <c r="F128" s="136">
        <f>IF(ISNUMBER(D128), $B145 * E128, "")</f>
        <v>-15671.641791044785</v>
      </c>
      <c r="G128" s="39">
        <v>17.399999999999999</v>
      </c>
      <c r="H128" s="73">
        <f t="shared" si="63"/>
        <v>-0.13432835820895536</v>
      </c>
      <c r="I128" s="202">
        <f>IF(ISNUMBER(G128), $B145 * H128, "")</f>
        <v>-20149.253731343306</v>
      </c>
      <c r="J128" s="125">
        <v>17.7</v>
      </c>
      <c r="K128" s="73">
        <f t="shared" si="64"/>
        <v>-0.11940298507462696</v>
      </c>
      <c r="L128" s="136">
        <f>IF(ISNUMBER(J128), $B145 * K128, "")</f>
        <v>-17910.447761194046</v>
      </c>
      <c r="M128" s="39">
        <v>17.5</v>
      </c>
      <c r="N128" s="73">
        <f t="shared" si="65"/>
        <v>-0.12935323383084582</v>
      </c>
      <c r="O128" s="136">
        <f>IF(ISNUMBER(M128), $B145 * N128, "")</f>
        <v>-19402.985074626875</v>
      </c>
      <c r="Q128" s="267"/>
      <c r="R128" s="267"/>
      <c r="S128" s="267"/>
    </row>
    <row r="129" spans="1:19" ht="17.25" thickBot="1">
      <c r="A129" s="126" t="s">
        <v>72</v>
      </c>
      <c r="B129" s="127">
        <v>36.4</v>
      </c>
      <c r="C129" s="74">
        <v>-2.7397260000000001E-3</v>
      </c>
      <c r="D129" s="127">
        <v>32.6</v>
      </c>
      <c r="E129" s="74">
        <f t="shared" si="62"/>
        <v>-0.10439560439560432</v>
      </c>
      <c r="F129" s="203">
        <f>IF(ISNUMBER(D129), $B145 * E129, "")</f>
        <v>-15659.340659340647</v>
      </c>
      <c r="G129" s="44">
        <v>30.7</v>
      </c>
      <c r="H129" s="74">
        <f t="shared" si="63"/>
        <v>-0.15659340659340659</v>
      </c>
      <c r="I129" s="204">
        <f>IF(ISNUMBER(G129), $B145 * H129, "")</f>
        <v>-23489.010989010989</v>
      </c>
      <c r="J129" s="127">
        <v>31.3</v>
      </c>
      <c r="K129" s="74">
        <f t="shared" si="64"/>
        <v>-0.14010989010989006</v>
      </c>
      <c r="L129" s="203">
        <f>IF(ISNUMBER(J129), $B145 * K129, "")</f>
        <v>-21016.483516483509</v>
      </c>
      <c r="M129" s="44">
        <v>31.5</v>
      </c>
      <c r="N129" s="74">
        <f t="shared" si="65"/>
        <v>-0.13461538461538458</v>
      </c>
      <c r="O129" s="203">
        <f>IF(ISNUMBER(M129), $B145 * N129, "")</f>
        <v>-20192.307692307688</v>
      </c>
      <c r="Q129" s="267"/>
      <c r="R129" s="267"/>
      <c r="S129" s="267"/>
    </row>
    <row r="130" spans="1:19" ht="17.25" thickBot="1">
      <c r="A130" s="124" t="s">
        <v>228</v>
      </c>
      <c r="B130" s="128">
        <v>18.100000000000001</v>
      </c>
      <c r="C130" s="76">
        <v>-1.09289617E-2</v>
      </c>
      <c r="D130" s="128">
        <v>16.100000000000001</v>
      </c>
      <c r="E130" s="76">
        <f>IF(ISNUMBER(D130), (D130 - $B130) / $B130, "")</f>
        <v>-0.11049723756906077</v>
      </c>
      <c r="F130" s="205">
        <f>IF(ISNUMBER(D130), $B145 * E130, "")</f>
        <v>-16574.585635359115</v>
      </c>
      <c r="G130" s="45">
        <v>15.8</v>
      </c>
      <c r="H130" s="76">
        <f>IF(ISNUMBER(G130), (G130 - $B130) / $B130, "")</f>
        <v>-0.12707182320441993</v>
      </c>
      <c r="I130" s="206">
        <f>IF(ISNUMBER(G130), $B145 * H130, "")</f>
        <v>-19060.773480662989</v>
      </c>
      <c r="J130" s="128">
        <v>15.9</v>
      </c>
      <c r="K130" s="76">
        <f>IF(ISNUMBER(J130), (J130 - $B130) / $B130, "")</f>
        <v>-0.1215469613259669</v>
      </c>
      <c r="L130" s="205">
        <f>IF(ISNUMBER(J130), $B145 * K130, "")</f>
        <v>-18232.044198895037</v>
      </c>
      <c r="M130" s="45">
        <v>15.8</v>
      </c>
      <c r="N130" s="76">
        <f>IF(ISNUMBER(M130), (M130 - $B130) / $B130, "")</f>
        <v>-0.12707182320441993</v>
      </c>
      <c r="O130" s="205">
        <f>IF(ISNUMBER(M130), $B145 * N130, "")</f>
        <v>-19060.773480662989</v>
      </c>
      <c r="Q130" s="267"/>
      <c r="R130" s="267"/>
      <c r="S130" s="267"/>
    </row>
    <row r="131" spans="1:19" ht="17.25" thickBot="1">
      <c r="A131" s="124" t="s">
        <v>222</v>
      </c>
      <c r="B131" s="125">
        <v>18.100000000000001</v>
      </c>
      <c r="C131" s="73">
        <v>-1.09289617E-2</v>
      </c>
      <c r="D131" s="125">
        <v>16.100000000000001</v>
      </c>
      <c r="E131" s="73">
        <f t="shared" ref="E131:E134" si="66">IF(ISNUMBER(D131), (D131 - $B131) / $B131, "")</f>
        <v>-0.11049723756906077</v>
      </c>
      <c r="F131" s="136">
        <f>IF(ISNUMBER(D131), $B145 * E131, "")</f>
        <v>-16574.585635359115</v>
      </c>
      <c r="G131" s="39">
        <v>15.6</v>
      </c>
      <c r="H131" s="73">
        <f t="shared" ref="H131:H134" si="67">IF(ISNUMBER(G131), (G131 - $B131) / $B131, "")</f>
        <v>-0.13812154696132606</v>
      </c>
      <c r="I131" s="202">
        <f>IF(ISNUMBER(G131), $B145 * H131, "")</f>
        <v>-20718.23204419891</v>
      </c>
      <c r="J131" s="125">
        <v>15.7</v>
      </c>
      <c r="K131" s="73">
        <f t="shared" ref="K131:K134" si="68">IF(ISNUMBER(J131), (J131 - $B131) / $B131, "")</f>
        <v>-0.13259668508287303</v>
      </c>
      <c r="L131" s="136">
        <f>IF(ISNUMBER(J131), $B145 * K131, "")</f>
        <v>-19889.502762430955</v>
      </c>
      <c r="M131" s="39">
        <v>15.7</v>
      </c>
      <c r="N131" s="73">
        <f t="shared" ref="N131:N134" si="69">IF(ISNUMBER(M131), (M131 - $B131) / $B131, "")</f>
        <v>-0.13259668508287303</v>
      </c>
      <c r="O131" s="136">
        <f>IF(ISNUMBER(M131), $B145 * N131, "")</f>
        <v>-19889.502762430955</v>
      </c>
      <c r="Q131" s="267"/>
      <c r="R131" s="267"/>
      <c r="S131" s="267"/>
    </row>
    <row r="132" spans="1:19" ht="17.25" thickBot="1">
      <c r="A132" s="124" t="s">
        <v>218</v>
      </c>
      <c r="B132" s="125">
        <v>26.7</v>
      </c>
      <c r="C132" s="73">
        <v>-1.11111111E-2</v>
      </c>
      <c r="D132" s="125">
        <v>23.9</v>
      </c>
      <c r="E132" s="73">
        <f t="shared" si="66"/>
        <v>-0.10486891385767794</v>
      </c>
      <c r="F132" s="136">
        <f>IF(ISNUMBER(D132), $B145 * E132, "")</f>
        <v>-15730.33707865169</v>
      </c>
      <c r="G132" s="39">
        <v>22.6</v>
      </c>
      <c r="H132" s="73">
        <f t="shared" si="67"/>
        <v>-0.15355805243445686</v>
      </c>
      <c r="I132" s="202">
        <f>IF(ISNUMBER(G132), $B145 * H132, "")</f>
        <v>-23033.70786516853</v>
      </c>
      <c r="J132" s="125">
        <v>23.2</v>
      </c>
      <c r="K132" s="73">
        <f t="shared" si="68"/>
        <v>-0.13108614232209739</v>
      </c>
      <c r="L132" s="136">
        <f>IF(ISNUMBER(J132), $B145 * K132, "")</f>
        <v>-19662.921348314609</v>
      </c>
      <c r="M132" s="39">
        <v>23</v>
      </c>
      <c r="N132" s="73">
        <f t="shared" si="69"/>
        <v>-0.13857677902621721</v>
      </c>
      <c r="O132" s="136">
        <f>IF(ISNUMBER(M132), $B145 * N132, "")</f>
        <v>-20786.516853932582</v>
      </c>
      <c r="Q132" s="267"/>
      <c r="R132" s="267"/>
      <c r="S132" s="267"/>
    </row>
    <row r="133" spans="1:19" ht="17.25" thickBot="1">
      <c r="A133" s="124" t="s">
        <v>196</v>
      </c>
      <c r="B133" s="125">
        <v>19.399999999999999</v>
      </c>
      <c r="C133" s="73">
        <v>-2.02020202E-2</v>
      </c>
      <c r="D133" s="125">
        <v>17.7</v>
      </c>
      <c r="E133" s="73">
        <f t="shared" si="66"/>
        <v>-8.762886597938141E-2</v>
      </c>
      <c r="F133" s="136">
        <f>IF(ISNUMBER(D133), $B145 * E133, "")</f>
        <v>-13144.329896907211</v>
      </c>
      <c r="G133" s="39">
        <v>17.3</v>
      </c>
      <c r="H133" s="73">
        <f t="shared" si="67"/>
        <v>-0.10824742268041226</v>
      </c>
      <c r="I133" s="202">
        <f>IF(ISNUMBER(G133), $B145 * H133, "")</f>
        <v>-16237.113402061839</v>
      </c>
      <c r="J133" s="125">
        <v>17.399999999999999</v>
      </c>
      <c r="K133" s="73">
        <f t="shared" si="68"/>
        <v>-0.10309278350515465</v>
      </c>
      <c r="L133" s="136">
        <f>IF(ISNUMBER(J133), $B145 * K133, "")</f>
        <v>-15463.917525773197</v>
      </c>
      <c r="M133" s="39">
        <v>17.399999999999999</v>
      </c>
      <c r="N133" s="73">
        <f t="shared" si="69"/>
        <v>-0.10309278350515465</v>
      </c>
      <c r="O133" s="136">
        <f>IF(ISNUMBER(M133), $B145 * N133, "")</f>
        <v>-15463.917525773197</v>
      </c>
      <c r="Q133" s="33"/>
      <c r="R133" s="33"/>
    </row>
    <row r="134" spans="1:19" ht="17.25" thickBot="1">
      <c r="A134" s="129" t="s">
        <v>186</v>
      </c>
      <c r="B134" s="130">
        <v>23.8</v>
      </c>
      <c r="C134" s="75">
        <v>-2.85714286E-2</v>
      </c>
      <c r="D134" s="130">
        <v>21.3</v>
      </c>
      <c r="E134" s="75">
        <f t="shared" si="66"/>
        <v>-0.10504201680672269</v>
      </c>
      <c r="F134" s="137">
        <f>IF(ISNUMBER(D134), $B145 * E134, "")</f>
        <v>-15756.302521008403</v>
      </c>
      <c r="G134" s="37">
        <v>20.3</v>
      </c>
      <c r="H134" s="75">
        <f t="shared" si="67"/>
        <v>-0.14705882352941177</v>
      </c>
      <c r="I134" s="207">
        <f>IF(ISNUMBER(G134), $B145 * H134, "")</f>
        <v>-22058.823529411766</v>
      </c>
      <c r="J134" s="130">
        <v>20.7</v>
      </c>
      <c r="K134" s="75">
        <f t="shared" si="68"/>
        <v>-0.1302521008403362</v>
      </c>
      <c r="L134" s="137">
        <f>IF(ISNUMBER(J134), $B145 * K134, "")</f>
        <v>-19537.815126050431</v>
      </c>
      <c r="M134" s="37">
        <v>21</v>
      </c>
      <c r="N134" s="75">
        <f t="shared" si="69"/>
        <v>-0.11764705882352944</v>
      </c>
      <c r="O134" s="137">
        <f>IF(ISNUMBER(M134), $B145 * N134, "")</f>
        <v>-17647.058823529416</v>
      </c>
      <c r="Q134" s="276"/>
      <c r="R134" s="277"/>
      <c r="S134" s="278"/>
    </row>
    <row r="135" spans="1:19">
      <c r="A135" s="122" t="s">
        <v>268</v>
      </c>
      <c r="B135" s="123">
        <v>87.6</v>
      </c>
      <c r="C135" s="72">
        <v>-3.2044198900000001E-2</v>
      </c>
      <c r="D135" s="123">
        <v>78.8</v>
      </c>
      <c r="E135" s="72">
        <f>IF(ISNUMBER(D135), (D135 - $B135) / $B135, "")</f>
        <v>-0.10045662100456619</v>
      </c>
      <c r="F135" s="140">
        <f>IF(ISNUMBER(D135), $B145 * E135, "")</f>
        <v>-15068.493150684928</v>
      </c>
      <c r="G135" s="38">
        <v>75.3</v>
      </c>
      <c r="H135" s="72">
        <f>IF(ISNUMBER(G135), (G135 - $B135) / $B135, "")</f>
        <v>-0.14041095890410957</v>
      </c>
      <c r="I135" s="201">
        <f>IF(ISNUMBER(G135), $B145 * H135, "")</f>
        <v>-21061.643835616436</v>
      </c>
      <c r="J135" s="123">
        <v>77</v>
      </c>
      <c r="K135" s="72">
        <f>IF(ISNUMBER(J135), (J135 - $B135) / $B135, "")</f>
        <v>-0.1210045662100456</v>
      </c>
      <c r="L135" s="140">
        <f>IF(ISNUMBER(J135), $B145 * K135, "")</f>
        <v>-18150.684931506839</v>
      </c>
      <c r="M135" s="38">
        <v>77.900000000000006</v>
      </c>
      <c r="N135" s="72">
        <f>IF(ISNUMBER(M135), (M135 - $B135) / $B135, "")</f>
        <v>-0.11073059360730582</v>
      </c>
      <c r="O135" s="140">
        <f>IF(ISNUMBER(M135), $B145 * N135, "")</f>
        <v>-16609.589041095875</v>
      </c>
      <c r="Q135" s="279"/>
      <c r="R135" s="280"/>
      <c r="S135" s="281"/>
    </row>
    <row r="136" spans="1:19" ht="17.25" thickBot="1">
      <c r="A136" s="124" t="s">
        <v>100</v>
      </c>
      <c r="B136" s="125">
        <v>8.1199999999999992</v>
      </c>
      <c r="C136" s="73">
        <v>-3.5629453700000001E-2</v>
      </c>
      <c r="D136" s="125">
        <v>7.6</v>
      </c>
      <c r="E136" s="73">
        <f t="shared" ref="E136:E139" si="70">IF(ISNUMBER(D136), (D136 - $B136) / $B136, "")</f>
        <v>-6.4039408866995023E-2</v>
      </c>
      <c r="F136" s="136">
        <f>IF(ISNUMBER(D136), $B145 * E136, "")</f>
        <v>-9605.9113300492536</v>
      </c>
      <c r="G136" s="39">
        <v>7.3</v>
      </c>
      <c r="H136" s="73">
        <f t="shared" ref="H136:H139" si="71">IF(ISNUMBER(G136), (G136 - $B136) / $B136, "")</f>
        <v>-0.10098522167487678</v>
      </c>
      <c r="I136" s="202">
        <f>IF(ISNUMBER(G136), $B145 * H136, "")</f>
        <v>-15147.783251231516</v>
      </c>
      <c r="J136" s="125">
        <v>7.42</v>
      </c>
      <c r="K136" s="73">
        <f t="shared" ref="K136:K139" si="72">IF(ISNUMBER(J136), (J136 - $B136) / $B136, "")</f>
        <v>-8.620689655172406E-2</v>
      </c>
      <c r="L136" s="136">
        <f>IF(ISNUMBER(J136), $B145 * K136, "")</f>
        <v>-12931.034482758609</v>
      </c>
      <c r="M136" s="39">
        <v>7.39</v>
      </c>
      <c r="N136" s="73">
        <f t="shared" ref="N136:N139" si="73">IF(ISNUMBER(M136), (M136 - $B136) / $B136, "")</f>
        <v>-8.9901477832512261E-2</v>
      </c>
      <c r="O136" s="136">
        <f>IF(ISNUMBER(M136), $B145 * N136, "")</f>
        <v>-13485.221674876839</v>
      </c>
      <c r="Q136" s="282"/>
      <c r="R136" s="283"/>
      <c r="S136" s="284"/>
    </row>
    <row r="137" spans="1:19" ht="17.25" thickBot="1">
      <c r="A137" s="124" t="s">
        <v>220</v>
      </c>
      <c r="B137" s="125">
        <v>18.5</v>
      </c>
      <c r="C137" s="73">
        <v>-3.64583333E-2</v>
      </c>
      <c r="D137" s="125">
        <v>16.600000000000001</v>
      </c>
      <c r="E137" s="73">
        <f t="shared" si="70"/>
        <v>-0.10270270270270263</v>
      </c>
      <c r="F137" s="136">
        <f>IF(ISNUMBER(D137), $B145 * E137, "")</f>
        <v>-15405.405405405394</v>
      </c>
      <c r="G137" s="39">
        <v>16.3</v>
      </c>
      <c r="H137" s="73">
        <f t="shared" si="71"/>
        <v>-0.11891891891891888</v>
      </c>
      <c r="I137" s="202">
        <f>IF(ISNUMBER(G137), $B145 * H137, "")</f>
        <v>-17837.837837837833</v>
      </c>
      <c r="J137" s="125">
        <v>16.899999999999999</v>
      </c>
      <c r="K137" s="73">
        <f t="shared" si="72"/>
        <v>-8.6486486486486561E-2</v>
      </c>
      <c r="L137" s="136">
        <f>IF(ISNUMBER(J137), $B145 * K137, "")</f>
        <v>-12972.972972972984</v>
      </c>
      <c r="M137" s="39">
        <v>16.899999999999999</v>
      </c>
      <c r="N137" s="73">
        <f t="shared" si="73"/>
        <v>-8.6486486486486561E-2</v>
      </c>
      <c r="O137" s="136">
        <f>IF(ISNUMBER(M137), $B145 * N137, "")</f>
        <v>-12972.972972972984</v>
      </c>
      <c r="Q137" s="267"/>
      <c r="R137" s="267"/>
      <c r="S137" s="267"/>
    </row>
    <row r="138" spans="1:19" ht="17.25" thickBot="1">
      <c r="A138" s="124" t="s">
        <v>152</v>
      </c>
      <c r="B138" s="125">
        <v>44.1</v>
      </c>
      <c r="C138" s="73">
        <v>-3.7117903899999999E-2</v>
      </c>
      <c r="D138" s="125">
        <v>39.9</v>
      </c>
      <c r="E138" s="73">
        <f t="shared" si="70"/>
        <v>-9.5238095238095302E-2</v>
      </c>
      <c r="F138" s="136">
        <f>IF(ISNUMBER(D138), $B145 * E138, "")</f>
        <v>-14285.714285714295</v>
      </c>
      <c r="G138" s="39">
        <v>38.299999999999997</v>
      </c>
      <c r="H138" s="73">
        <f t="shared" si="71"/>
        <v>-0.13151927437641733</v>
      </c>
      <c r="I138" s="202">
        <f>IF(ISNUMBER(G138), $B145 * H138, "")</f>
        <v>-19727.8911564626</v>
      </c>
      <c r="J138" s="125">
        <v>38.799999999999997</v>
      </c>
      <c r="K138" s="73">
        <f t="shared" si="72"/>
        <v>-0.12018140589569171</v>
      </c>
      <c r="L138" s="136">
        <f>IF(ISNUMBER(J138), $B145 * K138, "")</f>
        <v>-18027.210884353757</v>
      </c>
      <c r="M138" s="39">
        <v>38.799999999999997</v>
      </c>
      <c r="N138" s="73">
        <f t="shared" si="73"/>
        <v>-0.12018140589569171</v>
      </c>
      <c r="O138" s="136">
        <f>IF(ISNUMBER(M138), $B145 * N138, "")</f>
        <v>-18027.210884353757</v>
      </c>
      <c r="Q138" s="262"/>
      <c r="R138" s="262"/>
      <c r="S138" s="262"/>
    </row>
    <row r="139" spans="1:19" ht="17.25" thickBot="1">
      <c r="A139" s="126" t="s">
        <v>266</v>
      </c>
      <c r="B139" s="127">
        <v>90.1</v>
      </c>
      <c r="C139" s="74">
        <v>-3.7393162399999999E-2</v>
      </c>
      <c r="D139" s="127">
        <v>83.9</v>
      </c>
      <c r="E139" s="74">
        <f t="shared" si="70"/>
        <v>-6.8812430632630289E-2</v>
      </c>
      <c r="F139" s="203">
        <f>IF(ISNUMBER(D139), $B145 * E139, "")</f>
        <v>-10321.864594894543</v>
      </c>
      <c r="G139" s="44">
        <v>82.6</v>
      </c>
      <c r="H139" s="74">
        <f t="shared" si="71"/>
        <v>-8.324084350721421E-2</v>
      </c>
      <c r="I139" s="204">
        <f>IF(ISNUMBER(G139), $B145 * H139, "")</f>
        <v>-12486.126526082131</v>
      </c>
      <c r="J139" s="127">
        <v>83.2</v>
      </c>
      <c r="K139" s="74">
        <f t="shared" si="72"/>
        <v>-7.6581576026636983E-2</v>
      </c>
      <c r="L139" s="203">
        <f>IF(ISNUMBER(J139), $B145 * K139, "")</f>
        <v>-11487.236403995548</v>
      </c>
      <c r="M139" s="44">
        <v>83.1</v>
      </c>
      <c r="N139" s="74">
        <f t="shared" si="73"/>
        <v>-7.7691453940066602E-2</v>
      </c>
      <c r="O139" s="203">
        <f>IF(ISNUMBER(M139), $B145 * N139, "")</f>
        <v>-11653.718091009991</v>
      </c>
      <c r="Q139" s="262"/>
      <c r="R139" s="262"/>
      <c r="S139" s="262"/>
    </row>
    <row r="140" spans="1:19" ht="17.25" thickBot="1">
      <c r="A140" s="124" t="s">
        <v>65</v>
      </c>
      <c r="B140" s="128">
        <v>69.8</v>
      </c>
      <c r="C140" s="76">
        <v>-4.9046321499999997E-2</v>
      </c>
      <c r="D140" s="128">
        <v>64.900000000000006</v>
      </c>
      <c r="E140" s="76">
        <f>IF(ISNUMBER(D140), (D140 - $B140) / $B140, "")</f>
        <v>-7.0200573065902466E-2</v>
      </c>
      <c r="F140" s="205">
        <f>IF(ISNUMBER(D140), $B145 * E140, "")</f>
        <v>-10530.085959885369</v>
      </c>
      <c r="G140" s="45">
        <v>63</v>
      </c>
      <c r="H140" s="76">
        <f>IF(ISNUMBER(G140), (G140 - $B140) / $B140, "")</f>
        <v>-9.7421203438395373E-2</v>
      </c>
      <c r="I140" s="206">
        <f>IF(ISNUMBER(G140), $B145 * H140, "")</f>
        <v>-14613.180515759306</v>
      </c>
      <c r="J140" s="128">
        <v>63.8</v>
      </c>
      <c r="K140" s="76">
        <f>IF(ISNUMBER(J140), (J140 - $B140) / $B140, "")</f>
        <v>-8.5959885386819493E-2</v>
      </c>
      <c r="L140" s="205">
        <f>IF(ISNUMBER(J140), $B145 * K140, "")</f>
        <v>-12893.982808022924</v>
      </c>
      <c r="M140" s="45">
        <v>62.8</v>
      </c>
      <c r="N140" s="76">
        <f>IF(ISNUMBER(M140), (M140 - $B140) / $B140, "")</f>
        <v>-0.10028653295128941</v>
      </c>
      <c r="O140" s="205">
        <f>IF(ISNUMBER(M140), $B145 * N140, "")</f>
        <v>-15042.979942693411</v>
      </c>
      <c r="Q140" s="267"/>
      <c r="R140" s="267"/>
      <c r="S140" s="267"/>
    </row>
    <row r="141" spans="1:19" ht="17.25" thickBot="1">
      <c r="A141" s="124" t="s">
        <v>126</v>
      </c>
      <c r="B141" s="125">
        <v>54.6</v>
      </c>
      <c r="C141" s="73">
        <v>-5.5363321799999997E-2</v>
      </c>
      <c r="D141" s="125">
        <v>50</v>
      </c>
      <c r="E141" s="73">
        <f t="shared" ref="E141:E144" si="74">IF(ISNUMBER(D141), (D141 - $B141) / $B141, "")</f>
        <v>-8.4249084249084269E-2</v>
      </c>
      <c r="F141" s="136">
        <f>IF(ISNUMBER(D141), $B145 * E141, "")</f>
        <v>-12637.362637362641</v>
      </c>
      <c r="G141" s="39">
        <v>48</v>
      </c>
      <c r="H141" s="73">
        <f t="shared" ref="H141:H144" si="75">IF(ISNUMBER(G141), (G141 - $B141) / $B141, "")</f>
        <v>-0.12087912087912091</v>
      </c>
      <c r="I141" s="202">
        <f>IF(ISNUMBER(G141), $B145 * H141, "")</f>
        <v>-18131.868131868137</v>
      </c>
      <c r="J141" s="125">
        <v>48.7</v>
      </c>
      <c r="K141" s="73">
        <f t="shared" ref="K141:K144" si="76">IF(ISNUMBER(J141), (J141 - $B141) / $B141, "")</f>
        <v>-0.10805860805860804</v>
      </c>
      <c r="L141" s="136">
        <f>IF(ISNUMBER(J141), $B145 * K141, "")</f>
        <v>-16208.791208791205</v>
      </c>
      <c r="M141" s="39">
        <v>49</v>
      </c>
      <c r="N141" s="73">
        <f t="shared" ref="N141:N144" si="77">IF(ISNUMBER(M141), (M141 - $B141) / $B141, "")</f>
        <v>-0.10256410256410259</v>
      </c>
      <c r="O141" s="136">
        <f>IF(ISNUMBER(M141), $B145 * N141, "")</f>
        <v>-15384.615384615388</v>
      </c>
      <c r="Q141" s="267"/>
      <c r="R141" s="267"/>
      <c r="S141" s="267"/>
    </row>
    <row r="142" spans="1:19" ht="17.25" thickBot="1">
      <c r="A142" s="124" t="s">
        <v>254</v>
      </c>
      <c r="B142" s="125">
        <v>82.8</v>
      </c>
      <c r="C142" s="73">
        <v>-6.01589103E-2</v>
      </c>
      <c r="D142" s="125">
        <v>73.599999999999994</v>
      </c>
      <c r="E142" s="73">
        <f t="shared" si="74"/>
        <v>-0.11111111111111115</v>
      </c>
      <c r="F142" s="136">
        <f>IF(ISNUMBER(D142), $B145 * E142, "")</f>
        <v>-16666.666666666672</v>
      </c>
      <c r="G142" s="39">
        <v>71.2</v>
      </c>
      <c r="H142" s="73">
        <f t="shared" si="75"/>
        <v>-0.14009661835748785</v>
      </c>
      <c r="I142" s="202">
        <f>IF(ISNUMBER(G142), $B145 * H142, "")</f>
        <v>-21014.492753623177</v>
      </c>
      <c r="J142" s="125">
        <v>72.099999999999994</v>
      </c>
      <c r="K142" s="73">
        <f t="shared" si="76"/>
        <v>-0.12922705314009666</v>
      </c>
      <c r="L142" s="136">
        <f>IF(ISNUMBER(J142), $B145 * K142, "")</f>
        <v>-19384.057971014499</v>
      </c>
      <c r="M142" s="39">
        <v>72.900000000000006</v>
      </c>
      <c r="N142" s="73">
        <f t="shared" si="77"/>
        <v>-0.11956521739130425</v>
      </c>
      <c r="O142" s="136">
        <f>IF(ISNUMBER(M142), $B145 * N142, "")</f>
        <v>-17934.782608695637</v>
      </c>
      <c r="Q142" s="267"/>
      <c r="R142" s="267"/>
      <c r="S142" s="267"/>
    </row>
    <row r="143" spans="1:19">
      <c r="A143" s="124" t="s">
        <v>236</v>
      </c>
      <c r="B143" s="125">
        <v>83.6</v>
      </c>
      <c r="C143" s="73">
        <v>-0.17227722770000001</v>
      </c>
      <c r="D143" s="125">
        <v>74.599999999999994</v>
      </c>
      <c r="E143" s="73">
        <f t="shared" si="74"/>
        <v>-0.1076555023923445</v>
      </c>
      <c r="F143" s="136">
        <f>IF(ISNUMBER(D143), $B145 * E143, "")</f>
        <v>-16148.325358851676</v>
      </c>
      <c r="G143" s="39">
        <v>70</v>
      </c>
      <c r="H143" s="73">
        <f t="shared" si="75"/>
        <v>-0.16267942583732051</v>
      </c>
      <c r="I143" s="202">
        <f>IF(ISNUMBER(G143), $B145 * H143, "")</f>
        <v>-24401.913875598075</v>
      </c>
      <c r="J143" s="125">
        <v>72.2</v>
      </c>
      <c r="K143" s="73">
        <f t="shared" si="76"/>
        <v>-0.13636363636363627</v>
      </c>
      <c r="L143" s="136">
        <f>IF(ISNUMBER(J143), $B145 * K143, "")</f>
        <v>-20454.545454545441</v>
      </c>
      <c r="M143" s="39">
        <v>72.2</v>
      </c>
      <c r="N143" s="73">
        <f t="shared" si="77"/>
        <v>-0.13636363636363627</v>
      </c>
      <c r="O143" s="136">
        <f>IF(ISNUMBER(M143), $B145 * N143, "")</f>
        <v>-20454.545454545441</v>
      </c>
      <c r="Q143" s="289"/>
      <c r="R143" s="290"/>
      <c r="S143" s="291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292"/>
      <c r="R144" s="293"/>
      <c r="S144" s="294"/>
    </row>
    <row r="145" spans="1:19" ht="17.25" thickBot="1">
      <c r="A145" s="131" t="s">
        <v>301</v>
      </c>
      <c r="B145" s="300">
        <f>$B$37</f>
        <v>150000</v>
      </c>
      <c r="C145" s="301"/>
      <c r="D145" s="131" t="s">
        <v>302</v>
      </c>
      <c r="E145" s="223">
        <f>IF(COUNT(E125:E144), SUM(E125:E144) / COUNT(E125:E144), 0)</f>
        <v>-9.2362766563491627E-2</v>
      </c>
      <c r="F145" s="208">
        <f>SUM(F125:F144)</f>
        <v>-263233.88470595115</v>
      </c>
      <c r="G145" s="131" t="s">
        <v>302</v>
      </c>
      <c r="H145" s="223">
        <f>IF(COUNT(H125:H144), SUM(H125:H144) / COUNT(H125:H144), 0)</f>
        <v>-0.12661581002444788</v>
      </c>
      <c r="I145" s="208">
        <f>SUM(I125:I144)</f>
        <v>-360855.05856967648</v>
      </c>
      <c r="J145" s="131" t="s">
        <v>302</v>
      </c>
      <c r="K145" s="223">
        <f>IF(COUNT(K125:K144), SUM(K125:K144) / COUNT(K125:K144), 0)</f>
        <v>-0.11222701611156145</v>
      </c>
      <c r="L145" s="208">
        <f>SUM(L125:L144)</f>
        <v>-319846.99591795017</v>
      </c>
      <c r="M145" s="131" t="s">
        <v>302</v>
      </c>
      <c r="N145" s="223">
        <f>IF(COUNT(N125:N144), SUM(N125:N144) / COUNT(N125:N144), 0)</f>
        <v>-0.11193500381696571</v>
      </c>
      <c r="O145" s="208">
        <f>SUM(O125:O144)</f>
        <v>-319014.76087835233</v>
      </c>
      <c r="Q145" s="295"/>
      <c r="R145" s="296"/>
      <c r="S145" s="297"/>
    </row>
    <row r="147" spans="1:19" ht="17.25" thickBot="1"/>
    <row r="148" spans="1:19" ht="17.25" thickBot="1">
      <c r="A148" s="241" t="s">
        <v>289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217" t="s">
        <v>298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62017000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-1.6680144000000001E-2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2021-05-13(목) 오전 00:00</v>
      </c>
      <c r="C150" s="305"/>
      <c r="D150" s="241" t="str">
        <f>TEXT($G$1, "[$-ko-KR]yyyy-mm-dd(ddd) ") &amp; "오후 14:00"</f>
        <v>2021-05-13(목) 오후 14:00</v>
      </c>
      <c r="E150" s="242"/>
      <c r="F150" s="243"/>
      <c r="G150" s="241" t="str">
        <f>TEXT($G$1, "[$-ko-KR]yyyy-mm-dd(ddd) ") &amp; "오후 19:00"</f>
        <v>2021-05-13(목) 오후 19:00</v>
      </c>
      <c r="H150" s="242"/>
      <c r="I150" s="243"/>
      <c r="J150" s="241" t="str">
        <f>TEXT($G$1, "[$-ko-KR]yyyy-mm-dd(ddd) ") &amp; "오후 21:00"</f>
        <v>2021-05-13(목) 오후 21:00</v>
      </c>
      <c r="K150" s="242"/>
      <c r="L150" s="243"/>
      <c r="M150" s="241" t="str">
        <f>TEXT($G$1+1, "[$-ko-KR]yyyy-mm-dd(ddd) ") &amp; "오전 00:00"</f>
        <v>2021-05-14(금) 오전 00:00</v>
      </c>
      <c r="N150" s="242"/>
      <c r="O150" s="243"/>
      <c r="Q150" s="262"/>
      <c r="R150" s="262"/>
      <c r="S150" s="262"/>
    </row>
    <row r="151" spans="1:19" ht="17.25" thickBot="1">
      <c r="A151" s="303"/>
      <c r="B151" s="120" t="s">
        <v>58</v>
      </c>
      <c r="C151" s="121" t="s">
        <v>59</v>
      </c>
      <c r="D151" s="120" t="s">
        <v>58</v>
      </c>
      <c r="E151" s="121" t="s">
        <v>299</v>
      </c>
      <c r="F151" s="224" t="s">
        <v>300</v>
      </c>
      <c r="G151" s="217" t="s">
        <v>58</v>
      </c>
      <c r="H151" s="218" t="s">
        <v>299</v>
      </c>
      <c r="I151" s="219" t="s">
        <v>300</v>
      </c>
      <c r="J151" s="121" t="s">
        <v>58</v>
      </c>
      <c r="K151" s="121" t="s">
        <v>299</v>
      </c>
      <c r="L151" s="221" t="s">
        <v>300</v>
      </c>
      <c r="M151" s="120" t="s">
        <v>58</v>
      </c>
      <c r="N151" s="121" t="s">
        <v>299</v>
      </c>
      <c r="O151" s="222" t="s">
        <v>300</v>
      </c>
      <c r="Q151" s="267"/>
      <c r="R151" s="267"/>
      <c r="S151" s="267"/>
    </row>
    <row r="152" spans="1:19" ht="17.25" thickBot="1">
      <c r="A152" s="122" t="s">
        <v>270</v>
      </c>
      <c r="B152" s="123">
        <v>543</v>
      </c>
      <c r="C152" s="72">
        <v>-1.9855595699999999E-2</v>
      </c>
      <c r="D152" s="123">
        <v>511</v>
      </c>
      <c r="E152" s="72">
        <f>IF(ISNUMBER(D152), (D152 - $B152) / $B152, "")</f>
        <v>-5.8931860036832415E-2</v>
      </c>
      <c r="F152" s="140">
        <f>IF(ISNUMBER(D152), $B172 * E152, "")</f>
        <v>-8839.7790055248624</v>
      </c>
      <c r="G152" s="38">
        <v>500</v>
      </c>
      <c r="H152" s="72">
        <f>IF(ISNUMBER(G152), (G152 - $B152) / $B152, "")</f>
        <v>-7.918968692449356E-2</v>
      </c>
      <c r="I152" s="201">
        <f>IF(ISNUMBER(G152), $B172 * H152, "")</f>
        <v>-11878.453038674033</v>
      </c>
      <c r="J152" s="123">
        <v>512</v>
      </c>
      <c r="K152" s="72">
        <f>IF(ISNUMBER(J152), (J152 - $B152) / $B152, "")</f>
        <v>-5.70902394106814E-2</v>
      </c>
      <c r="L152" s="140">
        <f>IF(ISNUMBER(J152), $B172 * K152, "")</f>
        <v>-8563.53591160221</v>
      </c>
      <c r="M152" s="38">
        <v>510</v>
      </c>
      <c r="N152" s="72">
        <f>IF(ISNUMBER(M152), (M152 - $B152) / $B152, "")</f>
        <v>-6.0773480662983423E-2</v>
      </c>
      <c r="O152" s="140">
        <f>IF(ISNUMBER(M152), $B172 * N152, "")</f>
        <v>-9116.022099447513</v>
      </c>
      <c r="Q152" s="262"/>
      <c r="R152" s="262"/>
      <c r="S152" s="262"/>
    </row>
    <row r="153" spans="1:19" ht="17.25" thickBot="1">
      <c r="A153" s="124" t="s">
        <v>88</v>
      </c>
      <c r="B153" s="125">
        <v>549</v>
      </c>
      <c r="C153" s="73">
        <v>-2.48667851E-2</v>
      </c>
      <c r="D153" s="125">
        <v>517</v>
      </c>
      <c r="E153" s="73">
        <f t="shared" ref="E153:E156" si="78">IF(ISNUMBER(D153), (D153 - $B153) / $B153, "")</f>
        <v>-5.8287795992714025E-2</v>
      </c>
      <c r="F153" s="136">
        <f>IF(ISNUMBER(D153), $B172 * E153, "")</f>
        <v>-8743.1693989071046</v>
      </c>
      <c r="G153" s="39">
        <v>531</v>
      </c>
      <c r="H153" s="73">
        <f t="shared" ref="H153:H156" si="79">IF(ISNUMBER(G153), (G153 - $B153) / $B153, "")</f>
        <v>-3.2786885245901641E-2</v>
      </c>
      <c r="I153" s="202">
        <f>IF(ISNUMBER(G153), $B172 * H153, "")</f>
        <v>-4918.0327868852464</v>
      </c>
      <c r="J153" s="125">
        <v>540</v>
      </c>
      <c r="K153" s="73">
        <f t="shared" ref="K153:K156" si="80">IF(ISNUMBER(J153), (J153 - $B153) / $B153, "")</f>
        <v>-1.6393442622950821E-2</v>
      </c>
      <c r="L153" s="136">
        <f>IF(ISNUMBER(J153), $B172 * K153, "")</f>
        <v>-2459.0163934426232</v>
      </c>
      <c r="M153" s="39">
        <v>525</v>
      </c>
      <c r="N153" s="73">
        <f t="shared" ref="N153:N156" si="81">IF(ISNUMBER(M153), (M153 - $B153) / $B153, "")</f>
        <v>-4.3715846994535519E-2</v>
      </c>
      <c r="O153" s="136">
        <f>IF(ISNUMBER(M153), $B172 * N153, "")</f>
        <v>-6557.377049180328</v>
      </c>
      <c r="Q153" s="262"/>
      <c r="R153" s="262"/>
      <c r="S153" s="262"/>
    </row>
    <row r="154" spans="1:19" ht="17.25" thickBot="1">
      <c r="A154" s="124" t="s">
        <v>278</v>
      </c>
      <c r="B154" s="125">
        <v>153</v>
      </c>
      <c r="C154" s="73">
        <v>-2.5477706999999999E-2</v>
      </c>
      <c r="D154" s="125">
        <v>142</v>
      </c>
      <c r="E154" s="73">
        <f t="shared" si="78"/>
        <v>-7.1895424836601302E-2</v>
      </c>
      <c r="F154" s="136">
        <f>IF(ISNUMBER(D154), $B172 * E154, "")</f>
        <v>-10784.313725490196</v>
      </c>
      <c r="G154" s="39">
        <v>138</v>
      </c>
      <c r="H154" s="73">
        <f t="shared" si="79"/>
        <v>-9.8039215686274508E-2</v>
      </c>
      <c r="I154" s="202">
        <f>IF(ISNUMBER(G154), $B172 * H154, "")</f>
        <v>-14705.882352941177</v>
      </c>
      <c r="J154" s="125">
        <v>140</v>
      </c>
      <c r="K154" s="73">
        <f t="shared" si="80"/>
        <v>-8.4967320261437912E-2</v>
      </c>
      <c r="L154" s="136">
        <f>IF(ISNUMBER(J154), $B172 * K154, "")</f>
        <v>-12745.098039215687</v>
      </c>
      <c r="M154" s="39">
        <v>138</v>
      </c>
      <c r="N154" s="73">
        <f t="shared" si="81"/>
        <v>-9.8039215686274508E-2</v>
      </c>
      <c r="O154" s="136">
        <f>IF(ISNUMBER(M154), $B172 * N154, "")</f>
        <v>-14705.882352941177</v>
      </c>
      <c r="Q154" s="267"/>
      <c r="R154" s="267"/>
      <c r="S154" s="267"/>
    </row>
    <row r="155" spans="1:19" ht="17.25" thickBot="1">
      <c r="A155" s="124" t="s">
        <v>116</v>
      </c>
      <c r="B155" s="125">
        <v>605</v>
      </c>
      <c r="C155" s="73">
        <v>-2.57648953E-2</v>
      </c>
      <c r="D155" s="125">
        <v>546</v>
      </c>
      <c r="E155" s="73">
        <f t="shared" si="78"/>
        <v>-9.7520661157024791E-2</v>
      </c>
      <c r="F155" s="136">
        <f>IF(ISNUMBER(D155), $B172 * E155, "")</f>
        <v>-14628.099173553719</v>
      </c>
      <c r="G155" s="39">
        <v>528</v>
      </c>
      <c r="H155" s="73">
        <f t="shared" si="79"/>
        <v>-0.12727272727272726</v>
      </c>
      <c r="I155" s="202">
        <f>IF(ISNUMBER(G155), $B172 * H155, "")</f>
        <v>-19090.909090909088</v>
      </c>
      <c r="J155" s="125">
        <v>540</v>
      </c>
      <c r="K155" s="73">
        <f t="shared" si="80"/>
        <v>-0.10743801652892562</v>
      </c>
      <c r="L155" s="136">
        <f>IF(ISNUMBER(J155), $B172 * K155, "")</f>
        <v>-16115.702479338843</v>
      </c>
      <c r="M155" s="39">
        <v>531</v>
      </c>
      <c r="N155" s="73">
        <f t="shared" si="81"/>
        <v>-0.12231404958677686</v>
      </c>
      <c r="O155" s="136">
        <f>IF(ISNUMBER(M155), $B172 * N155, "")</f>
        <v>-18347.10743801653</v>
      </c>
      <c r="Q155" s="267"/>
      <c r="R155" s="267"/>
      <c r="S155" s="267"/>
    </row>
    <row r="156" spans="1:19" ht="17.25" thickBot="1">
      <c r="A156" s="126" t="s">
        <v>216</v>
      </c>
      <c r="B156" s="127">
        <v>492</v>
      </c>
      <c r="C156" s="74">
        <v>-2.7667984199999999E-2</v>
      </c>
      <c r="D156" s="127">
        <v>427</v>
      </c>
      <c r="E156" s="74">
        <f t="shared" si="78"/>
        <v>-0.13211382113821138</v>
      </c>
      <c r="F156" s="203">
        <f>IF(ISNUMBER(D156), $B172 * E156, "")</f>
        <v>-19817.073170731706</v>
      </c>
      <c r="G156" s="44">
        <v>431</v>
      </c>
      <c r="H156" s="74">
        <f t="shared" si="79"/>
        <v>-0.12398373983739837</v>
      </c>
      <c r="I156" s="204">
        <f>IF(ISNUMBER(G156), $B172 * H156, "")</f>
        <v>-18597.560975609755</v>
      </c>
      <c r="J156" s="127">
        <v>440</v>
      </c>
      <c r="K156" s="74">
        <f t="shared" si="80"/>
        <v>-0.10569105691056911</v>
      </c>
      <c r="L156" s="203">
        <f>IF(ISNUMBER(J156), $B172 * K156, "")</f>
        <v>-15853.658536585366</v>
      </c>
      <c r="M156" s="44">
        <v>439</v>
      </c>
      <c r="N156" s="74">
        <f t="shared" si="81"/>
        <v>-0.10772357723577236</v>
      </c>
      <c r="O156" s="203">
        <f>IF(ISNUMBER(M156), $B172 * N156, "")</f>
        <v>-16158.536585365855</v>
      </c>
      <c r="Q156" s="267"/>
      <c r="R156" s="267"/>
      <c r="S156" s="267"/>
    </row>
    <row r="157" spans="1:19" ht="17.25" thickBot="1">
      <c r="A157" s="124" t="s">
        <v>156</v>
      </c>
      <c r="B157" s="128">
        <v>167</v>
      </c>
      <c r="C157" s="76">
        <v>-2.9069767400000002E-2</v>
      </c>
      <c r="D157" s="128">
        <v>154</v>
      </c>
      <c r="E157" s="76">
        <f>IF(ISNUMBER(D157), (D157 - $B157) / $B157, "")</f>
        <v>-7.7844311377245512E-2</v>
      </c>
      <c r="F157" s="205">
        <f>IF(ISNUMBER(D157), $B172 * E157, "")</f>
        <v>-11676.646706586827</v>
      </c>
      <c r="G157" s="45">
        <v>151</v>
      </c>
      <c r="H157" s="76">
        <f>IF(ISNUMBER(G157), (G157 - $B157) / $B157, "")</f>
        <v>-9.580838323353294E-2</v>
      </c>
      <c r="I157" s="206">
        <f>IF(ISNUMBER(G157), $B172 * H157, "")</f>
        <v>-14371.257485029941</v>
      </c>
      <c r="J157" s="128">
        <v>153</v>
      </c>
      <c r="K157" s="76">
        <f>IF(ISNUMBER(J157), (J157 - $B157) / $B157, "")</f>
        <v>-8.3832335329341312E-2</v>
      </c>
      <c r="L157" s="205">
        <f>IF(ISNUMBER(J157), $B172 * K157, "")</f>
        <v>-12574.850299401196</v>
      </c>
      <c r="M157" s="45">
        <v>151</v>
      </c>
      <c r="N157" s="76">
        <f>IF(ISNUMBER(M157), (M157 - $B157) / $B157, "")</f>
        <v>-9.580838323353294E-2</v>
      </c>
      <c r="O157" s="205">
        <f>IF(ISNUMBER(M157), $B172 * N157, "")</f>
        <v>-14371.257485029941</v>
      </c>
      <c r="Q157" s="267"/>
      <c r="R157" s="267"/>
      <c r="S157" s="267"/>
    </row>
    <row r="158" spans="1:19" ht="17.25" thickBot="1">
      <c r="A158" s="124" t="s">
        <v>57</v>
      </c>
      <c r="B158" s="125">
        <v>427</v>
      </c>
      <c r="C158" s="73">
        <v>-2.9545454499999999E-2</v>
      </c>
      <c r="D158" s="125">
        <v>394</v>
      </c>
      <c r="E158" s="73">
        <f t="shared" ref="E158:E161" si="82">IF(ISNUMBER(D158), (D158 - $B158) / $B158, "")</f>
        <v>-7.7283372365339581E-2</v>
      </c>
      <c r="F158" s="136">
        <f>IF(ISNUMBER(D158), $B172 * E158, "")</f>
        <v>-11592.505854800937</v>
      </c>
      <c r="G158" s="39">
        <v>383</v>
      </c>
      <c r="H158" s="73">
        <f t="shared" ref="H158:H161" si="83">IF(ISNUMBER(G158), (G158 - $B158) / $B158, "")</f>
        <v>-0.10304449648711944</v>
      </c>
      <c r="I158" s="202">
        <f>IF(ISNUMBER(G158), $B172 * H158, "")</f>
        <v>-15456.674473067917</v>
      </c>
      <c r="J158" s="125">
        <v>389</v>
      </c>
      <c r="K158" s="73">
        <f t="shared" ref="K158:K161" si="84">IF(ISNUMBER(J158), (J158 - $B158) / $B158, "")</f>
        <v>-8.899297423887588E-2</v>
      </c>
      <c r="L158" s="136">
        <f>IF(ISNUMBER(J158), $B172 * K158, "")</f>
        <v>-13348.946135831382</v>
      </c>
      <c r="M158" s="39">
        <v>385</v>
      </c>
      <c r="N158" s="73">
        <f t="shared" ref="N158:N161" si="85">IF(ISNUMBER(M158), (M158 - $B158) / $B158, "")</f>
        <v>-9.8360655737704916E-2</v>
      </c>
      <c r="O158" s="136">
        <f>IF(ISNUMBER(M158), $B172 * N158, "")</f>
        <v>-14754.098360655737</v>
      </c>
      <c r="Q158" s="267"/>
      <c r="R158" s="267"/>
      <c r="S158" s="267"/>
    </row>
    <row r="159" spans="1:19" ht="17.25" thickBot="1">
      <c r="A159" s="124" t="s">
        <v>296</v>
      </c>
      <c r="B159" s="125">
        <v>588</v>
      </c>
      <c r="C159" s="73">
        <v>-3.1301482700000001E-2</v>
      </c>
      <c r="D159" s="125">
        <v>553</v>
      </c>
      <c r="E159" s="73">
        <f t="shared" si="82"/>
        <v>-5.9523809523809521E-2</v>
      </c>
      <c r="F159" s="136">
        <f>IF(ISNUMBER(D159), $B172 * E159, "")</f>
        <v>-8928.5714285714275</v>
      </c>
      <c r="G159" s="39">
        <v>510</v>
      </c>
      <c r="H159" s="73">
        <f t="shared" si="83"/>
        <v>-0.1326530612244898</v>
      </c>
      <c r="I159" s="202">
        <f>IF(ISNUMBER(G159), $B172 * H159, "")</f>
        <v>-19897.959183673469</v>
      </c>
      <c r="J159" s="125">
        <v>518</v>
      </c>
      <c r="K159" s="73">
        <f t="shared" si="84"/>
        <v>-0.11904761904761904</v>
      </c>
      <c r="L159" s="136">
        <f>IF(ISNUMBER(J159), $B172 * K159, "")</f>
        <v>-17857.142857142855</v>
      </c>
      <c r="M159" s="39">
        <v>528</v>
      </c>
      <c r="N159" s="73">
        <f t="shared" si="85"/>
        <v>-0.10204081632653061</v>
      </c>
      <c r="O159" s="136">
        <f>IF(ISNUMBER(M159), $B172 * N159, "")</f>
        <v>-15306.122448979591</v>
      </c>
      <c r="Q159" s="267"/>
      <c r="R159" s="267"/>
      <c r="S159" s="267"/>
    </row>
    <row r="160" spans="1:19" ht="17.25" thickBot="1">
      <c r="A160" s="124" t="s">
        <v>252</v>
      </c>
      <c r="B160" s="125">
        <v>520</v>
      </c>
      <c r="C160" s="73">
        <v>-3.1657355700000001E-2</v>
      </c>
      <c r="D160" s="125">
        <v>448</v>
      </c>
      <c r="E160" s="73">
        <f t="shared" si="82"/>
        <v>-0.13846153846153847</v>
      </c>
      <c r="F160" s="136">
        <f>IF(ISNUMBER(D160), $B172 * E160, "")</f>
        <v>-20769.23076923077</v>
      </c>
      <c r="G160" s="39">
        <v>430</v>
      </c>
      <c r="H160" s="73">
        <f t="shared" si="83"/>
        <v>-0.17307692307692307</v>
      </c>
      <c r="I160" s="202">
        <f>IF(ISNUMBER(G160), $B172 * H160, "")</f>
        <v>-25961.538461538461</v>
      </c>
      <c r="J160" s="125">
        <v>441</v>
      </c>
      <c r="K160" s="73">
        <f t="shared" si="84"/>
        <v>-0.15192307692307691</v>
      </c>
      <c r="L160" s="136">
        <f>IF(ISNUMBER(J160), $B172 * K160, "")</f>
        <v>-22788.461538461535</v>
      </c>
      <c r="M160" s="39">
        <v>445</v>
      </c>
      <c r="N160" s="73">
        <f t="shared" si="85"/>
        <v>-0.14423076923076922</v>
      </c>
      <c r="O160" s="136">
        <f>IF(ISNUMBER(M160), $B172 * N160, "")</f>
        <v>-21634.615384615383</v>
      </c>
      <c r="Q160" s="33"/>
      <c r="R160" s="33"/>
    </row>
    <row r="161" spans="1:19" ht="17.25" thickBot="1">
      <c r="A161" s="129" t="s">
        <v>148</v>
      </c>
      <c r="B161" s="130">
        <v>188</v>
      </c>
      <c r="C161" s="75">
        <v>-3.5897435900000003E-2</v>
      </c>
      <c r="D161" s="130">
        <v>180</v>
      </c>
      <c r="E161" s="75">
        <f t="shared" si="82"/>
        <v>-4.2553191489361701E-2</v>
      </c>
      <c r="F161" s="137">
        <f>IF(ISNUMBER(D161), $B172 * E161, "")</f>
        <v>-6382.9787234042551</v>
      </c>
      <c r="G161" s="37">
        <v>177</v>
      </c>
      <c r="H161" s="75">
        <f t="shared" si="83"/>
        <v>-5.8510638297872342E-2</v>
      </c>
      <c r="I161" s="207">
        <f>IF(ISNUMBER(G161), $B172 * H161, "")</f>
        <v>-8776.5957446808516</v>
      </c>
      <c r="J161" s="130">
        <v>179</v>
      </c>
      <c r="K161" s="75">
        <f t="shared" si="84"/>
        <v>-4.7872340425531915E-2</v>
      </c>
      <c r="L161" s="137">
        <f>IF(ISNUMBER(J161), $B172 * K161, "")</f>
        <v>-7180.8510638297876</v>
      </c>
      <c r="M161" s="37">
        <v>175</v>
      </c>
      <c r="N161" s="75">
        <f t="shared" si="85"/>
        <v>-6.9148936170212769E-2</v>
      </c>
      <c r="O161" s="137">
        <f>IF(ISNUMBER(M161), $B172 * N161, "")</f>
        <v>-10372.340425531915</v>
      </c>
      <c r="Q161" s="276"/>
      <c r="R161" s="277"/>
      <c r="S161" s="278"/>
    </row>
    <row r="162" spans="1:19">
      <c r="A162" s="122" t="s">
        <v>128</v>
      </c>
      <c r="B162" s="123">
        <v>633</v>
      </c>
      <c r="C162" s="72">
        <v>-3.65296804E-2</v>
      </c>
      <c r="D162" s="123">
        <v>597</v>
      </c>
      <c r="E162" s="72">
        <f>IF(ISNUMBER(D162), (D162 - $B162) / $B162, "")</f>
        <v>-5.6872037914691941E-2</v>
      </c>
      <c r="F162" s="140">
        <f>IF(ISNUMBER(D162), $B172 * E162, "")</f>
        <v>-8530.8056872037905</v>
      </c>
      <c r="G162" s="38">
        <v>585</v>
      </c>
      <c r="H162" s="72">
        <f>IF(ISNUMBER(G162), (G162 - $B162) / $B162, "")</f>
        <v>-7.582938388625593E-2</v>
      </c>
      <c r="I162" s="201">
        <f>IF(ISNUMBER(G162), $B172 * H162, "")</f>
        <v>-11374.407582938389</v>
      </c>
      <c r="J162" s="123">
        <v>591</v>
      </c>
      <c r="K162" s="72">
        <f>IF(ISNUMBER(J162), (J162 - $B162) / $B162, "")</f>
        <v>-6.6350710900473939E-2</v>
      </c>
      <c r="L162" s="140">
        <f>IF(ISNUMBER(J162), $B172 * K162, "")</f>
        <v>-9952.6066350710917</v>
      </c>
      <c r="M162" s="38">
        <v>588</v>
      </c>
      <c r="N162" s="72">
        <f>IF(ISNUMBER(M162), (M162 - $B162) / $B162, "")</f>
        <v>-7.1090047393364927E-2</v>
      </c>
      <c r="O162" s="140">
        <f>IF(ISNUMBER(M162), $B172 * N162, "")</f>
        <v>-10663.507109004739</v>
      </c>
      <c r="Q162" s="279"/>
      <c r="R162" s="280"/>
      <c r="S162" s="281"/>
    </row>
    <row r="163" spans="1:19" ht="17.25" thickBot="1">
      <c r="A163" s="124" t="s">
        <v>170</v>
      </c>
      <c r="B163" s="125">
        <v>525</v>
      </c>
      <c r="C163" s="73">
        <v>-3.6697247699999998E-2</v>
      </c>
      <c r="D163" s="125">
        <v>475</v>
      </c>
      <c r="E163" s="73">
        <f t="shared" ref="E163:E166" si="86">IF(ISNUMBER(D163), (D163 - $B163) / $B163, "")</f>
        <v>-9.5238095238095233E-2</v>
      </c>
      <c r="F163" s="136">
        <f>IF(ISNUMBER(D163), $B172 * E163, "")</f>
        <v>-14285.714285714284</v>
      </c>
      <c r="G163" s="39">
        <v>460</v>
      </c>
      <c r="H163" s="73">
        <f t="shared" ref="H163:H166" si="87">IF(ISNUMBER(G163), (G163 - $B163) / $B163, "")</f>
        <v>-0.12380952380952381</v>
      </c>
      <c r="I163" s="202">
        <f>IF(ISNUMBER(G163), $B172 * H163, "")</f>
        <v>-18571.428571428572</v>
      </c>
      <c r="J163" s="125">
        <v>465</v>
      </c>
      <c r="K163" s="73">
        <f t="shared" ref="K163:K166" si="88">IF(ISNUMBER(J163), (J163 - $B163) / $B163, "")</f>
        <v>-0.11428571428571428</v>
      </c>
      <c r="L163" s="136">
        <f>IF(ISNUMBER(J163), $B172 * K163, "")</f>
        <v>-17142.857142857141</v>
      </c>
      <c r="M163" s="39">
        <v>467</v>
      </c>
      <c r="N163" s="73">
        <f t="shared" ref="N163:N166" si="89">IF(ISNUMBER(M163), (M163 - $B163) / $B163, "")</f>
        <v>-0.11047619047619048</v>
      </c>
      <c r="O163" s="136">
        <f>IF(ISNUMBER(M163), $B172 * N163, "")</f>
        <v>-16571.428571428572</v>
      </c>
      <c r="Q163" s="282"/>
      <c r="R163" s="283"/>
      <c r="S163" s="284"/>
    </row>
    <row r="164" spans="1:19" ht="17.25" thickBot="1">
      <c r="A164" s="124" t="s">
        <v>142</v>
      </c>
      <c r="B164" s="125">
        <v>431</v>
      </c>
      <c r="C164" s="73">
        <v>-3.7946428599999998E-2</v>
      </c>
      <c r="D164" s="125">
        <v>404</v>
      </c>
      <c r="E164" s="73">
        <f t="shared" si="86"/>
        <v>-6.2645011600928072E-2</v>
      </c>
      <c r="F164" s="136">
        <f>IF(ISNUMBER(D164), $B172 * E164, "")</f>
        <v>-9396.7517401392106</v>
      </c>
      <c r="G164" s="39">
        <v>394</v>
      </c>
      <c r="H164" s="73">
        <f t="shared" si="87"/>
        <v>-8.584686774941995E-2</v>
      </c>
      <c r="I164" s="202">
        <f>IF(ISNUMBER(G164), $B172 * H164, "")</f>
        <v>-12877.030162412993</v>
      </c>
      <c r="J164" s="125">
        <v>400</v>
      </c>
      <c r="K164" s="73">
        <f t="shared" si="88"/>
        <v>-7.1925754060324823E-2</v>
      </c>
      <c r="L164" s="136">
        <f>IF(ISNUMBER(J164), $B172 * K164, "")</f>
        <v>-10788.863109048723</v>
      </c>
      <c r="M164" s="39">
        <v>411</v>
      </c>
      <c r="N164" s="73">
        <f t="shared" si="89"/>
        <v>-4.6403712296983757E-2</v>
      </c>
      <c r="O164" s="136">
        <f>IF(ISNUMBER(M164), $B172 * N164, "")</f>
        <v>-6960.5568445475637</v>
      </c>
      <c r="Q164" s="267"/>
      <c r="R164" s="267"/>
      <c r="S164" s="267"/>
    </row>
    <row r="165" spans="1:19" ht="17.25" thickBot="1">
      <c r="A165" s="124" t="s">
        <v>284</v>
      </c>
      <c r="B165" s="125">
        <v>454</v>
      </c>
      <c r="C165" s="73">
        <v>-3.8135593199999998E-2</v>
      </c>
      <c r="D165" s="125">
        <v>408</v>
      </c>
      <c r="E165" s="73">
        <f t="shared" si="86"/>
        <v>-0.1013215859030837</v>
      </c>
      <c r="F165" s="136">
        <f>IF(ISNUMBER(D165), $B172 * E165, "")</f>
        <v>-15198.237885462555</v>
      </c>
      <c r="G165" s="39">
        <v>401</v>
      </c>
      <c r="H165" s="73">
        <f t="shared" si="87"/>
        <v>-0.11674008810572688</v>
      </c>
      <c r="I165" s="202">
        <f>IF(ISNUMBER(G165), $B172 * H165, "")</f>
        <v>-17511.013215859031</v>
      </c>
      <c r="J165" s="125">
        <v>404</v>
      </c>
      <c r="K165" s="73">
        <f t="shared" si="88"/>
        <v>-0.11013215859030837</v>
      </c>
      <c r="L165" s="136">
        <f>IF(ISNUMBER(J165), $B172 * K165, "")</f>
        <v>-16519.823788546255</v>
      </c>
      <c r="M165" s="39">
        <v>402</v>
      </c>
      <c r="N165" s="73">
        <f t="shared" si="89"/>
        <v>-0.11453744493392071</v>
      </c>
      <c r="O165" s="136">
        <f>IF(ISNUMBER(M165), $B172 * N165, "")</f>
        <v>-17180.616740088106</v>
      </c>
      <c r="Q165" s="262"/>
      <c r="R165" s="262"/>
      <c r="S165" s="262"/>
    </row>
    <row r="166" spans="1:19" ht="17.25" thickBot="1">
      <c r="A166" s="126" t="s">
        <v>182</v>
      </c>
      <c r="B166" s="127">
        <v>492</v>
      </c>
      <c r="C166" s="74">
        <v>-3.90625E-2</v>
      </c>
      <c r="D166" s="127">
        <v>570</v>
      </c>
      <c r="E166" s="74">
        <f t="shared" si="86"/>
        <v>0.15853658536585366</v>
      </c>
      <c r="F166" s="203">
        <f>IF(ISNUMBER(D166), $B172 * E166, "")</f>
        <v>23780.487804878048</v>
      </c>
      <c r="G166" s="44">
        <v>530</v>
      </c>
      <c r="H166" s="74">
        <f t="shared" si="87"/>
        <v>7.7235772357723581E-2</v>
      </c>
      <c r="I166" s="204">
        <f>IF(ISNUMBER(G166), $B172 * H166, "")</f>
        <v>11585.365853658537</v>
      </c>
      <c r="J166" s="127">
        <v>545</v>
      </c>
      <c r="K166" s="74">
        <f t="shared" si="88"/>
        <v>0.10772357723577236</v>
      </c>
      <c r="L166" s="203">
        <f>IF(ISNUMBER(J166), $B172 * K166, "")</f>
        <v>16158.536585365855</v>
      </c>
      <c r="M166" s="44">
        <v>553</v>
      </c>
      <c r="N166" s="74">
        <f t="shared" si="89"/>
        <v>0.12398373983739837</v>
      </c>
      <c r="O166" s="203">
        <f>IF(ISNUMBER(M166), $B172 * N166, "")</f>
        <v>18597.560975609755</v>
      </c>
      <c r="Q166" s="262"/>
      <c r="R166" s="262"/>
      <c r="S166" s="262"/>
    </row>
    <row r="167" spans="1:19" ht="17.25" thickBot="1">
      <c r="A167" s="124" t="s">
        <v>54</v>
      </c>
      <c r="B167" s="128">
        <v>333</v>
      </c>
      <c r="C167" s="76">
        <v>-4.0345821300000001E-2</v>
      </c>
      <c r="D167" s="128">
        <v>339</v>
      </c>
      <c r="E167" s="76">
        <f>IF(ISNUMBER(D167), (D167 - $B167) / $B167, "")</f>
        <v>1.8018018018018018E-2</v>
      </c>
      <c r="F167" s="205">
        <f>IF(ISNUMBER(D167), $B172 * E167, "")</f>
        <v>2702.7027027027025</v>
      </c>
      <c r="G167" s="45">
        <v>331</v>
      </c>
      <c r="H167" s="76">
        <f>IF(ISNUMBER(G167), (G167 - $B167) / $B167, "")</f>
        <v>-6.006006006006006E-3</v>
      </c>
      <c r="I167" s="206">
        <f>IF(ISNUMBER(G167), $B172 * H167, "")</f>
        <v>-900.90090090090087</v>
      </c>
      <c r="J167" s="128">
        <v>343</v>
      </c>
      <c r="K167" s="76">
        <f>IF(ISNUMBER(J167), (J167 - $B167) / $B167, "")</f>
        <v>3.003003003003003E-2</v>
      </c>
      <c r="L167" s="205">
        <f>IF(ISNUMBER(J167), $B172 * K167, "")</f>
        <v>4504.5045045045044</v>
      </c>
      <c r="M167" s="45">
        <v>333</v>
      </c>
      <c r="N167" s="76">
        <f>IF(ISNUMBER(M167), (M167 - $B167) / $B167, "")</f>
        <v>0</v>
      </c>
      <c r="O167" s="205">
        <f>IF(ISNUMBER(M167), $B172 * N167, "")</f>
        <v>0</v>
      </c>
      <c r="Q167" s="267"/>
      <c r="R167" s="267"/>
      <c r="S167" s="267"/>
    </row>
    <row r="168" spans="1:19" ht="17.25" thickBot="1">
      <c r="A168" s="124" t="s">
        <v>136</v>
      </c>
      <c r="B168" s="125">
        <v>257</v>
      </c>
      <c r="C168" s="73">
        <v>-5.1660516599999998E-2</v>
      </c>
      <c r="D168" s="125">
        <v>236</v>
      </c>
      <c r="E168" s="73">
        <f t="shared" ref="E168:E171" si="90">IF(ISNUMBER(D168), (D168 - $B168) / $B168, "")</f>
        <v>-8.171206225680934E-2</v>
      </c>
      <c r="F168" s="136">
        <f>IF(ISNUMBER(D168), $B172 * E168, "")</f>
        <v>-12256.809338521402</v>
      </c>
      <c r="G168" s="39">
        <v>229</v>
      </c>
      <c r="H168" s="73">
        <f t="shared" ref="H168:H171" si="91">IF(ISNUMBER(G168), (G168 - $B168) / $B168, "")</f>
        <v>-0.10894941634241245</v>
      </c>
      <c r="I168" s="202">
        <f>IF(ISNUMBER(G168), $B172 * H168, "")</f>
        <v>-16342.412451361868</v>
      </c>
      <c r="J168" s="125">
        <v>235</v>
      </c>
      <c r="K168" s="73">
        <f t="shared" ref="K168:K171" si="92">IF(ISNUMBER(J168), (J168 - $B168) / $B168, "")</f>
        <v>-8.5603112840466927E-2</v>
      </c>
      <c r="L168" s="136">
        <f>IF(ISNUMBER(J168), $B172 * K168, "")</f>
        <v>-12840.466926070039</v>
      </c>
      <c r="M168" s="39">
        <v>237</v>
      </c>
      <c r="N168" s="73">
        <f t="shared" ref="N168:N171" si="93">IF(ISNUMBER(M168), (M168 - $B168) / $B168, "")</f>
        <v>-7.7821011673151752E-2</v>
      </c>
      <c r="O168" s="136">
        <f>IF(ISNUMBER(M168), $B172 * N168, "")</f>
        <v>-11673.151750972764</v>
      </c>
      <c r="Q168" s="267"/>
      <c r="R168" s="267"/>
      <c r="S168" s="267"/>
    </row>
    <row r="169" spans="1:19" ht="17.25" thickBot="1">
      <c r="A169" s="124" t="s">
        <v>132</v>
      </c>
      <c r="B169" s="125">
        <v>248</v>
      </c>
      <c r="C169" s="73">
        <v>-5.7034220500000003E-2</v>
      </c>
      <c r="D169" s="125">
        <v>226</v>
      </c>
      <c r="E169" s="73">
        <f t="shared" si="90"/>
        <v>-8.8709677419354843E-2</v>
      </c>
      <c r="F169" s="136">
        <f>IF(ISNUMBER(D169), $B172 * E169, "")</f>
        <v>-13306.451612903227</v>
      </c>
      <c r="G169" s="39">
        <v>223</v>
      </c>
      <c r="H169" s="73">
        <f t="shared" si="91"/>
        <v>-0.10080645161290322</v>
      </c>
      <c r="I169" s="202">
        <f>IF(ISNUMBER(G169), $B172 * H169, "")</f>
        <v>-15120.967741935483</v>
      </c>
      <c r="J169" s="125">
        <v>226</v>
      </c>
      <c r="K169" s="73">
        <f t="shared" si="92"/>
        <v>-8.8709677419354843E-2</v>
      </c>
      <c r="L169" s="136">
        <f>IF(ISNUMBER(J169), $B172 * K169, "")</f>
        <v>-13306.451612903227</v>
      </c>
      <c r="M169" s="39">
        <v>226</v>
      </c>
      <c r="N169" s="73">
        <f t="shared" si="93"/>
        <v>-8.8709677419354843E-2</v>
      </c>
      <c r="O169" s="136">
        <f>IF(ISNUMBER(M169), $B172 * N169, "")</f>
        <v>-13306.451612903227</v>
      </c>
      <c r="Q169" s="267"/>
      <c r="R169" s="267"/>
      <c r="S169" s="267"/>
    </row>
    <row r="170" spans="1:19">
      <c r="A170" s="124" t="s">
        <v>168</v>
      </c>
      <c r="B170" s="125">
        <v>224</v>
      </c>
      <c r="C170" s="73">
        <v>-5.8823529399999998E-2</v>
      </c>
      <c r="D170" s="125">
        <v>197</v>
      </c>
      <c r="E170" s="73">
        <f t="shared" si="90"/>
        <v>-0.12053571428571429</v>
      </c>
      <c r="F170" s="136">
        <f>IF(ISNUMBER(D170), $B172 * E170, "")</f>
        <v>-18080.357142857145</v>
      </c>
      <c r="G170" s="39">
        <v>192</v>
      </c>
      <c r="H170" s="73">
        <f t="shared" si="91"/>
        <v>-0.14285714285714285</v>
      </c>
      <c r="I170" s="202">
        <f>IF(ISNUMBER(G170), $B172 * H170, "")</f>
        <v>-21428.571428571428</v>
      </c>
      <c r="J170" s="125">
        <v>196</v>
      </c>
      <c r="K170" s="73">
        <f t="shared" si="92"/>
        <v>-0.125</v>
      </c>
      <c r="L170" s="136">
        <f>IF(ISNUMBER(J170), $B172 * K170, "")</f>
        <v>-18750</v>
      </c>
      <c r="M170" s="39">
        <v>194</v>
      </c>
      <c r="N170" s="73">
        <f t="shared" si="93"/>
        <v>-0.13392857142857142</v>
      </c>
      <c r="O170" s="136">
        <f>IF(ISNUMBER(M170), $B172 * N170, "")</f>
        <v>-20089.285714285714</v>
      </c>
      <c r="Q170" s="289"/>
      <c r="R170" s="290"/>
      <c r="S170" s="291"/>
    </row>
    <row r="171" spans="1:19" ht="17.25" thickBot="1">
      <c r="A171" s="129" t="s">
        <v>51</v>
      </c>
      <c r="B171" s="130">
        <v>816</v>
      </c>
      <c r="C171" s="75">
        <v>-9.6345515000000007E-2</v>
      </c>
      <c r="D171" s="130">
        <v>787</v>
      </c>
      <c r="E171" s="75">
        <f t="shared" si="90"/>
        <v>-3.5539215686274508E-2</v>
      </c>
      <c r="F171" s="137">
        <f>IF(ISNUMBER(D171), $B172 * E171, "")</f>
        <v>-5330.8823529411766</v>
      </c>
      <c r="G171" s="37">
        <v>741</v>
      </c>
      <c r="H171" s="75">
        <f t="shared" si="91"/>
        <v>-9.1911764705882359E-2</v>
      </c>
      <c r="I171" s="207">
        <f>IF(ISNUMBER(G171), $B172 * H171, "")</f>
        <v>-13786.764705882353</v>
      </c>
      <c r="J171" s="130">
        <v>761</v>
      </c>
      <c r="K171" s="75">
        <f t="shared" si="92"/>
        <v>-6.7401960784313722E-2</v>
      </c>
      <c r="L171" s="137">
        <f>IF(ISNUMBER(J171), $B172 * K171, "")</f>
        <v>-10110.294117647058</v>
      </c>
      <c r="M171" s="37">
        <v>755</v>
      </c>
      <c r="N171" s="75">
        <f t="shared" si="93"/>
        <v>-7.4754901960784312E-2</v>
      </c>
      <c r="O171" s="137">
        <f>IF(ISNUMBER(M171), $B172 * N171, "")</f>
        <v>-11213.235294117647</v>
      </c>
      <c r="Q171" s="292"/>
      <c r="R171" s="293"/>
      <c r="S171" s="294"/>
    </row>
    <row r="172" spans="1:19" ht="17.25" thickBot="1">
      <c r="A172" s="131" t="s">
        <v>301</v>
      </c>
      <c r="B172" s="300">
        <f>$B$37</f>
        <v>150000</v>
      </c>
      <c r="C172" s="301"/>
      <c r="D172" s="131" t="s">
        <v>302</v>
      </c>
      <c r="E172" s="223">
        <f>IF(COUNT(E152:E171), SUM(E152:E171) / COUNT(E152:E171), 0)</f>
        <v>-6.4021729164987939E-2</v>
      </c>
      <c r="F172" s="208">
        <f>SUM(F152:F171)</f>
        <v>-192065.1874949639</v>
      </c>
      <c r="G172" s="131" t="s">
        <v>302</v>
      </c>
      <c r="H172" s="223">
        <f>IF(COUNT(H152:H171), SUM(H152:H171) / COUNT(H152:H171), 0)</f>
        <v>-8.9994331500214159E-2</v>
      </c>
      <c r="I172" s="208">
        <f>SUM(I152:I171)</f>
        <v>-269982.99450064241</v>
      </c>
      <c r="J172" s="131" t="s">
        <v>302</v>
      </c>
      <c r="K172" s="223">
        <f>IF(COUNT(K152:K171), SUM(K152:K171) / COUNT(K152:K171), 0)</f>
        <v>-7.2745195165708224E-2</v>
      </c>
      <c r="L172" s="208">
        <f>SUM(L152:L171)</f>
        <v>-218235.58549712464</v>
      </c>
      <c r="M172" s="131" t="s">
        <v>302</v>
      </c>
      <c r="N172" s="223">
        <f>IF(COUNT(N152:N171), SUM(N152:N171) / COUNT(N152:N171), 0)</f>
        <v>-7.6794677430500835E-2</v>
      </c>
      <c r="O172" s="208">
        <f>SUM(O152:O171)</f>
        <v>-230384.03229150255</v>
      </c>
      <c r="Q172" s="295"/>
      <c r="R172" s="296"/>
      <c r="S172" s="297"/>
    </row>
    <row r="174" spans="1:19" ht="17.25" thickBot="1"/>
    <row r="175" spans="1:19" ht="17.25" thickBot="1">
      <c r="A175" s="241" t="s">
        <v>285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217" t="s">
        <v>298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62017000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-1.6680144000000001E-2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2021-05-13(목) 오전 00:00</v>
      </c>
      <c r="C177" s="305"/>
      <c r="D177" s="241" t="str">
        <f>TEXT($G$1, "[$-ko-KR]yyyy-mm-dd(ddd) ") &amp; "오후 14:00"</f>
        <v>2021-05-13(목) 오후 14:00</v>
      </c>
      <c r="E177" s="242"/>
      <c r="F177" s="243"/>
      <c r="G177" s="241" t="str">
        <f>TEXT($G$1, "[$-ko-KR]yyyy-mm-dd(ddd) ") &amp; "오후 19:00"</f>
        <v>2021-05-13(목) 오후 19:00</v>
      </c>
      <c r="H177" s="242"/>
      <c r="I177" s="243"/>
      <c r="J177" s="241" t="str">
        <f>TEXT($G$1, "[$-ko-KR]yyyy-mm-dd(ddd) ") &amp; "오후 21:00"</f>
        <v>2021-05-13(목) 오후 21:00</v>
      </c>
      <c r="K177" s="242"/>
      <c r="L177" s="243"/>
      <c r="M177" s="241" t="str">
        <f>TEXT($G$1+1, "[$-ko-KR]yyyy-mm-dd(ddd) ") &amp; "오전 00:00"</f>
        <v>2021-05-14(금) 오전 00:00</v>
      </c>
      <c r="N177" s="242"/>
      <c r="O177" s="243"/>
      <c r="Q177" s="262"/>
      <c r="R177" s="262"/>
      <c r="S177" s="262"/>
    </row>
    <row r="178" spans="1:19" ht="17.25" thickBot="1">
      <c r="A178" s="303"/>
      <c r="B178" s="120" t="s">
        <v>58</v>
      </c>
      <c r="C178" s="121" t="s">
        <v>59</v>
      </c>
      <c r="D178" s="120" t="s">
        <v>58</v>
      </c>
      <c r="E178" s="121" t="s">
        <v>299</v>
      </c>
      <c r="F178" s="224" t="s">
        <v>300</v>
      </c>
      <c r="G178" s="217" t="s">
        <v>58</v>
      </c>
      <c r="H178" s="218" t="s">
        <v>299</v>
      </c>
      <c r="I178" s="219" t="s">
        <v>300</v>
      </c>
      <c r="J178" s="121" t="s">
        <v>58</v>
      </c>
      <c r="K178" s="121" t="s">
        <v>299</v>
      </c>
      <c r="L178" s="221" t="s">
        <v>300</v>
      </c>
      <c r="M178" s="120" t="s">
        <v>58</v>
      </c>
      <c r="N178" s="121" t="s">
        <v>299</v>
      </c>
      <c r="O178" s="222" t="s">
        <v>300</v>
      </c>
      <c r="Q178" s="267"/>
      <c r="R178" s="267"/>
      <c r="S178" s="267"/>
    </row>
    <row r="179" spans="1:19" ht="17.25" thickBot="1">
      <c r="A179" s="122" t="s">
        <v>126</v>
      </c>
      <c r="B179" s="123">
        <v>54.6</v>
      </c>
      <c r="C179" s="72">
        <v>-5.5363321799999997E-2</v>
      </c>
      <c r="D179" s="123">
        <v>50</v>
      </c>
      <c r="E179" s="72">
        <f>IF(ISNUMBER(D179), (D179 - $B179) / $B179, "")</f>
        <v>-8.4249084249084269E-2</v>
      </c>
      <c r="F179" s="140">
        <f>IF(ISNUMBER(D179), $B199 * E179, "")</f>
        <v>-12637.362637362641</v>
      </c>
      <c r="G179" s="38">
        <v>48</v>
      </c>
      <c r="H179" s="72">
        <f>IF(ISNUMBER(G179), (G179 - $B179) / $B179, "")</f>
        <v>-0.12087912087912091</v>
      </c>
      <c r="I179" s="201">
        <f>IF(ISNUMBER(G179), $B199 * H179, "")</f>
        <v>-18131.868131868137</v>
      </c>
      <c r="J179" s="123">
        <v>48.7</v>
      </c>
      <c r="K179" s="72">
        <f>IF(ISNUMBER(J179), (J179 - $B179) / $B179, "")</f>
        <v>-0.10805860805860804</v>
      </c>
      <c r="L179" s="140">
        <f>IF(ISNUMBER(J179), $B199 * K179, "")</f>
        <v>-16208.791208791205</v>
      </c>
      <c r="M179" s="38">
        <v>49</v>
      </c>
      <c r="N179" s="72">
        <f>IF(ISNUMBER(M179), (M179 - $B179) / $B179, "")</f>
        <v>-0.10256410256410259</v>
      </c>
      <c r="O179" s="140">
        <f>IF(ISNUMBER(M179), $B199 * N179, "")</f>
        <v>-15384.615384615388</v>
      </c>
      <c r="Q179" s="262"/>
      <c r="R179" s="262"/>
      <c r="S179" s="262"/>
    </row>
    <row r="180" spans="1:19" ht="17.25" thickBot="1">
      <c r="A180" s="124" t="s">
        <v>78</v>
      </c>
      <c r="B180" s="125">
        <v>1792500</v>
      </c>
      <c r="C180" s="73">
        <v>-5.5584826099999998E-2</v>
      </c>
      <c r="D180" s="125">
        <v>1628500</v>
      </c>
      <c r="E180" s="73">
        <f t="shared" ref="E180:E183" si="94">IF(ISNUMBER(D180), (D180 - $B180) / $B180, "")</f>
        <v>-9.1492329149232915E-2</v>
      </c>
      <c r="F180" s="136">
        <f>IF(ISNUMBER(D180), $B199 * E180, "")</f>
        <v>-13723.849372384937</v>
      </c>
      <c r="G180" s="39">
        <v>1583000</v>
      </c>
      <c r="H180" s="73">
        <f t="shared" ref="H180:H183" si="95">IF(ISNUMBER(G180), (G180 - $B180) / $B180, "")</f>
        <v>-0.11687587168758717</v>
      </c>
      <c r="I180" s="202">
        <f>IF(ISNUMBER(G180), $B199 * H180, "")</f>
        <v>-17531.380753138077</v>
      </c>
      <c r="J180" s="125">
        <v>1607000</v>
      </c>
      <c r="K180" s="73">
        <f t="shared" ref="K180:K183" si="96">IF(ISNUMBER(J180), (J180 - $B180) / $B180, "")</f>
        <v>-0.10348675034867504</v>
      </c>
      <c r="L180" s="136">
        <f>IF(ISNUMBER(J180), $B199 * K180, "")</f>
        <v>-15523.012552301256</v>
      </c>
      <c r="M180" s="39">
        <v>1578000</v>
      </c>
      <c r="N180" s="73">
        <f t="shared" ref="N180:N183" si="97">IF(ISNUMBER(M180), (M180 - $B180) / $B180, "")</f>
        <v>-0.1196652719665272</v>
      </c>
      <c r="O180" s="136">
        <f>IF(ISNUMBER(M180), $B199 * N180, "")</f>
        <v>-17949.790794979079</v>
      </c>
      <c r="Q180" s="262"/>
      <c r="R180" s="262"/>
      <c r="S180" s="262"/>
    </row>
    <row r="181" spans="1:19" ht="17.25" thickBot="1">
      <c r="A181" s="124" t="s">
        <v>262</v>
      </c>
      <c r="B181" s="125">
        <v>1270</v>
      </c>
      <c r="C181" s="73">
        <v>-5.5762081800000002E-2</v>
      </c>
      <c r="D181" s="125">
        <v>1120</v>
      </c>
      <c r="E181" s="73">
        <f t="shared" si="94"/>
        <v>-0.11811023622047244</v>
      </c>
      <c r="F181" s="136">
        <f>IF(ISNUMBER(D181), $B199 * E181, "")</f>
        <v>-17716.535433070865</v>
      </c>
      <c r="G181" s="39">
        <v>1075</v>
      </c>
      <c r="H181" s="73">
        <f t="shared" si="95"/>
        <v>-0.15354330708661418</v>
      </c>
      <c r="I181" s="202">
        <f>IF(ISNUMBER(G181), $B199 * H181, "")</f>
        <v>-23031.496062992126</v>
      </c>
      <c r="J181" s="125">
        <v>1100</v>
      </c>
      <c r="K181" s="73">
        <f t="shared" si="96"/>
        <v>-0.13385826771653545</v>
      </c>
      <c r="L181" s="136">
        <f>IF(ISNUMBER(J181), $B199 * K181, "")</f>
        <v>-20078.740157480315</v>
      </c>
      <c r="M181" s="39">
        <v>1110</v>
      </c>
      <c r="N181" s="73">
        <f t="shared" si="97"/>
        <v>-0.12598425196850394</v>
      </c>
      <c r="O181" s="136">
        <f>IF(ISNUMBER(M181), $B199 * N181, "")</f>
        <v>-18897.63779527559</v>
      </c>
      <c r="Q181" s="267"/>
      <c r="R181" s="267"/>
      <c r="S181" s="267"/>
    </row>
    <row r="182" spans="1:19" ht="17.25" thickBot="1">
      <c r="A182" s="124" t="s">
        <v>132</v>
      </c>
      <c r="B182" s="125">
        <v>248</v>
      </c>
      <c r="C182" s="73">
        <v>-5.7034220500000003E-2</v>
      </c>
      <c r="D182" s="125">
        <v>226</v>
      </c>
      <c r="E182" s="73">
        <f t="shared" si="94"/>
        <v>-8.8709677419354843E-2</v>
      </c>
      <c r="F182" s="136">
        <f>IF(ISNUMBER(D182), $B199 * E182, "")</f>
        <v>-13306.451612903227</v>
      </c>
      <c r="G182" s="39">
        <v>223</v>
      </c>
      <c r="H182" s="73">
        <f t="shared" si="95"/>
        <v>-0.10080645161290322</v>
      </c>
      <c r="I182" s="202">
        <f>IF(ISNUMBER(G182), $B199 * H182, "")</f>
        <v>-15120.967741935483</v>
      </c>
      <c r="J182" s="125">
        <v>226</v>
      </c>
      <c r="K182" s="73">
        <f t="shared" si="96"/>
        <v>-8.8709677419354843E-2</v>
      </c>
      <c r="L182" s="136">
        <f>IF(ISNUMBER(J182), $B199 * K182, "")</f>
        <v>-13306.451612903227</v>
      </c>
      <c r="M182" s="39">
        <v>226</v>
      </c>
      <c r="N182" s="73">
        <f t="shared" si="97"/>
        <v>-8.8709677419354843E-2</v>
      </c>
      <c r="O182" s="136">
        <f>IF(ISNUMBER(M182), $B199 * N182, "")</f>
        <v>-13306.451612903227</v>
      </c>
      <c r="Q182" s="267"/>
      <c r="R182" s="267"/>
      <c r="S182" s="267"/>
    </row>
    <row r="183" spans="1:19" ht="17.25" thickBot="1">
      <c r="A183" s="126" t="s">
        <v>168</v>
      </c>
      <c r="B183" s="127">
        <v>224</v>
      </c>
      <c r="C183" s="74">
        <v>-5.8823529399999998E-2</v>
      </c>
      <c r="D183" s="127">
        <v>197</v>
      </c>
      <c r="E183" s="74">
        <f t="shared" si="94"/>
        <v>-0.12053571428571429</v>
      </c>
      <c r="F183" s="203">
        <f>IF(ISNUMBER(D183), $B199 * E183, "")</f>
        <v>-18080.357142857145</v>
      </c>
      <c r="G183" s="44">
        <v>192</v>
      </c>
      <c r="H183" s="74">
        <f t="shared" si="95"/>
        <v>-0.14285714285714285</v>
      </c>
      <c r="I183" s="204">
        <f>IF(ISNUMBER(G183), $B199 * H183, "")</f>
        <v>-21428.571428571428</v>
      </c>
      <c r="J183" s="127">
        <v>196</v>
      </c>
      <c r="K183" s="74">
        <f t="shared" si="96"/>
        <v>-0.125</v>
      </c>
      <c r="L183" s="203">
        <f>IF(ISNUMBER(J183), $B199 * K183, "")</f>
        <v>-18750</v>
      </c>
      <c r="M183" s="44">
        <v>194</v>
      </c>
      <c r="N183" s="74">
        <f t="shared" si="97"/>
        <v>-0.13392857142857142</v>
      </c>
      <c r="O183" s="203">
        <f>IF(ISNUMBER(M183), $B199 * N183, "")</f>
        <v>-20089.285714285714</v>
      </c>
      <c r="Q183" s="267"/>
      <c r="R183" s="267"/>
      <c r="S183" s="267"/>
    </row>
    <row r="184" spans="1:19" ht="17.25" thickBot="1">
      <c r="A184" s="124" t="s">
        <v>63</v>
      </c>
      <c r="B184" s="128">
        <v>133750</v>
      </c>
      <c r="C184" s="76">
        <v>-5.9092507900000001E-2</v>
      </c>
      <c r="D184" s="128">
        <v>124600</v>
      </c>
      <c r="E184" s="76">
        <f>IF(ISNUMBER(D184), (D184 - $B184) / $B184, "")</f>
        <v>-6.841121495327103E-2</v>
      </c>
      <c r="F184" s="205">
        <f>IF(ISNUMBER(D184), $B199 * E184, "")</f>
        <v>-10261.682242990655</v>
      </c>
      <c r="G184" s="45">
        <v>120900</v>
      </c>
      <c r="H184" s="76">
        <f>IF(ISNUMBER(G184), (G184 - $B184) / $B184, "")</f>
        <v>-9.6074766355140187E-2</v>
      </c>
      <c r="I184" s="206">
        <f>IF(ISNUMBER(G184), $B199 * H184, "")</f>
        <v>-14411.214953271028</v>
      </c>
      <c r="J184" s="128">
        <v>123200</v>
      </c>
      <c r="K184" s="76">
        <f>IF(ISNUMBER(J184), (J184 - $B184) / $B184, "")</f>
        <v>-7.8878504672897198E-2</v>
      </c>
      <c r="L184" s="205">
        <f>IF(ISNUMBER(J184), $B199 * K184, "")</f>
        <v>-11831.775700934581</v>
      </c>
      <c r="M184" s="45">
        <v>120400</v>
      </c>
      <c r="N184" s="76">
        <f>IF(ISNUMBER(M184), (M184 - $B184) / $B184, "")</f>
        <v>-9.9813084112149536E-2</v>
      </c>
      <c r="O184" s="205">
        <f>IF(ISNUMBER(M184), $B199 * N184, "")</f>
        <v>-14971.962616822431</v>
      </c>
      <c r="Q184" s="267"/>
      <c r="R184" s="267"/>
      <c r="S184" s="267"/>
    </row>
    <row r="185" spans="1:19" ht="17.25" thickBot="1">
      <c r="A185" s="124" t="s">
        <v>254</v>
      </c>
      <c r="B185" s="125">
        <v>82.8</v>
      </c>
      <c r="C185" s="73">
        <v>-6.01589103E-2</v>
      </c>
      <c r="D185" s="125">
        <v>73.599999999999994</v>
      </c>
      <c r="E185" s="73">
        <f t="shared" ref="E185:E188" si="98">IF(ISNUMBER(D185), (D185 - $B185) / $B185, "")</f>
        <v>-0.11111111111111115</v>
      </c>
      <c r="F185" s="136">
        <f>IF(ISNUMBER(D185), $B199 * E185, "")</f>
        <v>-16666.666666666672</v>
      </c>
      <c r="G185" s="39">
        <v>71.2</v>
      </c>
      <c r="H185" s="73">
        <f t="shared" ref="H185:H188" si="99">IF(ISNUMBER(G185), (G185 - $B185) / $B185, "")</f>
        <v>-0.14009661835748785</v>
      </c>
      <c r="I185" s="202">
        <f>IF(ISNUMBER(G185), $B199 * H185, "")</f>
        <v>-21014.492753623177</v>
      </c>
      <c r="J185" s="125">
        <v>72.099999999999994</v>
      </c>
      <c r="K185" s="73">
        <f t="shared" ref="K185:K188" si="100">IF(ISNUMBER(J185), (J185 - $B185) / $B185, "")</f>
        <v>-0.12922705314009666</v>
      </c>
      <c r="L185" s="136">
        <f>IF(ISNUMBER(J185), $B199 * K185, "")</f>
        <v>-19384.057971014499</v>
      </c>
      <c r="M185" s="39">
        <v>72.900000000000006</v>
      </c>
      <c r="N185" s="73">
        <f t="shared" ref="N185:N188" si="101">IF(ISNUMBER(M185), (M185 - $B185) / $B185, "")</f>
        <v>-0.11956521739130425</v>
      </c>
      <c r="O185" s="136">
        <f>IF(ISNUMBER(M185), $B199 * N185, "")</f>
        <v>-17934.782608695637</v>
      </c>
      <c r="Q185" s="267"/>
      <c r="R185" s="267"/>
      <c r="S185" s="267"/>
    </row>
    <row r="186" spans="1:19" ht="17.25" thickBot="1">
      <c r="A186" s="124" t="s">
        <v>192</v>
      </c>
      <c r="B186" s="125">
        <v>1130</v>
      </c>
      <c r="C186" s="73">
        <v>-6.22406639E-2</v>
      </c>
      <c r="D186" s="125">
        <v>1015</v>
      </c>
      <c r="E186" s="73">
        <f t="shared" si="98"/>
        <v>-0.10176991150442478</v>
      </c>
      <c r="F186" s="136">
        <f>IF(ISNUMBER(D186), $B199 * E186, "")</f>
        <v>-15265.486725663717</v>
      </c>
      <c r="G186" s="39">
        <v>991</v>
      </c>
      <c r="H186" s="73">
        <f t="shared" si="99"/>
        <v>-0.12300884955752213</v>
      </c>
      <c r="I186" s="202">
        <f>IF(ISNUMBER(G186), $B199 * H186, "")</f>
        <v>-18451.327433628321</v>
      </c>
      <c r="J186" s="125">
        <v>1005</v>
      </c>
      <c r="K186" s="73">
        <f t="shared" si="100"/>
        <v>-0.11061946902654868</v>
      </c>
      <c r="L186" s="136">
        <f>IF(ISNUMBER(J186), $B199 * K186, "")</f>
        <v>-16592.920353982303</v>
      </c>
      <c r="M186" s="39">
        <v>1000</v>
      </c>
      <c r="N186" s="73">
        <f t="shared" si="101"/>
        <v>-0.11504424778761062</v>
      </c>
      <c r="O186" s="136">
        <f>IF(ISNUMBER(M186), $B199 * N186, "")</f>
        <v>-17256.637168141591</v>
      </c>
      <c r="Q186" s="267"/>
      <c r="R186" s="267"/>
      <c r="S186" s="267"/>
    </row>
    <row r="187" spans="1:19" ht="17.25" thickBot="1">
      <c r="A187" s="124" t="s">
        <v>108</v>
      </c>
      <c r="B187" s="125">
        <v>56690</v>
      </c>
      <c r="C187" s="73">
        <v>-6.29752066E-2</v>
      </c>
      <c r="D187" s="125">
        <v>50100</v>
      </c>
      <c r="E187" s="73">
        <f t="shared" si="98"/>
        <v>-0.1162462515434821</v>
      </c>
      <c r="F187" s="136">
        <f>IF(ISNUMBER(D187), $B199 * E187, "")</f>
        <v>-17436.937731522314</v>
      </c>
      <c r="G187" s="39">
        <v>51290</v>
      </c>
      <c r="H187" s="73">
        <f t="shared" si="99"/>
        <v>-9.5254895043217505E-2</v>
      </c>
      <c r="I187" s="202">
        <f>IF(ISNUMBER(G187), $B199 * H187, "")</f>
        <v>-14288.234256482625</v>
      </c>
      <c r="J187" s="125">
        <v>51740</v>
      </c>
      <c r="K187" s="73">
        <f t="shared" si="100"/>
        <v>-8.7316987122949372E-2</v>
      </c>
      <c r="L187" s="136">
        <f>IF(ISNUMBER(J187), $B199 * K187, "")</f>
        <v>-13097.548068442406</v>
      </c>
      <c r="M187" s="39">
        <v>51470</v>
      </c>
      <c r="N187" s="73">
        <f t="shared" si="101"/>
        <v>-9.2079731875110246E-2</v>
      </c>
      <c r="O187" s="136">
        <f>IF(ISNUMBER(M187), $B199 * N187, "")</f>
        <v>-13811.959781266536</v>
      </c>
      <c r="Q187" s="33"/>
      <c r="R187" s="33"/>
    </row>
    <row r="188" spans="1:19" ht="17.25" thickBot="1">
      <c r="A188" s="129" t="s">
        <v>110</v>
      </c>
      <c r="B188" s="130">
        <v>2885</v>
      </c>
      <c r="C188" s="75">
        <v>-6.3311688300000002E-2</v>
      </c>
      <c r="D188" s="130">
        <v>2725</v>
      </c>
      <c r="E188" s="75">
        <f t="shared" si="98"/>
        <v>-5.5459272097053723E-2</v>
      </c>
      <c r="F188" s="137">
        <f>IF(ISNUMBER(D188), $B199 * E188, "")</f>
        <v>-8318.890814558059</v>
      </c>
      <c r="G188" s="37">
        <v>2660</v>
      </c>
      <c r="H188" s="75">
        <f t="shared" si="99"/>
        <v>-7.7989601386481797E-2</v>
      </c>
      <c r="I188" s="207">
        <f>IF(ISNUMBER(G188), $B199 * H188, "")</f>
        <v>-11698.440207972269</v>
      </c>
      <c r="J188" s="130">
        <v>2710</v>
      </c>
      <c r="K188" s="75">
        <f t="shared" si="100"/>
        <v>-6.0658578856152515E-2</v>
      </c>
      <c r="L188" s="137">
        <f>IF(ISNUMBER(J188), $B199 * K188, "")</f>
        <v>-9098.7868284228771</v>
      </c>
      <c r="M188" s="37">
        <v>2760</v>
      </c>
      <c r="N188" s="75">
        <f t="shared" si="101"/>
        <v>-4.3327556325823226E-2</v>
      </c>
      <c r="O188" s="137">
        <f>IF(ISNUMBER(M188), $B199 * N188, "")</f>
        <v>-6499.1334488734838</v>
      </c>
      <c r="Q188" s="276"/>
      <c r="R188" s="277"/>
      <c r="S188" s="278"/>
    </row>
    <row r="189" spans="1:19">
      <c r="A189" s="122" t="s">
        <v>248</v>
      </c>
      <c r="B189" s="123">
        <v>3590</v>
      </c>
      <c r="C189" s="72">
        <v>-6.3885267300000007E-2</v>
      </c>
      <c r="D189" s="123">
        <v>3165</v>
      </c>
      <c r="E189" s="72">
        <f>IF(ISNUMBER(D189), (D189 - $B189) / $B189, "")</f>
        <v>-0.11838440111420613</v>
      </c>
      <c r="F189" s="140">
        <f>IF(ISNUMBER(D189), $B199 * E189, "")</f>
        <v>-17757.660167130918</v>
      </c>
      <c r="G189" s="38">
        <v>3065</v>
      </c>
      <c r="H189" s="72">
        <f>IF(ISNUMBER(G189), (G189 - $B189) / $B189, "")</f>
        <v>-0.14623955431754876</v>
      </c>
      <c r="I189" s="201">
        <f>IF(ISNUMBER(G189), $B199 * H189, "")</f>
        <v>-21935.933147632313</v>
      </c>
      <c r="J189" s="123">
        <v>3125</v>
      </c>
      <c r="K189" s="72">
        <f>IF(ISNUMBER(J189), (J189 - $B189) / $B189, "")</f>
        <v>-0.12952646239554316</v>
      </c>
      <c r="L189" s="140">
        <f>IF(ISNUMBER(J189), $B199 * K189, "")</f>
        <v>-19428.969359331473</v>
      </c>
      <c r="M189" s="38">
        <v>3105</v>
      </c>
      <c r="N189" s="72">
        <f>IF(ISNUMBER(M189), (M189 - $B189) / $B189, "")</f>
        <v>-0.13509749303621169</v>
      </c>
      <c r="O189" s="140">
        <f>IF(ISNUMBER(M189), $B199 * N189, "")</f>
        <v>-20264.623955431754</v>
      </c>
      <c r="Q189" s="279"/>
      <c r="R189" s="280"/>
      <c r="S189" s="281"/>
    </row>
    <row r="190" spans="1:19" ht="17.25" thickBot="1">
      <c r="A190" s="124" t="s">
        <v>104</v>
      </c>
      <c r="B190" s="125">
        <v>2940</v>
      </c>
      <c r="C190" s="73">
        <v>-6.8145800300000003E-2</v>
      </c>
      <c r="D190" s="125">
        <v>2760</v>
      </c>
      <c r="E190" s="73">
        <f t="shared" ref="E190:E193" si="102">IF(ISNUMBER(D190), (D190 - $B190) / $B190, "")</f>
        <v>-6.1224489795918366E-2</v>
      </c>
      <c r="F190" s="136">
        <f>IF(ISNUMBER(D190), $B199 * E190, "")</f>
        <v>-9183.6734693877552</v>
      </c>
      <c r="G190" s="39">
        <v>2680</v>
      </c>
      <c r="H190" s="73">
        <f t="shared" ref="H190:H193" si="103">IF(ISNUMBER(G190), (G190 - $B190) / $B190, "")</f>
        <v>-8.8435374149659865E-2</v>
      </c>
      <c r="I190" s="202">
        <f>IF(ISNUMBER(G190), $B199 * H190, "")</f>
        <v>-13265.306122448979</v>
      </c>
      <c r="J190" s="125">
        <v>2700</v>
      </c>
      <c r="K190" s="73">
        <f t="shared" ref="K190:K193" si="104">IF(ISNUMBER(J190), (J190 - $B190) / $B190, "")</f>
        <v>-8.1632653061224483E-2</v>
      </c>
      <c r="L190" s="136">
        <f>IF(ISNUMBER(J190), $B199 * K190, "")</f>
        <v>-12244.897959183672</v>
      </c>
      <c r="M190" s="39">
        <v>2685</v>
      </c>
      <c r="N190" s="73">
        <f t="shared" ref="N190:N193" si="105">IF(ISNUMBER(M190), (M190 - $B190) / $B190, "")</f>
        <v>-8.673469387755102E-2</v>
      </c>
      <c r="O190" s="136">
        <f>IF(ISNUMBER(M190), $B199 * N190, "")</f>
        <v>-13010.204081632653</v>
      </c>
      <c r="Q190" s="282"/>
      <c r="R190" s="283"/>
      <c r="S190" s="284"/>
    </row>
    <row r="191" spans="1:19" ht="17.25" thickBot="1">
      <c r="A191" s="124" t="s">
        <v>90</v>
      </c>
      <c r="B191" s="125">
        <v>447800</v>
      </c>
      <c r="C191" s="73">
        <v>-7.0182724299999999E-2</v>
      </c>
      <c r="D191" s="125">
        <v>405000</v>
      </c>
      <c r="E191" s="73">
        <f t="shared" si="102"/>
        <v>-9.5578383206788742E-2</v>
      </c>
      <c r="F191" s="136">
        <f>IF(ISNUMBER(D191), $B199 * E191, "")</f>
        <v>-14336.757481018311</v>
      </c>
      <c r="G191" s="39">
        <v>403900</v>
      </c>
      <c r="H191" s="73">
        <f t="shared" si="103"/>
        <v>-9.8034836980795001E-2</v>
      </c>
      <c r="I191" s="202">
        <f>IF(ISNUMBER(G191), $B199 * H191, "")</f>
        <v>-14705.225547119249</v>
      </c>
      <c r="J191" s="125">
        <v>408650</v>
      </c>
      <c r="K191" s="73">
        <f t="shared" si="104"/>
        <v>-8.7427422956677089E-2</v>
      </c>
      <c r="L191" s="136">
        <f>IF(ISNUMBER(J191), $B199 * K191, "")</f>
        <v>-13114.113443501563</v>
      </c>
      <c r="M191" s="39">
        <v>400800</v>
      </c>
      <c r="N191" s="73">
        <f t="shared" si="105"/>
        <v>-0.10495757034390353</v>
      </c>
      <c r="O191" s="136">
        <f>IF(ISNUMBER(M191), $B199 * N191, "")</f>
        <v>-15743.63555158553</v>
      </c>
      <c r="Q191" s="267"/>
      <c r="R191" s="267"/>
      <c r="S191" s="267"/>
    </row>
    <row r="192" spans="1:19" ht="17.25" thickBot="1">
      <c r="A192" s="124" t="s">
        <v>94</v>
      </c>
      <c r="B192" s="125">
        <v>136850</v>
      </c>
      <c r="C192" s="73">
        <v>-7.5025346399999998E-2</v>
      </c>
      <c r="D192" s="125">
        <v>118100</v>
      </c>
      <c r="E192" s="73">
        <f t="shared" si="102"/>
        <v>-0.1370113262696383</v>
      </c>
      <c r="F192" s="136">
        <f>IF(ISNUMBER(D192), $B199 * E192, "")</f>
        <v>-20551.698940445745</v>
      </c>
      <c r="G192" s="39">
        <v>114750</v>
      </c>
      <c r="H192" s="73">
        <f t="shared" si="103"/>
        <v>-0.16149068322981366</v>
      </c>
      <c r="I192" s="202">
        <f>IF(ISNUMBER(G192), $B199 * H192, "")</f>
        <v>-24223.602484472049</v>
      </c>
      <c r="J192" s="125">
        <v>116950</v>
      </c>
      <c r="K192" s="73">
        <f t="shared" si="104"/>
        <v>-0.14541468761417611</v>
      </c>
      <c r="L192" s="136">
        <f>IF(ISNUMBER(J192), $B199 * K192, "")</f>
        <v>-21812.203142126418</v>
      </c>
      <c r="M192" s="39">
        <v>116500</v>
      </c>
      <c r="N192" s="73">
        <f t="shared" si="105"/>
        <v>-0.14870295944464743</v>
      </c>
      <c r="O192" s="136">
        <f>IF(ISNUMBER(M192), $B199 * N192, "")</f>
        <v>-22305.443916697113</v>
      </c>
      <c r="Q192" s="262"/>
      <c r="R192" s="262"/>
      <c r="S192" s="262"/>
    </row>
    <row r="193" spans="1:19" ht="17.25" thickBot="1">
      <c r="A193" s="126" t="s">
        <v>144</v>
      </c>
      <c r="B193" s="127">
        <v>13770</v>
      </c>
      <c r="C193" s="74">
        <v>-9.1089108899999993E-2</v>
      </c>
      <c r="D193" s="127">
        <v>12570</v>
      </c>
      <c r="E193" s="74">
        <f t="shared" si="102"/>
        <v>-8.714596949891068E-2</v>
      </c>
      <c r="F193" s="203">
        <f>IF(ISNUMBER(D193), $B199 * E193, "")</f>
        <v>-13071.895424836603</v>
      </c>
      <c r="G193" s="44">
        <v>12280</v>
      </c>
      <c r="H193" s="74">
        <f t="shared" si="103"/>
        <v>-0.10820624546114742</v>
      </c>
      <c r="I193" s="204">
        <f>IF(ISNUMBER(G193), $B199 * H193, "")</f>
        <v>-16230.936819172113</v>
      </c>
      <c r="J193" s="127">
        <v>12480</v>
      </c>
      <c r="K193" s="74">
        <f t="shared" si="104"/>
        <v>-9.3681917211328972E-2</v>
      </c>
      <c r="L193" s="203">
        <f>IF(ISNUMBER(J193), $B199 * K193, "")</f>
        <v>-14052.287581699346</v>
      </c>
      <c r="M193" s="44">
        <v>12520</v>
      </c>
      <c r="N193" s="74">
        <f t="shared" si="105"/>
        <v>-9.0777051561365285E-2</v>
      </c>
      <c r="O193" s="203">
        <f>IF(ISNUMBER(M193), $B199 * N193, "")</f>
        <v>-13616.557734204793</v>
      </c>
      <c r="Q193" s="262"/>
      <c r="R193" s="262"/>
      <c r="S193" s="262"/>
    </row>
    <row r="194" spans="1:19" ht="17.25" thickBot="1">
      <c r="A194" s="124" t="s">
        <v>51</v>
      </c>
      <c r="B194" s="128">
        <v>816</v>
      </c>
      <c r="C194" s="76">
        <v>-9.6345515000000007E-2</v>
      </c>
      <c r="D194" s="128">
        <v>787</v>
      </c>
      <c r="E194" s="76">
        <f>IF(ISNUMBER(D194), (D194 - $B194) / $B194, "")</f>
        <v>-3.5539215686274508E-2</v>
      </c>
      <c r="F194" s="205">
        <f>IF(ISNUMBER(D194), $B199 * E194, "")</f>
        <v>-5330.8823529411766</v>
      </c>
      <c r="G194" s="45">
        <v>741</v>
      </c>
      <c r="H194" s="76">
        <f>IF(ISNUMBER(G194), (G194 - $B194) / $B194, "")</f>
        <v>-9.1911764705882359E-2</v>
      </c>
      <c r="I194" s="206">
        <f>IF(ISNUMBER(G194), $B199 * H194, "")</f>
        <v>-13786.764705882353</v>
      </c>
      <c r="J194" s="128">
        <v>761</v>
      </c>
      <c r="K194" s="76">
        <f>IF(ISNUMBER(J194), (J194 - $B194) / $B194, "")</f>
        <v>-6.7401960784313722E-2</v>
      </c>
      <c r="L194" s="205">
        <f>IF(ISNUMBER(J194), $B199 * K194, "")</f>
        <v>-10110.294117647058</v>
      </c>
      <c r="M194" s="45">
        <v>755</v>
      </c>
      <c r="N194" s="76">
        <f>IF(ISNUMBER(M194), (M194 - $B194) / $B194, "")</f>
        <v>-7.4754901960784312E-2</v>
      </c>
      <c r="O194" s="205">
        <f>IF(ISNUMBER(M194), $B199 * N194, "")</f>
        <v>-11213.235294117647</v>
      </c>
      <c r="Q194" s="267"/>
      <c r="R194" s="267"/>
      <c r="S194" s="267"/>
    </row>
    <row r="195" spans="1:19" ht="17.25" thickBot="1">
      <c r="A195" s="124" t="s">
        <v>188</v>
      </c>
      <c r="B195" s="125">
        <v>29350</v>
      </c>
      <c r="C195" s="73">
        <v>-9.6923076900000002E-2</v>
      </c>
      <c r="D195" s="125">
        <v>26260</v>
      </c>
      <c r="E195" s="73">
        <f t="shared" ref="E195:E198" si="106">IF(ISNUMBER(D195), (D195 - $B195) / $B195, "")</f>
        <v>-0.10528109028960818</v>
      </c>
      <c r="F195" s="136">
        <f>IF(ISNUMBER(D195), $B199 * E195, "")</f>
        <v>-15792.163543441227</v>
      </c>
      <c r="G195" s="39">
        <v>25190</v>
      </c>
      <c r="H195" s="73">
        <f t="shared" ref="H195:H198" si="107">IF(ISNUMBER(G195), (G195 - $B195) / $B195, "")</f>
        <v>-0.14173764906303238</v>
      </c>
      <c r="I195" s="202">
        <f>IF(ISNUMBER(G195), $B199 * H195, "")</f>
        <v>-21260.647359454855</v>
      </c>
      <c r="J195" s="125">
        <v>25710</v>
      </c>
      <c r="K195" s="73">
        <f t="shared" ref="K195:K198" si="108">IF(ISNUMBER(J195), (J195 - $B195) / $B195, "")</f>
        <v>-0.12402044293015332</v>
      </c>
      <c r="L195" s="136">
        <f>IF(ISNUMBER(J195), $B199 * K195, "")</f>
        <v>-18603.066439522998</v>
      </c>
      <c r="M195" s="39">
        <v>25390</v>
      </c>
      <c r="N195" s="73">
        <f t="shared" ref="N195:N198" si="109">IF(ISNUMBER(M195), (M195 - $B195) / $B195, "")</f>
        <v>-0.13492333901192505</v>
      </c>
      <c r="O195" s="136">
        <f>IF(ISNUMBER(M195), $B199 * N195, "")</f>
        <v>-20238.500851788758</v>
      </c>
      <c r="Q195" s="267"/>
      <c r="R195" s="267"/>
      <c r="S195" s="267"/>
    </row>
    <row r="196" spans="1:19" ht="17.25" thickBot="1">
      <c r="A196" s="124" t="s">
        <v>242</v>
      </c>
      <c r="B196" s="125">
        <v>10090</v>
      </c>
      <c r="C196" s="73">
        <v>-0.107079646</v>
      </c>
      <c r="D196" s="125">
        <v>8840</v>
      </c>
      <c r="E196" s="73">
        <f t="shared" si="106"/>
        <v>-0.12388503468780972</v>
      </c>
      <c r="F196" s="136">
        <f>IF(ISNUMBER(D196), $B199 * E196, "")</f>
        <v>-18582.755203171459</v>
      </c>
      <c r="G196" s="39">
        <v>8475</v>
      </c>
      <c r="H196" s="73">
        <f t="shared" si="107"/>
        <v>-0.16005946481665015</v>
      </c>
      <c r="I196" s="202">
        <f>IF(ISNUMBER(G196), $B199 * H196, "")</f>
        <v>-24008.919722497521</v>
      </c>
      <c r="J196" s="125">
        <v>8700</v>
      </c>
      <c r="K196" s="73">
        <f t="shared" si="108"/>
        <v>-0.1377601585728444</v>
      </c>
      <c r="L196" s="136">
        <f>IF(ISNUMBER(J196), $B199 * K196, "")</f>
        <v>-20664.02378592666</v>
      </c>
      <c r="M196" s="39">
        <v>8720</v>
      </c>
      <c r="N196" s="73">
        <f t="shared" si="109"/>
        <v>-0.13577799801783944</v>
      </c>
      <c r="O196" s="136">
        <f>IF(ISNUMBER(M196), $B199 * N196, "")</f>
        <v>-20366.699702675916</v>
      </c>
      <c r="Q196" s="267"/>
      <c r="R196" s="267"/>
      <c r="S196" s="267"/>
    </row>
    <row r="197" spans="1:19">
      <c r="A197" s="124" t="s">
        <v>86</v>
      </c>
      <c r="B197" s="125">
        <v>15160</v>
      </c>
      <c r="C197" s="73">
        <v>-0.1478358628</v>
      </c>
      <c r="D197" s="125">
        <v>13640</v>
      </c>
      <c r="E197" s="73">
        <f t="shared" si="106"/>
        <v>-0.10026385224274406</v>
      </c>
      <c r="F197" s="136">
        <f>IF(ISNUMBER(D197), $B199 * E197, "")</f>
        <v>-15039.577836411609</v>
      </c>
      <c r="G197" s="39">
        <v>13420</v>
      </c>
      <c r="H197" s="73">
        <f t="shared" si="107"/>
        <v>-0.11477572559366754</v>
      </c>
      <c r="I197" s="202">
        <f>IF(ISNUMBER(G197), $B199 * H197, "")</f>
        <v>-17216.358839050132</v>
      </c>
      <c r="J197" s="125">
        <v>13710</v>
      </c>
      <c r="K197" s="73">
        <f t="shared" si="108"/>
        <v>-9.5646437994722958E-2</v>
      </c>
      <c r="L197" s="136">
        <f>IF(ISNUMBER(J197), $B199 * K197, "")</f>
        <v>-14346.965699208444</v>
      </c>
      <c r="M197" s="39">
        <v>13250</v>
      </c>
      <c r="N197" s="73">
        <f t="shared" si="109"/>
        <v>-0.12598944591029024</v>
      </c>
      <c r="O197" s="136">
        <f>IF(ISNUMBER(M197), $B199 * N197, "")</f>
        <v>-18898.416886543535</v>
      </c>
      <c r="Q197" s="289"/>
      <c r="R197" s="290"/>
      <c r="S197" s="291"/>
    </row>
    <row r="198" spans="1:19" ht="17.25" thickBot="1">
      <c r="A198" s="129" t="s">
        <v>236</v>
      </c>
      <c r="B198" s="130">
        <v>83.6</v>
      </c>
      <c r="C198" s="75">
        <v>-0.17227722770000001</v>
      </c>
      <c r="D198" s="130">
        <v>74.599999999999994</v>
      </c>
      <c r="E198" s="75">
        <f t="shared" si="106"/>
        <v>-0.1076555023923445</v>
      </c>
      <c r="F198" s="137">
        <f>IF(ISNUMBER(D198), $B199 * E198, "")</f>
        <v>-16148.325358851676</v>
      </c>
      <c r="G198" s="37">
        <v>70</v>
      </c>
      <c r="H198" s="75">
        <f t="shared" si="107"/>
        <v>-0.16267942583732051</v>
      </c>
      <c r="I198" s="207">
        <f>IF(ISNUMBER(G198), $B199 * H198, "")</f>
        <v>-24401.913875598075</v>
      </c>
      <c r="J198" s="130">
        <v>72.2</v>
      </c>
      <c r="K198" s="75">
        <f t="shared" si="108"/>
        <v>-0.13636363636363627</v>
      </c>
      <c r="L198" s="137">
        <f>IF(ISNUMBER(J198), $B199 * K198, "")</f>
        <v>-20454.545454545441</v>
      </c>
      <c r="M198" s="37">
        <v>72.2</v>
      </c>
      <c r="N198" s="75">
        <f t="shared" si="109"/>
        <v>-0.13636363636363627</v>
      </c>
      <c r="O198" s="137">
        <f>IF(ISNUMBER(M198), $B199 * N198, "")</f>
        <v>-20454.545454545441</v>
      </c>
      <c r="Q198" s="292"/>
      <c r="R198" s="293"/>
      <c r="S198" s="294"/>
    </row>
    <row r="199" spans="1:19" ht="17.25" thickBot="1">
      <c r="A199" s="131" t="s">
        <v>301</v>
      </c>
      <c r="B199" s="300">
        <f>$B$37</f>
        <v>150000</v>
      </c>
      <c r="C199" s="301"/>
      <c r="D199" s="131" t="s">
        <v>302</v>
      </c>
      <c r="E199" s="223">
        <f>IF(COUNT(E179:E198), SUM(E179:E198) / COUNT(E179:E198), 0)</f>
        <v>-9.6403203385872244E-2</v>
      </c>
      <c r="F199" s="208">
        <f>SUM(F179:F198)</f>
        <v>-289209.61015761673</v>
      </c>
      <c r="G199" s="131" t="s">
        <v>302</v>
      </c>
      <c r="H199" s="223">
        <f>IF(COUNT(H179:H198), SUM(H179:H198) / COUNT(H179:H198), 0)</f>
        <v>-0.12204786744893677</v>
      </c>
      <c r="I199" s="208">
        <f>SUM(I179:I198)</f>
        <v>-366143.60234681022</v>
      </c>
      <c r="J199" s="131" t="s">
        <v>302</v>
      </c>
      <c r="K199" s="223">
        <f>IF(COUNT(K179:K198), SUM(K179:K198) / COUNT(K179:K198), 0)</f>
        <v>-0.10623448381232192</v>
      </c>
      <c r="L199" s="208">
        <f>SUM(L179:L198)</f>
        <v>-318703.45143696573</v>
      </c>
      <c r="M199" s="131" t="s">
        <v>302</v>
      </c>
      <c r="N199" s="223">
        <f>IF(COUNT(N179:N198), SUM(N179:N198) / COUNT(N179:N198), 0)</f>
        <v>-0.11073804011836061</v>
      </c>
      <c r="O199" s="208">
        <f>SUM(O179:O198)</f>
        <v>-332214.12035508174</v>
      </c>
      <c r="Q199" s="295"/>
      <c r="R199" s="296"/>
      <c r="S199" s="2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35" priority="157">
      <formula>AND($N17 &gt; 0, ISNUMBER($N17))</formula>
    </cfRule>
    <cfRule type="expression" dxfId="534" priority="158">
      <formula>AND($N17 = 0 * ISNUMBER($N17))</formula>
    </cfRule>
    <cfRule type="expression" dxfId="533" priority="159">
      <formula>AND($N17 &lt; 0, ISNUMBER($N17))</formula>
    </cfRule>
  </conditionalFormatting>
  <conditionalFormatting sqref="A17:F36">
    <cfRule type="expression" dxfId="532" priority="166">
      <formula>AND($E17 &gt; 0, ISNUMBER($E17))</formula>
    </cfRule>
    <cfRule type="expression" dxfId="531" priority="167">
      <formula>AND($E17 = 0 * ISNUMBER($E17))</formula>
    </cfRule>
    <cfRule type="expression" dxfId="530" priority="168">
      <formula>AND($E17 &lt; 0, ISNUMBER($E17))</formula>
    </cfRule>
  </conditionalFormatting>
  <conditionalFormatting sqref="A17:C36 G17:I36">
    <cfRule type="expression" dxfId="529" priority="163">
      <formula>AND($H17 &gt; 0, ISNUMBER($H17))</formula>
    </cfRule>
    <cfRule type="expression" dxfId="528" priority="164">
      <formula>AND($H17 = 0 * ISNUMBER($H17))</formula>
    </cfRule>
    <cfRule type="expression" dxfId="527" priority="165">
      <formula>AND($H17 &lt; 0, ISNUMBER($H17))</formula>
    </cfRule>
  </conditionalFormatting>
  <conditionalFormatting sqref="A17:C36 J17:L36">
    <cfRule type="expression" dxfId="526" priority="160">
      <formula>AND($K17 &gt; 0, ISNUMBER($K17))</formula>
    </cfRule>
    <cfRule type="expression" dxfId="525" priority="161">
      <formula>AND($K17 = 0 * ISNUMBER($K17))</formula>
    </cfRule>
    <cfRule type="expression" dxfId="524" priority="162">
      <formula>AND($K17 &lt; 0, ISNUMBER($K17))</formula>
    </cfRule>
  </conditionalFormatting>
  <conditionalFormatting sqref="D15:F16 E37:F37">
    <cfRule type="expression" dxfId="523" priority="154">
      <formula>$E$37 &gt; 0</formula>
    </cfRule>
    <cfRule type="expression" dxfId="522" priority="155">
      <formula>$E$37 = 0</formula>
    </cfRule>
    <cfRule type="expression" dxfId="521" priority="156">
      <formula>$E$37 &lt; 0</formula>
    </cfRule>
  </conditionalFormatting>
  <conditionalFormatting sqref="G15:I16 H37:I37">
    <cfRule type="expression" dxfId="520" priority="151">
      <formula>$H$37 &gt; 0</formula>
    </cfRule>
    <cfRule type="expression" dxfId="519" priority="152">
      <formula>$H$37 = 0</formula>
    </cfRule>
    <cfRule type="expression" dxfId="518" priority="153">
      <formula>$H$37 &lt; 0</formula>
    </cfRule>
  </conditionalFormatting>
  <conditionalFormatting sqref="J15:L16 K37:L37">
    <cfRule type="expression" dxfId="517" priority="148">
      <formula>$K$37 &gt; 0</formula>
    </cfRule>
    <cfRule type="expression" dxfId="516" priority="149">
      <formula>$K$37 = 0</formula>
    </cfRule>
    <cfRule type="expression" dxfId="515" priority="150">
      <formula>$K$37 &lt; 0</formula>
    </cfRule>
  </conditionalFormatting>
  <conditionalFormatting sqref="M15:O16 N37:O37">
    <cfRule type="expression" dxfId="514" priority="145">
      <formula>$N$37 &gt; 0</formula>
    </cfRule>
    <cfRule type="expression" dxfId="513" priority="146">
      <formula>$N$37 = 0</formula>
    </cfRule>
    <cfRule type="expression" dxfId="512" priority="147">
      <formula>$N$37 &lt; 0</formula>
    </cfRule>
  </conditionalFormatting>
  <conditionalFormatting sqref="A44:C63 M44:O63">
    <cfRule type="expression" dxfId="511" priority="133">
      <formula>AND($N44 &gt; 0, ISNUMBER($N44))</formula>
    </cfRule>
    <cfRule type="expression" dxfId="510" priority="134">
      <formula>AND($N44 = 0 * ISNUMBER($N44))</formula>
    </cfRule>
    <cfRule type="expression" dxfId="509" priority="135">
      <formula>AND($N44 &lt; 0, ISNUMBER($N44))</formula>
    </cfRule>
  </conditionalFormatting>
  <conditionalFormatting sqref="A44:F63">
    <cfRule type="expression" dxfId="508" priority="142">
      <formula>AND($E44 &gt; 0, ISNUMBER($E44))</formula>
    </cfRule>
    <cfRule type="expression" dxfId="507" priority="143">
      <formula>AND($E44 = 0 * ISNUMBER($E44))</formula>
    </cfRule>
    <cfRule type="expression" dxfId="506" priority="144">
      <formula>AND($E44 &lt; 0, ISNUMBER($E44))</formula>
    </cfRule>
  </conditionalFormatting>
  <conditionalFormatting sqref="A44:C63 G44:I63">
    <cfRule type="expression" dxfId="505" priority="139">
      <formula>AND($H44 &gt; 0, ISNUMBER($H44))</formula>
    </cfRule>
    <cfRule type="expression" dxfId="504" priority="140">
      <formula>AND($H44 = 0 * ISNUMBER($H44))</formula>
    </cfRule>
    <cfRule type="expression" dxfId="503" priority="141">
      <formula>AND($H44 &lt; 0, ISNUMBER($H44))</formula>
    </cfRule>
  </conditionalFormatting>
  <conditionalFormatting sqref="A44:C63 J44:L63">
    <cfRule type="expression" dxfId="502" priority="136">
      <formula>AND($K44 &gt; 0, ISNUMBER($K44))</formula>
    </cfRule>
    <cfRule type="expression" dxfId="501" priority="137">
      <formula>AND($K44 = 0 * ISNUMBER($K44))</formula>
    </cfRule>
    <cfRule type="expression" dxfId="500" priority="138">
      <formula>AND($K44 &lt; 0, ISNUMBER($K44))</formula>
    </cfRule>
  </conditionalFormatting>
  <conditionalFormatting sqref="D42:F43 E64:F64">
    <cfRule type="expression" dxfId="499" priority="130">
      <formula>$E$64 &gt; 0</formula>
    </cfRule>
    <cfRule type="expression" dxfId="498" priority="131">
      <formula>$E$64 = 0</formula>
    </cfRule>
    <cfRule type="expression" dxfId="497" priority="132">
      <formula>$E$64 &lt; 0</formula>
    </cfRule>
  </conditionalFormatting>
  <conditionalFormatting sqref="G42:I43 H64:I64">
    <cfRule type="expression" dxfId="496" priority="127">
      <formula>$H$64 &gt; 0</formula>
    </cfRule>
    <cfRule type="expression" dxfId="495" priority="128">
      <formula>$H$64 = 0</formula>
    </cfRule>
    <cfRule type="expression" dxfId="494" priority="129">
      <formula>$H$64 &lt; 0</formula>
    </cfRule>
  </conditionalFormatting>
  <conditionalFormatting sqref="J42:L43 K64:L64">
    <cfRule type="expression" dxfId="493" priority="124">
      <formula>$K$64 &gt; 0</formula>
    </cfRule>
    <cfRule type="expression" dxfId="492" priority="125">
      <formula>$K$64 = 0</formula>
    </cfRule>
    <cfRule type="expression" dxfId="491" priority="126">
      <formula>$K$64 &lt; 0</formula>
    </cfRule>
  </conditionalFormatting>
  <conditionalFormatting sqref="M42:O43 N64:O64">
    <cfRule type="expression" dxfId="490" priority="121">
      <formula>$N$64 &gt; 0</formula>
    </cfRule>
    <cfRule type="expression" dxfId="489" priority="122">
      <formula>$N$64 = 0</formula>
    </cfRule>
    <cfRule type="expression" dxfId="488" priority="123">
      <formula>$N$64 &lt; 0</formula>
    </cfRule>
  </conditionalFormatting>
  <conditionalFormatting sqref="A71:C90 M71:O90">
    <cfRule type="expression" dxfId="487" priority="109">
      <formula>AND($N71 &gt; 0, ISNUMBER($N71))</formula>
    </cfRule>
    <cfRule type="expression" dxfId="486" priority="110">
      <formula>AND($N71 = 0 * ISNUMBER($N71))</formula>
    </cfRule>
    <cfRule type="expression" dxfId="485" priority="111">
      <formula>AND($N71 &lt; 0, ISNUMBER($N71))</formula>
    </cfRule>
  </conditionalFormatting>
  <conditionalFormatting sqref="A71:F90">
    <cfRule type="expression" dxfId="484" priority="118">
      <formula>AND($E71 &gt; 0, ISNUMBER($E71))</formula>
    </cfRule>
    <cfRule type="expression" dxfId="483" priority="119">
      <formula>AND($E71 = 0 * ISNUMBER($E71))</formula>
    </cfRule>
    <cfRule type="expression" dxfId="482" priority="120">
      <formula>AND($E71 &lt; 0, ISNUMBER($E71))</formula>
    </cfRule>
  </conditionalFormatting>
  <conditionalFormatting sqref="A71:C90 G71:I90">
    <cfRule type="expression" dxfId="481" priority="115">
      <formula>AND($H71 &gt; 0, ISNUMBER($H71))</formula>
    </cfRule>
    <cfRule type="expression" dxfId="480" priority="116">
      <formula>AND($H71 = 0 * ISNUMBER($H71))</formula>
    </cfRule>
    <cfRule type="expression" dxfId="479" priority="117">
      <formula>AND($H71 &lt; 0, ISNUMBER($H71))</formula>
    </cfRule>
  </conditionalFormatting>
  <conditionalFormatting sqref="A71:C90 J71:L90">
    <cfRule type="expression" dxfId="478" priority="112">
      <formula>AND($K71 &gt; 0, ISNUMBER($K71))</formula>
    </cfRule>
    <cfRule type="expression" dxfId="477" priority="113">
      <formula>AND($K71 = 0 * ISNUMBER($K71))</formula>
    </cfRule>
    <cfRule type="expression" dxfId="476" priority="114">
      <formula>AND($K71 &lt; 0, ISNUMBER($K71))</formula>
    </cfRule>
  </conditionalFormatting>
  <conditionalFormatting sqref="D69:F70 E91:F91">
    <cfRule type="expression" dxfId="475" priority="106">
      <formula>$E$91 &gt; 0</formula>
    </cfRule>
    <cfRule type="expression" dxfId="474" priority="107">
      <formula>$E$91 = 0</formula>
    </cfRule>
    <cfRule type="expression" dxfId="473" priority="108">
      <formula>$E$91 &lt; 0</formula>
    </cfRule>
  </conditionalFormatting>
  <conditionalFormatting sqref="G69:I70 H91:I91">
    <cfRule type="expression" dxfId="472" priority="103">
      <formula>$H$91 &gt; 0</formula>
    </cfRule>
    <cfRule type="expression" dxfId="471" priority="104">
      <formula>$H$91 = 0</formula>
    </cfRule>
    <cfRule type="expression" dxfId="470" priority="105">
      <formula>$H$91 &lt; 0</formula>
    </cfRule>
  </conditionalFormatting>
  <conditionalFormatting sqref="J69:L70 K91:L91">
    <cfRule type="expression" dxfId="469" priority="100">
      <formula>$K$91 &gt; 0</formula>
    </cfRule>
    <cfRule type="expression" dxfId="468" priority="101">
      <formula>$K$91 = 0</formula>
    </cfRule>
    <cfRule type="expression" dxfId="467" priority="102">
      <formula>$K$91 &lt; 0</formula>
    </cfRule>
  </conditionalFormatting>
  <conditionalFormatting sqref="M69:O70 N91:O91">
    <cfRule type="expression" dxfId="466" priority="97">
      <formula>$N$91 &gt; 0</formula>
    </cfRule>
    <cfRule type="expression" dxfId="465" priority="98">
      <formula>$N$91 = 0</formula>
    </cfRule>
    <cfRule type="expression" dxfId="464" priority="99">
      <formula>$N$91 &lt; 0</formula>
    </cfRule>
  </conditionalFormatting>
  <conditionalFormatting sqref="A98:C117 M98:O117">
    <cfRule type="expression" dxfId="463" priority="85">
      <formula>AND($N98 &gt; 0, ISNUMBER($N98))</formula>
    </cfRule>
    <cfRule type="expression" dxfId="462" priority="86">
      <formula>AND($N98 = 0 * ISNUMBER($N98))</formula>
    </cfRule>
    <cfRule type="expression" dxfId="461" priority="87">
      <formula>AND($N98 &lt; 0, ISNUMBER($N98))</formula>
    </cfRule>
  </conditionalFormatting>
  <conditionalFormatting sqref="A98:F117">
    <cfRule type="expression" dxfId="460" priority="94">
      <formula>AND($E98 &gt; 0, ISNUMBER($E98))</formula>
    </cfRule>
    <cfRule type="expression" dxfId="459" priority="95">
      <formula>AND($E98 = 0 * ISNUMBER($E98))</formula>
    </cfRule>
    <cfRule type="expression" dxfId="458" priority="96">
      <formula>AND($E98 &lt; 0, ISNUMBER($E98))</formula>
    </cfRule>
  </conditionalFormatting>
  <conditionalFormatting sqref="A98:C117 G98:I117">
    <cfRule type="expression" dxfId="457" priority="91">
      <formula>AND($H98 &gt; 0, ISNUMBER($H98))</formula>
    </cfRule>
    <cfRule type="expression" dxfId="456" priority="92">
      <formula>AND($H98 = 0 * ISNUMBER($H98))</formula>
    </cfRule>
    <cfRule type="expression" dxfId="455" priority="93">
      <formula>AND($H98 &lt; 0, ISNUMBER($H98))</formula>
    </cfRule>
  </conditionalFormatting>
  <conditionalFormatting sqref="A98:C117 J98:L117">
    <cfRule type="expression" dxfId="454" priority="88">
      <formula>AND($K98 &gt; 0, ISNUMBER($K98))</formula>
    </cfRule>
    <cfRule type="expression" dxfId="453" priority="89">
      <formula>AND($K98 = 0 * ISNUMBER($K98))</formula>
    </cfRule>
    <cfRule type="expression" dxfId="452" priority="90">
      <formula>AND($K98 &lt; 0, ISNUMBER($K98))</formula>
    </cfRule>
  </conditionalFormatting>
  <conditionalFormatting sqref="D96:F97 E118:F118">
    <cfRule type="expression" dxfId="451" priority="82">
      <formula>$E$118 &gt; 0</formula>
    </cfRule>
    <cfRule type="expression" dxfId="450" priority="83">
      <formula>$E$118 = 0</formula>
    </cfRule>
    <cfRule type="expression" dxfId="449" priority="84">
      <formula>$E$118 &lt; 0</formula>
    </cfRule>
  </conditionalFormatting>
  <conditionalFormatting sqref="G96:I97 H118:I118">
    <cfRule type="expression" dxfId="448" priority="79">
      <formula>$H$118 &gt; 0</formula>
    </cfRule>
    <cfRule type="expression" dxfId="447" priority="80">
      <formula>$H$118 = 0</formula>
    </cfRule>
    <cfRule type="expression" dxfId="446" priority="81">
      <formula>$H$118 &lt; 0</formula>
    </cfRule>
  </conditionalFormatting>
  <conditionalFormatting sqref="J96:L97 K118:L118">
    <cfRule type="expression" dxfId="445" priority="76">
      <formula>$K$118 &gt; 0</formula>
    </cfRule>
    <cfRule type="expression" dxfId="444" priority="77">
      <formula>$K$118 = 0</formula>
    </cfRule>
    <cfRule type="expression" dxfId="443" priority="78">
      <formula>$K$118 &lt; 0</formula>
    </cfRule>
  </conditionalFormatting>
  <conditionalFormatting sqref="M96:O97 N118:O118">
    <cfRule type="expression" dxfId="442" priority="73">
      <formula>$N$118 &gt; 0</formula>
    </cfRule>
    <cfRule type="expression" dxfId="441" priority="74">
      <formula>$N$118 = 0</formula>
    </cfRule>
    <cfRule type="expression" dxfId="440" priority="75">
      <formula>$N$118 &lt; 0</formula>
    </cfRule>
  </conditionalFormatting>
  <conditionalFormatting sqref="A125:C144 M125:O144">
    <cfRule type="expression" dxfId="439" priority="61">
      <formula>AND($N125 &gt; 0, ISNUMBER($N125))</formula>
    </cfRule>
    <cfRule type="expression" dxfId="438" priority="62">
      <formula>AND($N125 = 0 * ISNUMBER($N125))</formula>
    </cfRule>
    <cfRule type="expression" dxfId="437" priority="63">
      <formula>AND($N125 &lt; 0, ISNUMBER($N125))</formula>
    </cfRule>
  </conditionalFormatting>
  <conditionalFormatting sqref="A125:F144">
    <cfRule type="expression" dxfId="436" priority="70">
      <formula>AND($E125 &gt; 0, ISNUMBER($E125))</formula>
    </cfRule>
    <cfRule type="expression" dxfId="435" priority="71">
      <formula>AND($E125 = 0 * ISNUMBER($E125))</formula>
    </cfRule>
    <cfRule type="expression" dxfId="434" priority="72">
      <formula>AND($E125 &lt; 0, ISNUMBER($E125))</formula>
    </cfRule>
  </conditionalFormatting>
  <conditionalFormatting sqref="A125:C144 G125:I144">
    <cfRule type="expression" dxfId="433" priority="67">
      <formula>AND($H125 &gt; 0, ISNUMBER($H125))</formula>
    </cfRule>
    <cfRule type="expression" dxfId="432" priority="68">
      <formula>AND($H125 = 0 * ISNUMBER($H125))</formula>
    </cfRule>
    <cfRule type="expression" dxfId="431" priority="69">
      <formula>AND($H125 &lt; 0, ISNUMBER($H125))</formula>
    </cfRule>
  </conditionalFormatting>
  <conditionalFormatting sqref="A125:C144 J125:L144">
    <cfRule type="expression" dxfId="430" priority="64">
      <formula>AND($K125 &gt; 0, ISNUMBER($K125))</formula>
    </cfRule>
    <cfRule type="expression" dxfId="429" priority="65">
      <formula>AND($K125 = 0 * ISNUMBER($K125))</formula>
    </cfRule>
    <cfRule type="expression" dxfId="428" priority="66">
      <formula>AND($K125 &lt; 0, ISNUMBER($K125))</formula>
    </cfRule>
  </conditionalFormatting>
  <conditionalFormatting sqref="D123:F124 E145:F145">
    <cfRule type="expression" dxfId="427" priority="58">
      <formula>$E$145 &gt; 0</formula>
    </cfRule>
    <cfRule type="expression" dxfId="426" priority="59">
      <formula>$E$145 = 0</formula>
    </cfRule>
    <cfRule type="expression" dxfId="425" priority="60">
      <formula>$E$145 &lt; 0</formula>
    </cfRule>
  </conditionalFormatting>
  <conditionalFormatting sqref="G123:I124 H145:I145">
    <cfRule type="expression" dxfId="424" priority="55">
      <formula>$H$145 &gt; 0</formula>
    </cfRule>
    <cfRule type="expression" dxfId="423" priority="56">
      <formula>$H$145 = 0</formula>
    </cfRule>
    <cfRule type="expression" dxfId="422" priority="57">
      <formula>$H$145 &lt; 0</formula>
    </cfRule>
  </conditionalFormatting>
  <conditionalFormatting sqref="J123:L124 K145:L145">
    <cfRule type="expression" dxfId="421" priority="52">
      <formula>$K$145 &gt; 0</formula>
    </cfRule>
    <cfRule type="expression" dxfId="420" priority="53">
      <formula>$K$145 = 0</formula>
    </cfRule>
    <cfRule type="expression" dxfId="419" priority="54">
      <formula>$K$145 &lt; 0</formula>
    </cfRule>
  </conditionalFormatting>
  <conditionalFormatting sqref="M123:O124 N145:O145">
    <cfRule type="expression" dxfId="418" priority="49">
      <formula>$N$145 &gt; 0</formula>
    </cfRule>
    <cfRule type="expression" dxfId="417" priority="50">
      <formula>$N$145 = 0</formula>
    </cfRule>
    <cfRule type="expression" dxfId="416" priority="51">
      <formula>$N$145 &lt; 0</formula>
    </cfRule>
  </conditionalFormatting>
  <conditionalFormatting sqref="A152:C171 M152:O171">
    <cfRule type="expression" dxfId="415" priority="37">
      <formula>AND($N152 &gt; 0, ISNUMBER($N152))</formula>
    </cfRule>
    <cfRule type="expression" dxfId="414" priority="38">
      <formula>AND($N152 = 0 * ISNUMBER($N152))</formula>
    </cfRule>
    <cfRule type="expression" dxfId="413" priority="39">
      <formula>AND($N152 &lt; 0, ISNUMBER($N152))</formula>
    </cfRule>
  </conditionalFormatting>
  <conditionalFormatting sqref="A152:F171">
    <cfRule type="expression" dxfId="412" priority="46">
      <formula>AND($E152 &gt; 0, ISNUMBER($E152))</formula>
    </cfRule>
    <cfRule type="expression" dxfId="411" priority="47">
      <formula>AND($E152 = 0 * ISNUMBER($E152))</formula>
    </cfRule>
    <cfRule type="expression" dxfId="410" priority="48">
      <formula>AND($E152 &lt; 0, ISNUMBER($E152))</formula>
    </cfRule>
  </conditionalFormatting>
  <conditionalFormatting sqref="A152:C171 G152:I171">
    <cfRule type="expression" dxfId="409" priority="43">
      <formula>AND($H152 &gt; 0, ISNUMBER($H152))</formula>
    </cfRule>
    <cfRule type="expression" dxfId="408" priority="44">
      <formula>AND($H152 = 0 * ISNUMBER($H152))</formula>
    </cfRule>
    <cfRule type="expression" dxfId="407" priority="45">
      <formula>AND($H152 &lt; 0, ISNUMBER($H152))</formula>
    </cfRule>
  </conditionalFormatting>
  <conditionalFormatting sqref="A152:C171 J152:L171">
    <cfRule type="expression" dxfId="406" priority="40">
      <formula>AND($K152 &gt; 0, ISNUMBER($K152))</formula>
    </cfRule>
    <cfRule type="expression" dxfId="405" priority="41">
      <formula>AND($K152 = 0 * ISNUMBER($K152))</formula>
    </cfRule>
    <cfRule type="expression" dxfId="404" priority="42">
      <formula>AND($K152 &lt; 0, ISNUMBER($K152))</formula>
    </cfRule>
  </conditionalFormatting>
  <conditionalFormatting sqref="D150:F151 E172:F172">
    <cfRule type="expression" dxfId="403" priority="34">
      <formula>$E$172 &gt; 0</formula>
    </cfRule>
    <cfRule type="expression" dxfId="402" priority="35">
      <formula>$E$172 = 0</formula>
    </cfRule>
    <cfRule type="expression" dxfId="401" priority="36">
      <formula>$E$172 &lt; 0</formula>
    </cfRule>
  </conditionalFormatting>
  <conditionalFormatting sqref="G150:I151 H172:I172">
    <cfRule type="expression" dxfId="400" priority="31">
      <formula>$H$172 &gt; 0</formula>
    </cfRule>
    <cfRule type="expression" dxfId="399" priority="32">
      <formula>$H$172 = 0</formula>
    </cfRule>
    <cfRule type="expression" dxfId="398" priority="33">
      <formula>$H$172 &lt; 0</formula>
    </cfRule>
  </conditionalFormatting>
  <conditionalFormatting sqref="J150:L151 K172:L172">
    <cfRule type="expression" dxfId="397" priority="28">
      <formula>$K$172 &gt; 0</formula>
    </cfRule>
    <cfRule type="expression" dxfId="396" priority="29">
      <formula>$K$172 = 0</formula>
    </cfRule>
    <cfRule type="expression" dxfId="395" priority="30">
      <formula>$K$172 &lt; 0</formula>
    </cfRule>
  </conditionalFormatting>
  <conditionalFormatting sqref="M150:O151 N172:O172">
    <cfRule type="expression" dxfId="394" priority="25">
      <formula>$N$172 &gt; 0</formula>
    </cfRule>
    <cfRule type="expression" dxfId="393" priority="26">
      <formula>$N$172 = 0</formula>
    </cfRule>
    <cfRule type="expression" dxfId="392" priority="27">
      <formula>$N$172 &lt; 0</formula>
    </cfRule>
  </conditionalFormatting>
  <conditionalFormatting sqref="A179:C198 M179:O198">
    <cfRule type="expression" dxfId="391" priority="13">
      <formula>AND($N179 &gt; 0, ISNUMBER($N179))</formula>
    </cfRule>
    <cfRule type="expression" dxfId="390" priority="14">
      <formula>AND($N179 = 0 * ISNUMBER($N179))</formula>
    </cfRule>
    <cfRule type="expression" dxfId="389" priority="15">
      <formula>AND($N179 &lt; 0, ISNUMBER($N179))</formula>
    </cfRule>
  </conditionalFormatting>
  <conditionalFormatting sqref="A179:F198">
    <cfRule type="expression" dxfId="388" priority="22">
      <formula>AND($E179 &gt; 0, ISNUMBER($E179))</formula>
    </cfRule>
    <cfRule type="expression" dxfId="387" priority="23">
      <formula>AND($E179 = 0 * ISNUMBER($E179))</formula>
    </cfRule>
    <cfRule type="expression" dxfId="386" priority="24">
      <formula>AND($E179 &lt; 0, ISNUMBER($E179))</formula>
    </cfRule>
  </conditionalFormatting>
  <conditionalFormatting sqref="A179:C198 G179:I198">
    <cfRule type="expression" dxfId="385" priority="19">
      <formula>AND($H179 &gt; 0, ISNUMBER($H179))</formula>
    </cfRule>
    <cfRule type="expression" dxfId="384" priority="20">
      <formula>AND($H179 = 0 * ISNUMBER($H179))</formula>
    </cfRule>
    <cfRule type="expression" dxfId="383" priority="21">
      <formula>AND($H179 &lt; 0, ISNUMBER($H179))</formula>
    </cfRule>
  </conditionalFormatting>
  <conditionalFormatting sqref="A179:C198 J179:L198">
    <cfRule type="expression" dxfId="382" priority="16">
      <formula>AND($K179 &gt; 0, ISNUMBER($K179))</formula>
    </cfRule>
    <cfRule type="expression" dxfId="381" priority="17">
      <formula>AND($K179 = 0 * ISNUMBER($K179))</formula>
    </cfRule>
    <cfRule type="expression" dxfId="380" priority="18">
      <formula>AND($K179 &lt; 0, ISNUMBER($K179))</formula>
    </cfRule>
  </conditionalFormatting>
  <conditionalFormatting sqref="D177:F178 E199:F199">
    <cfRule type="expression" dxfId="379" priority="10">
      <formula>$E$199 &gt; 0</formula>
    </cfRule>
    <cfRule type="expression" dxfId="378" priority="11">
      <formula>$E$199 = 0</formula>
    </cfRule>
    <cfRule type="expression" dxfId="377" priority="12">
      <formula>$E$199 &lt; 0</formula>
    </cfRule>
  </conditionalFormatting>
  <conditionalFormatting sqref="G177:I178 H199:I199">
    <cfRule type="expression" dxfId="376" priority="7">
      <formula>$H$199 &gt; 0</formula>
    </cfRule>
    <cfRule type="expression" dxfId="375" priority="8">
      <formula>$H$199 = 0</formula>
    </cfRule>
    <cfRule type="expression" dxfId="374" priority="9">
      <formula>$H$199 &lt; 0</formula>
    </cfRule>
  </conditionalFormatting>
  <conditionalFormatting sqref="J177:L178 K199:L199">
    <cfRule type="expression" dxfId="373" priority="4">
      <formula>$K$199 &gt; 0</formula>
    </cfRule>
    <cfRule type="expression" dxfId="372" priority="5">
      <formula>$K$199 = 0</formula>
    </cfRule>
    <cfRule type="expression" dxfId="371" priority="6">
      <formula>$K$199 &lt; 0</formula>
    </cfRule>
  </conditionalFormatting>
  <conditionalFormatting sqref="M177:O178 N199:O199">
    <cfRule type="expression" dxfId="370" priority="1">
      <formula>$N$199 &gt; 0</formula>
    </cfRule>
    <cfRule type="expression" dxfId="369" priority="2">
      <formula>$N$199 = 0</formula>
    </cfRule>
    <cfRule type="expression" dxfId="3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52AB3-FC14-4090-8F62-3909D65AD5CA}">
  <sheetPr codeName="Sheet20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44330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6" t="s">
        <v>3</v>
      </c>
      <c r="B2" s="315" t="s">
        <v>8</v>
      </c>
      <c r="C2" s="316"/>
      <c r="D2" s="316"/>
      <c r="E2" s="316"/>
      <c r="F2" s="317"/>
      <c r="G2" s="250" t="s">
        <v>46</v>
      </c>
      <c r="H2" s="251"/>
      <c r="I2" s="252"/>
      <c r="J2" s="116" t="s">
        <v>3</v>
      </c>
      <c r="K2" s="315" t="s">
        <v>376</v>
      </c>
      <c r="L2" s="316"/>
      <c r="M2" s="316"/>
      <c r="N2" s="316"/>
      <c r="O2" s="317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12" t="s">
        <v>384</v>
      </c>
      <c r="C3" s="313"/>
      <c r="D3" s="313"/>
      <c r="E3" s="313"/>
      <c r="F3" s="314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84,497 KRW (2.82%)</v>
      </c>
      <c r="H3" s="257"/>
      <c r="I3" s="258"/>
      <c r="J3" s="117" t="s">
        <v>7</v>
      </c>
      <c r="K3" s="312" t="s">
        <v>377</v>
      </c>
      <c r="L3" s="313"/>
      <c r="M3" s="313"/>
      <c r="N3" s="313"/>
      <c r="O3" s="314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12" t="s">
        <v>16</v>
      </c>
      <c r="C4" s="313"/>
      <c r="D4" s="313"/>
      <c r="E4" s="313"/>
      <c r="F4" s="314"/>
      <c r="G4" s="250" t="s">
        <v>44</v>
      </c>
      <c r="H4" s="251"/>
      <c r="I4" s="252"/>
      <c r="J4" s="117" t="s">
        <v>11</v>
      </c>
      <c r="K4" s="312" t="s">
        <v>378</v>
      </c>
      <c r="L4" s="313"/>
      <c r="M4" s="313"/>
      <c r="N4" s="313"/>
      <c r="O4" s="314"/>
      <c r="Q4" s="229" t="s">
        <v>14</v>
      </c>
      <c r="R4" s="198">
        <v>0.95833333333333337</v>
      </c>
    </row>
    <row r="5" spans="1:19" ht="17.25" customHeight="1" thickBot="1">
      <c r="A5" s="117" t="s">
        <v>15</v>
      </c>
      <c r="B5" s="312" t="s">
        <v>374</v>
      </c>
      <c r="C5" s="313"/>
      <c r="D5" s="313"/>
      <c r="E5" s="313"/>
      <c r="F5" s="314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63,736 KRW (2.12%)</v>
      </c>
      <c r="H5" s="257"/>
      <c r="I5" s="258"/>
      <c r="J5" s="117" t="s">
        <v>15</v>
      </c>
      <c r="K5" s="312" t="s">
        <v>379</v>
      </c>
      <c r="L5" s="313"/>
      <c r="M5" s="313"/>
      <c r="N5" s="313"/>
      <c r="O5" s="314"/>
    </row>
    <row r="6" spans="1:19">
      <c r="A6" s="117" t="s">
        <v>18</v>
      </c>
      <c r="B6" s="312"/>
      <c r="C6" s="313"/>
      <c r="D6" s="313"/>
      <c r="E6" s="313"/>
      <c r="F6" s="314"/>
      <c r="G6" s="250" t="s">
        <v>45</v>
      </c>
      <c r="H6" s="251"/>
      <c r="I6" s="252"/>
      <c r="J6" s="117" t="s">
        <v>18</v>
      </c>
      <c r="K6" s="312" t="s">
        <v>380</v>
      </c>
      <c r="L6" s="313"/>
      <c r="M6" s="313"/>
      <c r="N6" s="313"/>
      <c r="O6" s="314"/>
    </row>
    <row r="7" spans="1:19" ht="17.25" thickBot="1">
      <c r="A7" s="117" t="s">
        <v>21</v>
      </c>
      <c r="B7" s="312"/>
      <c r="C7" s="313"/>
      <c r="D7" s="313"/>
      <c r="E7" s="313"/>
      <c r="F7" s="314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121,487 KRW (4.05%)</v>
      </c>
      <c r="H7" s="257"/>
      <c r="I7" s="258"/>
      <c r="J7" s="117" t="s">
        <v>21</v>
      </c>
      <c r="K7" s="312" t="s">
        <v>381</v>
      </c>
      <c r="L7" s="313"/>
      <c r="M7" s="313"/>
      <c r="N7" s="313"/>
      <c r="O7" s="314"/>
    </row>
    <row r="8" spans="1:19" ht="17.25" thickBot="1">
      <c r="A8" s="117" t="s">
        <v>24</v>
      </c>
      <c r="B8" s="312"/>
      <c r="C8" s="313"/>
      <c r="D8" s="313"/>
      <c r="E8" s="313"/>
      <c r="F8" s="314"/>
      <c r="G8" s="250" t="s">
        <v>285</v>
      </c>
      <c r="H8" s="251"/>
      <c r="I8" s="252"/>
      <c r="J8" s="117" t="s">
        <v>24</v>
      </c>
      <c r="K8" s="312"/>
      <c r="L8" s="313"/>
      <c r="M8" s="313"/>
      <c r="N8" s="313"/>
      <c r="O8" s="314"/>
      <c r="Q8" s="241" t="s">
        <v>27</v>
      </c>
      <c r="R8" s="243"/>
    </row>
    <row r="9" spans="1:19" ht="17.25" thickBot="1">
      <c r="A9" s="117" t="s">
        <v>28</v>
      </c>
      <c r="B9" s="312"/>
      <c r="C9" s="313"/>
      <c r="D9" s="313"/>
      <c r="E9" s="313"/>
      <c r="F9" s="314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55,930 KRW (1.86%)</v>
      </c>
      <c r="H9" s="257"/>
      <c r="I9" s="258"/>
      <c r="J9" s="117" t="s">
        <v>28</v>
      </c>
      <c r="K9" s="312"/>
      <c r="L9" s="313"/>
      <c r="M9" s="313"/>
      <c r="N9" s="313"/>
      <c r="O9" s="314"/>
      <c r="Q9" s="120" t="s">
        <v>29</v>
      </c>
      <c r="R9" s="199">
        <v>10</v>
      </c>
    </row>
    <row r="10" spans="1:19">
      <c r="A10" s="117" t="s">
        <v>30</v>
      </c>
      <c r="B10" s="312"/>
      <c r="C10" s="313"/>
      <c r="D10" s="313"/>
      <c r="E10" s="313"/>
      <c r="F10" s="314"/>
      <c r="G10" s="250" t="s">
        <v>47</v>
      </c>
      <c r="H10" s="251"/>
      <c r="I10" s="252"/>
      <c r="J10" s="117" t="s">
        <v>30</v>
      </c>
      <c r="K10" s="312" t="s">
        <v>382</v>
      </c>
      <c r="L10" s="313"/>
      <c r="M10" s="313"/>
      <c r="N10" s="313"/>
      <c r="O10" s="314"/>
      <c r="Q10" s="120" t="s">
        <v>31</v>
      </c>
      <c r="R10" s="199">
        <v>100</v>
      </c>
    </row>
    <row r="11" spans="1:19" ht="17.25" thickBot="1">
      <c r="A11" s="118" t="s">
        <v>32</v>
      </c>
      <c r="B11" s="309" t="s">
        <v>383</v>
      </c>
      <c r="C11" s="310"/>
      <c r="D11" s="310"/>
      <c r="E11" s="310"/>
      <c r="F11" s="31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55,845 KRW (1.86%)</v>
      </c>
      <c r="H11" s="257"/>
      <c r="I11" s="258"/>
      <c r="J11" s="118" t="s">
        <v>32</v>
      </c>
      <c r="K11" s="309" t="s">
        <v>373</v>
      </c>
      <c r="L11" s="310"/>
      <c r="M11" s="310"/>
      <c r="N11" s="310"/>
      <c r="O11" s="311"/>
      <c r="Q11" s="229" t="s">
        <v>33</v>
      </c>
      <c r="R11" s="200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225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62017000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-1.6680144000000001E-2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2021-05-14(금) 오전 00:00</v>
      </c>
      <c r="C15" s="308"/>
      <c r="D15" s="241" t="str">
        <f>TEXT($G$1, "[$-ko-KR]yyyy-mm-dd(ddd) ") &amp; "오후 14:00"</f>
        <v>2021-05-14(금) 오후 14:00</v>
      </c>
      <c r="E15" s="242"/>
      <c r="F15" s="243"/>
      <c r="G15" s="241" t="str">
        <f>TEXT($G$1, "[$-ko-KR]yyyy-mm-dd(ddd) ") &amp; "오후 19:00"</f>
        <v>2021-05-14(금) 오후 19:00</v>
      </c>
      <c r="H15" s="242"/>
      <c r="I15" s="243"/>
      <c r="J15" s="241" t="str">
        <f>TEXT($G$1, "[$-ko-KR]yyyy-mm-dd(ddd) ") &amp; "오후 21:00"</f>
        <v>2021-05-14(금) 오후 21:00</v>
      </c>
      <c r="K15" s="242"/>
      <c r="L15" s="243"/>
      <c r="M15" s="241" t="str">
        <f>TEXT($G$1+1, "[$-ko-KR]yyyy-mm-dd(ddd) ") &amp; "오전 00:00"</f>
        <v>2021-05-15(토) 오전 00:00</v>
      </c>
      <c r="N15" s="242"/>
      <c r="O15" s="243"/>
      <c r="Q15" s="262"/>
      <c r="R15" s="262"/>
      <c r="S15" s="262"/>
    </row>
    <row r="16" spans="1:19" ht="17.25" customHeight="1" thickBot="1">
      <c r="A16" s="306"/>
      <c r="B16" s="120" t="s">
        <v>37</v>
      </c>
      <c r="C16" s="121" t="s">
        <v>38</v>
      </c>
      <c r="D16" s="120" t="s">
        <v>37</v>
      </c>
      <c r="E16" s="121" t="s">
        <v>40</v>
      </c>
      <c r="F16" s="232" t="s">
        <v>41</v>
      </c>
      <c r="G16" s="225" t="s">
        <v>37</v>
      </c>
      <c r="H16" s="226" t="s">
        <v>40</v>
      </c>
      <c r="I16" s="227" t="s">
        <v>41</v>
      </c>
      <c r="J16" s="121" t="s">
        <v>37</v>
      </c>
      <c r="K16" s="121" t="s">
        <v>40</v>
      </c>
      <c r="L16" s="230" t="s">
        <v>41</v>
      </c>
      <c r="M16" s="120" t="s">
        <v>37</v>
      </c>
      <c r="N16" s="121" t="s">
        <v>40</v>
      </c>
      <c r="O16" s="231" t="s">
        <v>41</v>
      </c>
      <c r="Q16" s="267"/>
      <c r="R16" s="267"/>
      <c r="S16" s="267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4.4400000000000002E-2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4.2553191489361701E-2</v>
      </c>
      <c r="F17" s="140">
        <f>IF(NOT(ISBLANK(_xlfn.IFNA(VLOOKUP($A17, $A$40:$O$199, 6, FALSE), ))), _xlfn.IFNA(VLOOKUP($A17, $A$40:$O$199, 6, FALSE), ), "")</f>
        <v>6382.9787234042551</v>
      </c>
      <c r="G17" s="38">
        <f>IF(NOT(ISBLANK(_xlfn.IFNA(VLOOKUP($A17, $A$40:$O$199, 7, FALSE), ))), _xlfn.IFNA(VLOOKUP($A17, $A$40:$O$199, 7, FALSE), ), "")</f>
        <v>148</v>
      </c>
      <c r="H17" s="72">
        <f>IF(NOT(ISBLANK(_xlfn.IFNA(VLOOKUP($A17, $A$40:$O$199, 8, FALSE), ))), _xlfn.IFNA(VLOOKUP($A17, $A$40:$O$199, 8, FALSE), ), "")</f>
        <v>4.9645390070921988E-2</v>
      </c>
      <c r="I17" s="201">
        <f>IF(NOT(ISBLANK(_xlfn.IFNA(VLOOKUP($A17, $A$40:$O$199, 9, FALSE), ))), _xlfn.IFNA(VLOOKUP($A17, $A$40:$O$199, 9, FALSE), ), "")</f>
        <v>7446.8085106382978</v>
      </c>
      <c r="J17" s="123">
        <f>IF(NOT(ISBLANK(_xlfn.IFNA(VLOOKUP($A17, $A$40:$O$199, 10, FALSE), ))), _xlfn.IFNA(VLOOKUP($A17, $A$40:$O$199, 10, FALSE), ), "")</f>
        <v>146</v>
      </c>
      <c r="K17" s="72">
        <f>IF(NOT(ISBLANK(_xlfn.IFNA(VLOOKUP($A17, $A$40:$O$199, 11, FALSE), ))), _xlfn.IFNA(VLOOKUP($A17, $A$40:$O$199, 11, FALSE), ), "")</f>
        <v>3.5460992907801421E-2</v>
      </c>
      <c r="L17" s="140">
        <f>IF(NOT(ISBLANK(_xlfn.IFNA(VLOOKUP($A17, $A$40:$O$199, 12, FALSE), ))), _xlfn.IFNA(VLOOKUP($A17, $A$40:$O$199, 12, FALSE), ), "")</f>
        <v>5319.1489361702133</v>
      </c>
      <c r="M17" s="38">
        <f>IF(NOT(ISBLANK(_xlfn.IFNA(VLOOKUP($A17, $A$40:$O$199, 13, FALSE), ))), _xlfn.IFNA(VLOOKUP($A17, $A$40:$O$199, 13, FALSE), ), "")</f>
        <v>144</v>
      </c>
      <c r="N17" s="72">
        <f>IF(NOT(ISBLANK(_xlfn.IFNA(VLOOKUP($A17, $A$40:$O$199, 14, FALSE), ))), _xlfn.IFNA(VLOOKUP($A17, $A$40:$O$199, 14, FALSE), ), "")</f>
        <v>2.1276595744680851E-2</v>
      </c>
      <c r="O17" s="140">
        <f>IF(NOT(ISBLANK(_xlfn.IFNA(VLOOKUP($A17, $A$40:$O$199, 15, FALSE), ))), _xlfn.IFNA(VLOOKUP($A17, $A$40:$O$199, 15, FALSE), ), "")</f>
        <v>3191.4893617021276</v>
      </c>
      <c r="Q17" s="262"/>
      <c r="R17" s="262"/>
      <c r="S17" s="262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229</v>
      </c>
      <c r="C18" s="73">
        <f t="shared" ref="C18:C36" si="1">IF(NOT(ISBLANK(_xlfn.IFNA(VLOOKUP($A18, $A$40:$O$199, 3, FALSE), ))), _xlfn.IFNA(VLOOKUP($A18, $A$40:$O$199, 3, FALSE), ), "")</f>
        <v>8.0188679200000001E-2</v>
      </c>
      <c r="D18" s="125">
        <f t="shared" ref="D18:D36" si="2">IF(NOT(ISBLANK(_xlfn.IFNA(VLOOKUP($A18, $A$40:$O$199, 4, FALSE), ))), _xlfn.IFNA(VLOOKUP($A18, $A$40:$O$199, 4, FALSE), ), "")</f>
        <v>235</v>
      </c>
      <c r="E18" s="73">
        <f t="shared" ref="E18:E36" si="3">IF(NOT(ISBLANK(_xlfn.IFNA(VLOOKUP($A18, $A$40:$O$199, 5, FALSE), ))), _xlfn.IFNA(VLOOKUP($A18, $A$40:$O$199, 5, FALSE), ), "")</f>
        <v>2.6200873362445413E-2</v>
      </c>
      <c r="F18" s="136">
        <f t="shared" ref="F18:F36" si="4">IF(NOT(ISBLANK(_xlfn.IFNA(VLOOKUP($A18, $A$40:$O$199, 6, FALSE), ))), _xlfn.IFNA(VLOOKUP($A18, $A$40:$O$199, 6, FALSE), ), "")</f>
        <v>3930.1310043668122</v>
      </c>
      <c r="G18" s="39">
        <f t="shared" ref="G18:G36" si="5">IF(NOT(ISBLANK(_xlfn.IFNA(VLOOKUP($A18, $A$40:$O$199, 7, FALSE), ))), _xlfn.IFNA(VLOOKUP($A18, $A$40:$O$199, 7, FALSE), ), "")</f>
        <v>239</v>
      </c>
      <c r="H18" s="73">
        <f t="shared" ref="H18:H36" si="6">IF(NOT(ISBLANK(_xlfn.IFNA(VLOOKUP($A18, $A$40:$O$199, 8, FALSE), ))), _xlfn.IFNA(VLOOKUP($A18, $A$40:$O$199, 8, FALSE), ), "")</f>
        <v>4.3668122270742356E-2</v>
      </c>
      <c r="I18" s="202">
        <f t="shared" ref="I18:I36" si="7">IF(NOT(ISBLANK(_xlfn.IFNA(VLOOKUP($A18, $A$40:$O$199, 9, FALSE), ))), _xlfn.IFNA(VLOOKUP($A18, $A$40:$O$199, 9, FALSE), ), "")</f>
        <v>6550.2183406113536</v>
      </c>
      <c r="J18" s="125">
        <f t="shared" ref="J18:J36" si="8">IF(NOT(ISBLANK(_xlfn.IFNA(VLOOKUP($A18, $A$40:$O$199, 10, FALSE), ))), _xlfn.IFNA(VLOOKUP($A18, $A$40:$O$199, 10, FALSE), ), "")</f>
        <v>239</v>
      </c>
      <c r="K18" s="73">
        <f t="shared" ref="K18:K36" si="9">IF(NOT(ISBLANK(_xlfn.IFNA(VLOOKUP($A18, $A$40:$O$199, 11, FALSE), ))), _xlfn.IFNA(VLOOKUP($A18, $A$40:$O$199, 11, FALSE), ), "")</f>
        <v>4.3668122270742356E-2</v>
      </c>
      <c r="L18" s="136">
        <f t="shared" ref="L18:L36" si="10">IF(NOT(ISBLANK(_xlfn.IFNA(VLOOKUP($A18, $A$40:$O$199, 12, FALSE), ))), _xlfn.IFNA(VLOOKUP($A18, $A$40:$O$199, 12, FALSE), ), "")</f>
        <v>6550.2183406113536</v>
      </c>
      <c r="M18" s="39">
        <f t="shared" ref="M18:M36" si="11">IF(NOT(ISBLANK(_xlfn.IFNA(VLOOKUP($A18, $A$40:$O$199, 13, FALSE), ))), _xlfn.IFNA(VLOOKUP($A18, $A$40:$O$199, 13, FALSE), ), "")</f>
        <v>241</v>
      </c>
      <c r="N18" s="73">
        <f t="shared" ref="N18:N36" si="12">IF(NOT(ISBLANK(_xlfn.IFNA(VLOOKUP($A18, $A$40:$O$199, 14, FALSE), ))), _xlfn.IFNA(VLOOKUP($A18, $A$40:$O$199, 14, FALSE), ), "")</f>
        <v>5.2401746724890827E-2</v>
      </c>
      <c r="O18" s="136">
        <f t="shared" ref="O18:O36" si="13">IF(NOT(ISBLANK(_xlfn.IFNA(VLOOKUP($A18, $A$40:$O$199, 15, FALSE), ))), _xlfn.IFNA(VLOOKUP($A18, $A$40:$O$199, 15, FALSE), ), "")</f>
        <v>7860.2620087336245</v>
      </c>
      <c r="Q18" s="262"/>
      <c r="R18" s="262"/>
      <c r="S18" s="262"/>
    </row>
    <row r="19" spans="1:19" ht="17.25" customHeight="1" thickBot="1">
      <c r="A19" s="124" t="s">
        <v>120</v>
      </c>
      <c r="B19" s="125">
        <f t="shared" si="0"/>
        <v>199</v>
      </c>
      <c r="C19" s="73">
        <f t="shared" si="1"/>
        <v>5.8510638300000001E-2</v>
      </c>
      <c r="D19" s="125">
        <f t="shared" si="2"/>
        <v>198</v>
      </c>
      <c r="E19" s="73">
        <f t="shared" si="3"/>
        <v>-5.0251256281407036E-3</v>
      </c>
      <c r="F19" s="136">
        <f t="shared" si="4"/>
        <v>-753.7688442211055</v>
      </c>
      <c r="G19" s="39">
        <f t="shared" si="5"/>
        <v>201</v>
      </c>
      <c r="H19" s="73">
        <f t="shared" si="6"/>
        <v>1.0050251256281407E-2</v>
      </c>
      <c r="I19" s="202">
        <f t="shared" si="7"/>
        <v>1507.537688442211</v>
      </c>
      <c r="J19" s="125">
        <f t="shared" si="8"/>
        <v>204</v>
      </c>
      <c r="K19" s="73">
        <f t="shared" si="9"/>
        <v>2.5125628140703519E-2</v>
      </c>
      <c r="L19" s="136">
        <f t="shared" si="10"/>
        <v>3768.844221105528</v>
      </c>
      <c r="M19" s="39">
        <f t="shared" si="11"/>
        <v>204</v>
      </c>
      <c r="N19" s="73">
        <f t="shared" si="12"/>
        <v>2.5125628140703519E-2</v>
      </c>
      <c r="O19" s="136">
        <f t="shared" si="13"/>
        <v>3768.844221105528</v>
      </c>
      <c r="Q19" s="267"/>
      <c r="R19" s="267"/>
      <c r="S19" s="267"/>
    </row>
    <row r="20" spans="1:19" ht="17.25" customHeight="1" thickBot="1">
      <c r="A20" s="124" t="s">
        <v>264</v>
      </c>
      <c r="B20" s="125">
        <f t="shared" si="0"/>
        <v>147</v>
      </c>
      <c r="C20" s="73">
        <f t="shared" si="1"/>
        <v>4.2553191499999997E-2</v>
      </c>
      <c r="D20" s="125">
        <f t="shared" si="2"/>
        <v>147</v>
      </c>
      <c r="E20" s="73">
        <f t="shared" si="3"/>
        <v>0</v>
      </c>
      <c r="F20" s="136">
        <f t="shared" si="4"/>
        <v>0</v>
      </c>
      <c r="G20" s="39">
        <f t="shared" si="5"/>
        <v>149</v>
      </c>
      <c r="H20" s="73">
        <f t="shared" si="6"/>
        <v>1.3605442176870748E-2</v>
      </c>
      <c r="I20" s="202">
        <f t="shared" si="7"/>
        <v>2040.8163265306121</v>
      </c>
      <c r="J20" s="125">
        <f t="shared" si="8"/>
        <v>148</v>
      </c>
      <c r="K20" s="73">
        <f t="shared" si="9"/>
        <v>6.8027210884353739E-3</v>
      </c>
      <c r="L20" s="136">
        <f t="shared" si="10"/>
        <v>1020.408163265306</v>
      </c>
      <c r="M20" s="39">
        <f t="shared" si="11"/>
        <v>149</v>
      </c>
      <c r="N20" s="73">
        <f t="shared" si="12"/>
        <v>1.3605442176870748E-2</v>
      </c>
      <c r="O20" s="136">
        <f t="shared" si="13"/>
        <v>2040.8163265306121</v>
      </c>
      <c r="Q20" s="267"/>
      <c r="R20" s="267"/>
      <c r="S20" s="267"/>
    </row>
    <row r="21" spans="1:19" ht="17.25" customHeight="1" thickBot="1">
      <c r="A21" s="126" t="s">
        <v>230</v>
      </c>
      <c r="B21" s="127">
        <f t="shared" si="0"/>
        <v>145</v>
      </c>
      <c r="C21" s="74">
        <f t="shared" si="1"/>
        <v>6.6176470599999995E-2</v>
      </c>
      <c r="D21" s="127">
        <f t="shared" si="2"/>
        <v>150</v>
      </c>
      <c r="E21" s="74">
        <f t="shared" si="3"/>
        <v>3.4482758620689655E-2</v>
      </c>
      <c r="F21" s="203">
        <f t="shared" si="4"/>
        <v>5172.4137931034484</v>
      </c>
      <c r="G21" s="44">
        <f t="shared" si="5"/>
        <v>148</v>
      </c>
      <c r="H21" s="74">
        <f t="shared" si="6"/>
        <v>2.0689655172413793E-2</v>
      </c>
      <c r="I21" s="204">
        <f t="shared" si="7"/>
        <v>3103.4482758620688</v>
      </c>
      <c r="J21" s="127">
        <f t="shared" si="8"/>
        <v>147</v>
      </c>
      <c r="K21" s="74">
        <f t="shared" si="9"/>
        <v>1.3793103448275862E-2</v>
      </c>
      <c r="L21" s="203">
        <f t="shared" si="10"/>
        <v>2068.9655172413791</v>
      </c>
      <c r="M21" s="44">
        <f t="shared" si="11"/>
        <v>146</v>
      </c>
      <c r="N21" s="74">
        <f t="shared" si="12"/>
        <v>6.8965517241379309E-3</v>
      </c>
      <c r="O21" s="203">
        <f t="shared" si="13"/>
        <v>1034.4827586206895</v>
      </c>
      <c r="Q21" s="267"/>
      <c r="R21" s="267"/>
      <c r="S21" s="267"/>
    </row>
    <row r="22" spans="1:19" ht="17.25" customHeight="1" thickBot="1">
      <c r="A22" s="124" t="s">
        <v>282</v>
      </c>
      <c r="B22" s="128">
        <f t="shared" si="0"/>
        <v>149</v>
      </c>
      <c r="C22" s="76">
        <f t="shared" si="1"/>
        <v>2.75862069E-2</v>
      </c>
      <c r="D22" s="128">
        <f t="shared" si="2"/>
        <v>148</v>
      </c>
      <c r="E22" s="76">
        <f t="shared" si="3"/>
        <v>-6.7114093959731542E-3</v>
      </c>
      <c r="F22" s="205">
        <f t="shared" si="4"/>
        <v>-1006.7114093959731</v>
      </c>
      <c r="G22" s="45">
        <f t="shared" si="5"/>
        <v>150</v>
      </c>
      <c r="H22" s="76">
        <f t="shared" si="6"/>
        <v>6.7114093959731542E-3</v>
      </c>
      <c r="I22" s="206">
        <f t="shared" si="7"/>
        <v>1006.7114093959731</v>
      </c>
      <c r="J22" s="128">
        <f t="shared" si="8"/>
        <v>150</v>
      </c>
      <c r="K22" s="76">
        <f t="shared" si="9"/>
        <v>6.7114093959731542E-3</v>
      </c>
      <c r="L22" s="205">
        <f t="shared" si="10"/>
        <v>1006.7114093959731</v>
      </c>
      <c r="M22" s="45">
        <f t="shared" si="11"/>
        <v>149</v>
      </c>
      <c r="N22" s="76">
        <f t="shared" si="12"/>
        <v>0</v>
      </c>
      <c r="O22" s="205">
        <f t="shared" si="13"/>
        <v>0</v>
      </c>
      <c r="Q22" s="267"/>
      <c r="R22" s="267"/>
      <c r="S22" s="267"/>
    </row>
    <row r="23" spans="1:19" ht="17.25" customHeight="1" thickBot="1">
      <c r="A23" s="124" t="s">
        <v>240</v>
      </c>
      <c r="B23" s="125">
        <f t="shared" si="0"/>
        <v>149</v>
      </c>
      <c r="C23" s="73">
        <f t="shared" si="1"/>
        <v>5.6737588700000001E-2</v>
      </c>
      <c r="D23" s="125">
        <f t="shared" si="2"/>
        <v>165</v>
      </c>
      <c r="E23" s="73">
        <f t="shared" si="3"/>
        <v>0.10738255033557047</v>
      </c>
      <c r="F23" s="136">
        <f t="shared" si="4"/>
        <v>16107.382550335569</v>
      </c>
      <c r="G23" s="39">
        <f t="shared" si="5"/>
        <v>161</v>
      </c>
      <c r="H23" s="73">
        <f t="shared" si="6"/>
        <v>8.0536912751677847E-2</v>
      </c>
      <c r="I23" s="202">
        <f t="shared" si="7"/>
        <v>12080.536912751677</v>
      </c>
      <c r="J23" s="125">
        <f t="shared" si="8"/>
        <v>163</v>
      </c>
      <c r="K23" s="73">
        <f t="shared" si="9"/>
        <v>9.3959731543624164E-2</v>
      </c>
      <c r="L23" s="136">
        <f t="shared" si="10"/>
        <v>14093.959731543624</v>
      </c>
      <c r="M23" s="39">
        <f t="shared" si="11"/>
        <v>159</v>
      </c>
      <c r="N23" s="73">
        <f t="shared" si="12"/>
        <v>6.7114093959731544E-2</v>
      </c>
      <c r="O23" s="136">
        <f t="shared" si="13"/>
        <v>10067.114093959732</v>
      </c>
      <c r="Q23" s="267"/>
      <c r="R23" s="267"/>
      <c r="S23" s="267"/>
    </row>
    <row r="24" spans="1:19" ht="17.25" customHeight="1" thickBot="1">
      <c r="A24" s="124" t="s">
        <v>246</v>
      </c>
      <c r="B24" s="125">
        <f t="shared" si="0"/>
        <v>317</v>
      </c>
      <c r="C24" s="73">
        <f t="shared" si="1"/>
        <v>4.6204620500000002E-2</v>
      </c>
      <c r="D24" s="125">
        <f t="shared" si="2"/>
        <v>324</v>
      </c>
      <c r="E24" s="73">
        <f t="shared" si="3"/>
        <v>2.2082018927444796E-2</v>
      </c>
      <c r="F24" s="136">
        <f t="shared" si="4"/>
        <v>3312.3028391167195</v>
      </c>
      <c r="G24" s="39">
        <f t="shared" si="5"/>
        <v>323</v>
      </c>
      <c r="H24" s="73">
        <f t="shared" si="6"/>
        <v>1.8927444794952682E-2</v>
      </c>
      <c r="I24" s="202">
        <f t="shared" si="7"/>
        <v>2839.116719242902</v>
      </c>
      <c r="J24" s="125">
        <f t="shared" si="8"/>
        <v>323</v>
      </c>
      <c r="K24" s="73">
        <f t="shared" si="9"/>
        <v>1.8927444794952682E-2</v>
      </c>
      <c r="L24" s="136">
        <f t="shared" si="10"/>
        <v>2839.116719242902</v>
      </c>
      <c r="M24" s="39">
        <f t="shared" si="11"/>
        <v>322</v>
      </c>
      <c r="N24" s="73">
        <f t="shared" si="12"/>
        <v>1.5772870662460567E-2</v>
      </c>
      <c r="O24" s="136">
        <f t="shared" si="13"/>
        <v>2365.930599369085</v>
      </c>
      <c r="Q24" s="267"/>
      <c r="R24" s="267"/>
      <c r="S24" s="267"/>
    </row>
    <row r="25" spans="1:19" ht="17.25" customHeight="1" thickBot="1">
      <c r="A25" s="124" t="s">
        <v>200</v>
      </c>
      <c r="B25" s="125">
        <f t="shared" si="0"/>
        <v>300</v>
      </c>
      <c r="C25" s="73">
        <f t="shared" si="1"/>
        <v>2.0408163300000001E-2</v>
      </c>
      <c r="D25" s="125">
        <f t="shared" si="2"/>
        <v>302</v>
      </c>
      <c r="E25" s="73">
        <f t="shared" si="3"/>
        <v>6.6666666666666671E-3</v>
      </c>
      <c r="F25" s="136">
        <f t="shared" si="4"/>
        <v>1000.0000000000001</v>
      </c>
      <c r="G25" s="39">
        <f t="shared" si="5"/>
        <v>305</v>
      </c>
      <c r="H25" s="73">
        <f t="shared" si="6"/>
        <v>1.6666666666666666E-2</v>
      </c>
      <c r="I25" s="202">
        <f t="shared" si="7"/>
        <v>2500</v>
      </c>
      <c r="J25" s="125">
        <f t="shared" si="8"/>
        <v>305</v>
      </c>
      <c r="K25" s="73">
        <f t="shared" si="9"/>
        <v>1.6666666666666666E-2</v>
      </c>
      <c r="L25" s="136">
        <f t="shared" si="10"/>
        <v>2500</v>
      </c>
      <c r="M25" s="39">
        <f t="shared" si="11"/>
        <v>305</v>
      </c>
      <c r="N25" s="73">
        <f t="shared" si="12"/>
        <v>1.6666666666666666E-2</v>
      </c>
      <c r="O25" s="136">
        <f t="shared" si="13"/>
        <v>2500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144</v>
      </c>
      <c r="C26" s="75">
        <f t="shared" si="1"/>
        <v>2.85714286E-2</v>
      </c>
      <c r="D26" s="130">
        <f t="shared" si="2"/>
        <v>149</v>
      </c>
      <c r="E26" s="75">
        <f t="shared" si="3"/>
        <v>3.4722222222222224E-2</v>
      </c>
      <c r="F26" s="137">
        <f t="shared" si="4"/>
        <v>5208.3333333333339</v>
      </c>
      <c r="G26" s="37">
        <f t="shared" si="5"/>
        <v>151</v>
      </c>
      <c r="H26" s="75">
        <f t="shared" si="6"/>
        <v>4.8611111111111112E-2</v>
      </c>
      <c r="I26" s="207">
        <f t="shared" si="7"/>
        <v>7291.666666666667</v>
      </c>
      <c r="J26" s="130">
        <f t="shared" si="8"/>
        <v>150</v>
      </c>
      <c r="K26" s="75">
        <f t="shared" si="9"/>
        <v>4.1666666666666664E-2</v>
      </c>
      <c r="L26" s="137">
        <f t="shared" si="10"/>
        <v>6250</v>
      </c>
      <c r="M26" s="37">
        <f t="shared" si="11"/>
        <v>150</v>
      </c>
      <c r="N26" s="75">
        <f t="shared" si="12"/>
        <v>4.1666666666666664E-2</v>
      </c>
      <c r="O26" s="137">
        <f t="shared" si="13"/>
        <v>6250</v>
      </c>
      <c r="Q26" s="276"/>
      <c r="R26" s="277"/>
      <c r="S26" s="278"/>
    </row>
    <row r="27" spans="1:19" ht="17.25" customHeight="1">
      <c r="A27" s="122" t="s">
        <v>174</v>
      </c>
      <c r="B27" s="123">
        <f t="shared" si="0"/>
        <v>243</v>
      </c>
      <c r="C27" s="72">
        <f t="shared" si="1"/>
        <v>6.1135371199999997E-2</v>
      </c>
      <c r="D27" s="123">
        <f t="shared" si="2"/>
        <v>254</v>
      </c>
      <c r="E27" s="72">
        <f t="shared" si="3"/>
        <v>4.5267489711934158E-2</v>
      </c>
      <c r="F27" s="140">
        <f t="shared" si="4"/>
        <v>6790.1234567901238</v>
      </c>
      <c r="G27" s="38">
        <f t="shared" si="5"/>
        <v>257</v>
      </c>
      <c r="H27" s="72">
        <f t="shared" si="6"/>
        <v>5.7613168724279837E-2</v>
      </c>
      <c r="I27" s="201">
        <f t="shared" si="7"/>
        <v>8641.9753086419751</v>
      </c>
      <c r="J27" s="123">
        <f t="shared" si="8"/>
        <v>252</v>
      </c>
      <c r="K27" s="72">
        <f t="shared" si="9"/>
        <v>3.7037037037037035E-2</v>
      </c>
      <c r="L27" s="140">
        <f t="shared" si="10"/>
        <v>5555.5555555555557</v>
      </c>
      <c r="M27" s="38">
        <f t="shared" si="11"/>
        <v>252</v>
      </c>
      <c r="N27" s="72">
        <f t="shared" si="12"/>
        <v>3.7037037037037035E-2</v>
      </c>
      <c r="O27" s="140">
        <f t="shared" si="13"/>
        <v>5555.5555555555557</v>
      </c>
      <c r="Q27" s="279"/>
      <c r="R27" s="280"/>
      <c r="S27" s="281"/>
    </row>
    <row r="28" spans="1:19" ht="17.25" customHeight="1" thickBot="1">
      <c r="A28" s="124" t="s">
        <v>112</v>
      </c>
      <c r="B28" s="125">
        <f t="shared" si="0"/>
        <v>227</v>
      </c>
      <c r="C28" s="73">
        <f t="shared" si="1"/>
        <v>2.7149321300000001E-2</v>
      </c>
      <c r="D28" s="125">
        <f t="shared" si="2"/>
        <v>232</v>
      </c>
      <c r="E28" s="73">
        <f t="shared" si="3"/>
        <v>2.2026431718061675E-2</v>
      </c>
      <c r="F28" s="136">
        <f t="shared" si="4"/>
        <v>3303.9647577092514</v>
      </c>
      <c r="G28" s="39">
        <f t="shared" si="5"/>
        <v>231</v>
      </c>
      <c r="H28" s="73">
        <f t="shared" si="6"/>
        <v>1.7621145374449341E-2</v>
      </c>
      <c r="I28" s="202">
        <f t="shared" si="7"/>
        <v>2643.171806167401</v>
      </c>
      <c r="J28" s="125">
        <f t="shared" si="8"/>
        <v>232</v>
      </c>
      <c r="K28" s="73">
        <f t="shared" si="9"/>
        <v>2.2026431718061675E-2</v>
      </c>
      <c r="L28" s="136">
        <f t="shared" si="10"/>
        <v>3303.9647577092514</v>
      </c>
      <c r="M28" s="39">
        <f t="shared" si="11"/>
        <v>230</v>
      </c>
      <c r="N28" s="73">
        <f t="shared" si="12"/>
        <v>1.3215859030837005E-2</v>
      </c>
      <c r="O28" s="136">
        <f t="shared" si="13"/>
        <v>1982.3788546255507</v>
      </c>
      <c r="Q28" s="282"/>
      <c r="R28" s="283"/>
      <c r="S28" s="284"/>
    </row>
    <row r="29" spans="1:19" ht="17.25" customHeight="1" thickBot="1">
      <c r="A29" s="124" t="s">
        <v>260</v>
      </c>
      <c r="B29" s="125">
        <f t="shared" si="0"/>
        <v>115</v>
      </c>
      <c r="C29" s="73">
        <f t="shared" si="1"/>
        <v>6.4814814799999995E-2</v>
      </c>
      <c r="D29" s="125">
        <f t="shared" si="2"/>
        <v>119</v>
      </c>
      <c r="E29" s="73">
        <f t="shared" si="3"/>
        <v>3.4782608695652174E-2</v>
      </c>
      <c r="F29" s="136">
        <f t="shared" si="4"/>
        <v>5217.391304347826</v>
      </c>
      <c r="G29" s="39">
        <f t="shared" si="5"/>
        <v>124</v>
      </c>
      <c r="H29" s="73">
        <f t="shared" si="6"/>
        <v>7.8260869565217397E-2</v>
      </c>
      <c r="I29" s="202">
        <f t="shared" si="7"/>
        <v>11739.13043478261</v>
      </c>
      <c r="J29" s="125">
        <f t="shared" si="8"/>
        <v>123</v>
      </c>
      <c r="K29" s="73">
        <f t="shared" si="9"/>
        <v>6.9565217391304349E-2</v>
      </c>
      <c r="L29" s="136">
        <f t="shared" si="10"/>
        <v>10434.782608695652</v>
      </c>
      <c r="M29" s="39">
        <f t="shared" si="11"/>
        <v>123</v>
      </c>
      <c r="N29" s="73">
        <f t="shared" si="12"/>
        <v>6.9565217391304349E-2</v>
      </c>
      <c r="O29" s="136">
        <f t="shared" si="13"/>
        <v>10434.782608695652</v>
      </c>
      <c r="Q29" s="267"/>
      <c r="R29" s="267"/>
      <c r="S29" s="267"/>
    </row>
    <row r="30" spans="1:19" ht="17.25" customHeight="1" thickBot="1">
      <c r="A30" s="124" t="s">
        <v>122</v>
      </c>
      <c r="B30" s="125">
        <f t="shared" si="0"/>
        <v>106</v>
      </c>
      <c r="C30" s="73">
        <f t="shared" si="1"/>
        <v>8.49539406E-2</v>
      </c>
      <c r="D30" s="125">
        <f t="shared" si="2"/>
        <v>103</v>
      </c>
      <c r="E30" s="73">
        <f t="shared" si="3"/>
        <v>-2.8301886792452831E-2</v>
      </c>
      <c r="F30" s="136">
        <f t="shared" si="4"/>
        <v>-4245.2830188679245</v>
      </c>
      <c r="G30" s="39">
        <f t="shared" si="5"/>
        <v>104</v>
      </c>
      <c r="H30" s="73">
        <f t="shared" si="6"/>
        <v>-1.8867924528301886E-2</v>
      </c>
      <c r="I30" s="202">
        <f t="shared" si="7"/>
        <v>-2830.1886792452829</v>
      </c>
      <c r="J30" s="125">
        <f t="shared" si="8"/>
        <v>104</v>
      </c>
      <c r="K30" s="73">
        <f t="shared" si="9"/>
        <v>-1.8867924528301886E-2</v>
      </c>
      <c r="L30" s="136">
        <f t="shared" si="10"/>
        <v>-2830.1886792452829</v>
      </c>
      <c r="M30" s="39">
        <f t="shared" si="11"/>
        <v>104</v>
      </c>
      <c r="N30" s="73">
        <f t="shared" si="12"/>
        <v>-1.8867924528301886E-2</v>
      </c>
      <c r="O30" s="136">
        <f t="shared" si="13"/>
        <v>-2830.1886792452829</v>
      </c>
      <c r="Q30" s="262"/>
      <c r="R30" s="262"/>
      <c r="S30" s="262"/>
    </row>
    <row r="31" spans="1:19" ht="17.25" customHeight="1" thickBot="1">
      <c r="A31" s="126" t="s">
        <v>202</v>
      </c>
      <c r="B31" s="127">
        <f t="shared" si="0"/>
        <v>165</v>
      </c>
      <c r="C31" s="74">
        <f t="shared" si="1"/>
        <v>4.4303797499999999E-2</v>
      </c>
      <c r="D31" s="127">
        <f t="shared" si="2"/>
        <v>166</v>
      </c>
      <c r="E31" s="74">
        <f t="shared" si="3"/>
        <v>6.0606060606060606E-3</v>
      </c>
      <c r="F31" s="203">
        <f t="shared" si="4"/>
        <v>909.09090909090912</v>
      </c>
      <c r="G31" s="44">
        <f t="shared" si="5"/>
        <v>168</v>
      </c>
      <c r="H31" s="74">
        <f t="shared" si="6"/>
        <v>1.8181818181818181E-2</v>
      </c>
      <c r="I31" s="204">
        <f t="shared" si="7"/>
        <v>2727.272727272727</v>
      </c>
      <c r="J31" s="127">
        <f t="shared" si="8"/>
        <v>168</v>
      </c>
      <c r="K31" s="74">
        <f t="shared" si="9"/>
        <v>1.8181818181818181E-2</v>
      </c>
      <c r="L31" s="203">
        <f t="shared" si="10"/>
        <v>2727.272727272727</v>
      </c>
      <c r="M31" s="44">
        <f t="shared" si="11"/>
        <v>166</v>
      </c>
      <c r="N31" s="74">
        <f t="shared" si="12"/>
        <v>6.0606060606060606E-3</v>
      </c>
      <c r="O31" s="203">
        <f t="shared" si="13"/>
        <v>909.09090909090912</v>
      </c>
      <c r="Q31" s="262"/>
      <c r="R31" s="262"/>
      <c r="S31" s="262"/>
    </row>
    <row r="32" spans="1:19" ht="17.25" customHeight="1" thickBot="1">
      <c r="A32" s="124" t="s">
        <v>238</v>
      </c>
      <c r="B32" s="128">
        <f t="shared" si="0"/>
        <v>245</v>
      </c>
      <c r="C32" s="76">
        <f t="shared" si="1"/>
        <v>4.7008546999999998E-2</v>
      </c>
      <c r="D32" s="128">
        <f t="shared" si="2"/>
        <v>242</v>
      </c>
      <c r="E32" s="76">
        <f t="shared" si="3"/>
        <v>-1.2244897959183673E-2</v>
      </c>
      <c r="F32" s="205">
        <f t="shared" si="4"/>
        <v>-1836.7346938775509</v>
      </c>
      <c r="G32" s="45">
        <f t="shared" si="5"/>
        <v>242</v>
      </c>
      <c r="H32" s="76">
        <f t="shared" si="6"/>
        <v>-1.2244897959183673E-2</v>
      </c>
      <c r="I32" s="206">
        <f t="shared" si="7"/>
        <v>-1836.7346938775509</v>
      </c>
      <c r="J32" s="128">
        <f t="shared" si="8"/>
        <v>243</v>
      </c>
      <c r="K32" s="76">
        <f t="shared" si="9"/>
        <v>-8.1632653061224497E-3</v>
      </c>
      <c r="L32" s="205">
        <f t="shared" si="10"/>
        <v>-1224.4897959183675</v>
      </c>
      <c r="M32" s="45">
        <f t="shared" si="11"/>
        <v>242</v>
      </c>
      <c r="N32" s="76">
        <f t="shared" si="12"/>
        <v>-1.2244897959183673E-2</v>
      </c>
      <c r="O32" s="205">
        <f t="shared" si="13"/>
        <v>-1836.7346938775509</v>
      </c>
      <c r="Q32" s="267"/>
      <c r="R32" s="267"/>
      <c r="S32" s="267"/>
    </row>
    <row r="33" spans="1:19" ht="17.25" customHeight="1" thickBot="1">
      <c r="A33" s="124" t="s">
        <v>210</v>
      </c>
      <c r="B33" s="125">
        <f t="shared" si="0"/>
        <v>164</v>
      </c>
      <c r="C33" s="73">
        <f t="shared" si="1"/>
        <v>3.7974683500000002E-2</v>
      </c>
      <c r="D33" s="125">
        <f t="shared" si="2"/>
        <v>163</v>
      </c>
      <c r="E33" s="73">
        <f t="shared" si="3"/>
        <v>-6.0975609756097563E-3</v>
      </c>
      <c r="F33" s="136">
        <f t="shared" si="4"/>
        <v>-914.63414634146341</v>
      </c>
      <c r="G33" s="39">
        <f t="shared" si="5"/>
        <v>166</v>
      </c>
      <c r="H33" s="73">
        <f t="shared" si="6"/>
        <v>1.2195121951219513E-2</v>
      </c>
      <c r="I33" s="202">
        <f t="shared" si="7"/>
        <v>1829.2682926829268</v>
      </c>
      <c r="J33" s="125">
        <f t="shared" si="8"/>
        <v>165</v>
      </c>
      <c r="K33" s="73">
        <f t="shared" si="9"/>
        <v>6.0975609756097563E-3</v>
      </c>
      <c r="L33" s="136">
        <f t="shared" si="10"/>
        <v>914.63414634146341</v>
      </c>
      <c r="M33" s="39">
        <f t="shared" si="11"/>
        <v>165</v>
      </c>
      <c r="N33" s="73">
        <f t="shared" si="12"/>
        <v>6.0975609756097563E-3</v>
      </c>
      <c r="O33" s="136">
        <f t="shared" si="13"/>
        <v>914.63414634146341</v>
      </c>
      <c r="Q33" s="267"/>
      <c r="R33" s="267"/>
      <c r="S33" s="267"/>
    </row>
    <row r="34" spans="1:19" ht="17.25" customHeight="1" thickBot="1">
      <c r="A34" s="124" t="s">
        <v>212</v>
      </c>
      <c r="B34" s="125">
        <f t="shared" si="0"/>
        <v>123</v>
      </c>
      <c r="C34" s="73">
        <f t="shared" si="1"/>
        <v>2.5000000000000001E-2</v>
      </c>
      <c r="D34" s="125">
        <f t="shared" si="2"/>
        <v>124</v>
      </c>
      <c r="E34" s="73">
        <f t="shared" si="3"/>
        <v>8.130081300813009E-3</v>
      </c>
      <c r="F34" s="136">
        <f t="shared" si="4"/>
        <v>1219.5121951219514</v>
      </c>
      <c r="G34" s="39">
        <f t="shared" si="5"/>
        <v>126</v>
      </c>
      <c r="H34" s="73">
        <f t="shared" si="6"/>
        <v>2.4390243902439025E-2</v>
      </c>
      <c r="I34" s="202">
        <f t="shared" si="7"/>
        <v>3658.5365853658536</v>
      </c>
      <c r="J34" s="125">
        <f t="shared" si="8"/>
        <v>126</v>
      </c>
      <c r="K34" s="73">
        <f t="shared" si="9"/>
        <v>2.4390243902439025E-2</v>
      </c>
      <c r="L34" s="136">
        <f t="shared" si="10"/>
        <v>3658.5365853658536</v>
      </c>
      <c r="M34" s="39">
        <f t="shared" si="11"/>
        <v>127</v>
      </c>
      <c r="N34" s="73">
        <f t="shared" si="12"/>
        <v>3.2520325203252036E-2</v>
      </c>
      <c r="O34" s="136">
        <f t="shared" si="13"/>
        <v>4878.0487804878057</v>
      </c>
      <c r="Q34" s="267"/>
      <c r="R34" s="267"/>
      <c r="S34" s="267"/>
    </row>
    <row r="35" spans="1:19" ht="17.25" customHeight="1">
      <c r="A35" s="124" t="s">
        <v>226</v>
      </c>
      <c r="B35" s="125">
        <f t="shared" si="0"/>
        <v>422</v>
      </c>
      <c r="C35" s="73">
        <f t="shared" si="1"/>
        <v>4.4600000000000001E-2</v>
      </c>
      <c r="D35" s="125">
        <f t="shared" si="2"/>
        <v>427</v>
      </c>
      <c r="E35" s="73">
        <f t="shared" si="3"/>
        <v>1.1848341232227487E-2</v>
      </c>
      <c r="F35" s="136">
        <f t="shared" si="4"/>
        <v>1777.251184834123</v>
      </c>
      <c r="G35" s="39">
        <f t="shared" si="5"/>
        <v>433</v>
      </c>
      <c r="H35" s="73">
        <f t="shared" si="6"/>
        <v>2.6066350710900472E-2</v>
      </c>
      <c r="I35" s="202">
        <f t="shared" si="7"/>
        <v>3909.9526066350709</v>
      </c>
      <c r="J35" s="125">
        <f t="shared" si="8"/>
        <v>430</v>
      </c>
      <c r="K35" s="73">
        <f t="shared" si="9"/>
        <v>1.8957345971563982E-2</v>
      </c>
      <c r="L35" s="136">
        <f t="shared" si="10"/>
        <v>2843.6018957345973</v>
      </c>
      <c r="M35" s="39">
        <f t="shared" si="11"/>
        <v>431</v>
      </c>
      <c r="N35" s="73">
        <f t="shared" si="12"/>
        <v>2.132701421800948E-2</v>
      </c>
      <c r="O35" s="136">
        <f t="shared" si="13"/>
        <v>3199.0521327014221</v>
      </c>
      <c r="Q35" s="289"/>
      <c r="R35" s="290"/>
      <c r="S35" s="291"/>
    </row>
    <row r="36" spans="1:19" ht="17.25" customHeight="1" thickBot="1">
      <c r="A36" s="129" t="s">
        <v>236</v>
      </c>
      <c r="B36" s="130">
        <f t="shared" si="0"/>
        <v>72.2</v>
      </c>
      <c r="C36" s="75">
        <f t="shared" si="1"/>
        <v>-2.82637954E-2</v>
      </c>
      <c r="D36" s="130">
        <f t="shared" si="2"/>
        <v>69</v>
      </c>
      <c r="E36" s="75">
        <f t="shared" si="3"/>
        <v>-4.4321329639889231E-2</v>
      </c>
      <c r="F36" s="137">
        <f t="shared" si="4"/>
        <v>-6648.199445983385</v>
      </c>
      <c r="G36" s="37">
        <f t="shared" si="5"/>
        <v>68.900000000000006</v>
      </c>
      <c r="H36" s="75">
        <f t="shared" si="6"/>
        <v>-4.5706371191135693E-2</v>
      </c>
      <c r="I36" s="207">
        <f t="shared" si="7"/>
        <v>-6855.9556786703542</v>
      </c>
      <c r="J36" s="130">
        <f t="shared" si="8"/>
        <v>69.099999999999994</v>
      </c>
      <c r="K36" s="75">
        <f t="shared" si="9"/>
        <v>-4.2936288088642777E-2</v>
      </c>
      <c r="L36" s="137">
        <f t="shared" si="10"/>
        <v>-6440.4432132964166</v>
      </c>
      <c r="M36" s="37">
        <f t="shared" si="11"/>
        <v>69.099999999999994</v>
      </c>
      <c r="N36" s="75">
        <f t="shared" si="12"/>
        <v>-4.2936288088642777E-2</v>
      </c>
      <c r="O36" s="137">
        <f t="shared" si="13"/>
        <v>-6440.4432132964166</v>
      </c>
      <c r="Q36" s="292"/>
      <c r="R36" s="293"/>
      <c r="S36" s="294"/>
    </row>
    <row r="37" spans="1:19" ht="17.25" customHeight="1" thickBot="1">
      <c r="A37" s="131" t="s">
        <v>42</v>
      </c>
      <c r="B37" s="300">
        <v>150000</v>
      </c>
      <c r="C37" s="301"/>
      <c r="D37" s="131" t="s">
        <v>43</v>
      </c>
      <c r="E37" s="228">
        <f>IF(COUNT(E17:E36), SUM(E17:E36) / COUNT(E17:E36), 0)</f>
        <v>1.4975181497622309E-2</v>
      </c>
      <c r="F37" s="208">
        <f>SUM(F17:F36)</f>
        <v>44925.544492866924</v>
      </c>
      <c r="G37" s="131" t="s">
        <v>43</v>
      </c>
      <c r="H37" s="228">
        <f>IF(COUNT(H17:H36), SUM(H17:H36) / COUNT(H17:H36), 0)</f>
        <v>2.3331096519965719E-2</v>
      </c>
      <c r="I37" s="208">
        <f>SUM(I17:I36)</f>
        <v>69993.289559897123</v>
      </c>
      <c r="J37" s="131" t="s">
        <v>43</v>
      </c>
      <c r="K37" s="228">
        <f>IF(COUNT(K17:K36), SUM(K17:K36) / COUNT(K17:K36), 0)</f>
        <v>2.1453533208930436E-2</v>
      </c>
      <c r="L37" s="208">
        <f>SUM(L17:L36)</f>
        <v>64360.599626791314</v>
      </c>
      <c r="M37" s="131" t="s">
        <v>43</v>
      </c>
      <c r="N37" s="228">
        <f>IF(COUNT(N17:N36), SUM(N17:N36) / COUNT(N17:N36), 0)</f>
        <v>1.8615038590366832E-2</v>
      </c>
      <c r="O37" s="208">
        <f>SUM(O17:O36)</f>
        <v>55845.115771100514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225" t="s">
        <v>298</v>
      </c>
      <c r="B41" s="241" t="s">
        <v>36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62017000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-1.6680144000000001E-2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2021-05-14(금) 오전 00:00</v>
      </c>
      <c r="C42" s="305"/>
      <c r="D42" s="241" t="str">
        <f>TEXT($G$1, "[$-ko-KR]yyyy-mm-dd(ddd) ") &amp; "오후 14:00"</f>
        <v>2021-05-14(금) 오후 14:00</v>
      </c>
      <c r="E42" s="242"/>
      <c r="F42" s="243"/>
      <c r="G42" s="241" t="str">
        <f>TEXT($G$1, "[$-ko-KR]yyyy-mm-dd(ddd) ") &amp; "오후 19:00"</f>
        <v>2021-05-14(금) 오후 19:00</v>
      </c>
      <c r="H42" s="242"/>
      <c r="I42" s="243"/>
      <c r="J42" s="241" t="str">
        <f>TEXT($G$1, "[$-ko-KR]yyyy-mm-dd(ddd) ") &amp; "오후 21:00"</f>
        <v>2021-05-14(금) 오후 21:00</v>
      </c>
      <c r="K42" s="242"/>
      <c r="L42" s="243"/>
      <c r="M42" s="241" t="str">
        <f>TEXT($G$1+1, "[$-ko-KR]yyyy-mm-dd(ddd) ") &amp; "오전 00:00"</f>
        <v>2021-05-15(토) 오전 00:00</v>
      </c>
      <c r="N42" s="242"/>
      <c r="O42" s="243"/>
      <c r="Q42" s="262"/>
      <c r="R42" s="262"/>
      <c r="S42" s="262"/>
    </row>
    <row r="43" spans="1:19" ht="17.25" customHeight="1" thickBot="1">
      <c r="A43" s="303"/>
      <c r="B43" s="120" t="s">
        <v>58</v>
      </c>
      <c r="C43" s="121" t="s">
        <v>59</v>
      </c>
      <c r="D43" s="120" t="s">
        <v>58</v>
      </c>
      <c r="E43" s="121" t="s">
        <v>299</v>
      </c>
      <c r="F43" s="232" t="s">
        <v>300</v>
      </c>
      <c r="G43" s="225" t="s">
        <v>58</v>
      </c>
      <c r="H43" s="226" t="s">
        <v>299</v>
      </c>
      <c r="I43" s="227" t="s">
        <v>300</v>
      </c>
      <c r="J43" s="121" t="s">
        <v>58</v>
      </c>
      <c r="K43" s="121" t="s">
        <v>299</v>
      </c>
      <c r="L43" s="230" t="s">
        <v>300</v>
      </c>
      <c r="M43" s="120" t="s">
        <v>58</v>
      </c>
      <c r="N43" s="121" t="s">
        <v>299</v>
      </c>
      <c r="O43" s="231" t="s">
        <v>300</v>
      </c>
      <c r="Q43" s="267"/>
      <c r="R43" s="267"/>
      <c r="S43" s="267"/>
    </row>
    <row r="44" spans="1:19" ht="17.25" customHeight="1" thickBot="1">
      <c r="A44" s="122" t="s">
        <v>220</v>
      </c>
      <c r="B44" s="123">
        <v>16.899999999999999</v>
      </c>
      <c r="C44" s="72">
        <v>8.3333333300000006E-2</v>
      </c>
      <c r="D44" s="123">
        <v>18.399999999999999</v>
      </c>
      <c r="E44" s="72">
        <f>IF(ISNUMBER(D44), (D44 - $B44) / $B44, "")</f>
        <v>8.8757396449704151E-2</v>
      </c>
      <c r="F44" s="140">
        <f>IF(ISNUMBER(D44), $B64 * E44, "")</f>
        <v>13313.609467455623</v>
      </c>
      <c r="G44" s="38">
        <v>18</v>
      </c>
      <c r="H44" s="72">
        <f>IF(ISNUMBER(G44), (G44 - $B44) / $B44, "")</f>
        <v>6.5088757396449801E-2</v>
      </c>
      <c r="I44" s="201">
        <f>IF(ISNUMBER(G44), $B64 * H44, "")</f>
        <v>9763.3136094674701</v>
      </c>
      <c r="J44" s="123">
        <v>18</v>
      </c>
      <c r="K44" s="72">
        <f>IF(ISNUMBER(J44), (J44 - $B44) / $B44, "")</f>
        <v>6.5088757396449801E-2</v>
      </c>
      <c r="L44" s="140">
        <f>IF(ISNUMBER(J44), $B64 * K44, "")</f>
        <v>9763.3136094674701</v>
      </c>
      <c r="M44" s="38">
        <v>17.899999999999999</v>
      </c>
      <c r="N44" s="72">
        <f>IF(ISNUMBER(M44), (M44 - $B44) / $B44, "")</f>
        <v>5.9171597633136098E-2</v>
      </c>
      <c r="O44" s="140">
        <f>IF(ISNUMBER(M44), $B64 * N44, "")</f>
        <v>8875.7396449704156</v>
      </c>
      <c r="Q44" s="262"/>
      <c r="R44" s="262"/>
      <c r="S44" s="262"/>
    </row>
    <row r="45" spans="1:19" ht="17.25" customHeight="1" thickBot="1">
      <c r="A45" s="124" t="s">
        <v>268</v>
      </c>
      <c r="B45" s="125">
        <v>77.900000000000006</v>
      </c>
      <c r="C45" s="73">
        <v>5.41271989E-2</v>
      </c>
      <c r="D45" s="125">
        <v>79.3</v>
      </c>
      <c r="E45" s="73">
        <f t="shared" ref="E45:E48" si="14">IF(ISNUMBER(D45), (D45 - $B45) / $B45, "")</f>
        <v>1.797175866495496E-2</v>
      </c>
      <c r="F45" s="136">
        <f>IF(ISNUMBER(D45), $B64 * E45, "")</f>
        <v>2695.7637997432439</v>
      </c>
      <c r="G45" s="39">
        <v>78.900000000000006</v>
      </c>
      <c r="H45" s="73">
        <f t="shared" ref="H45:H48" si="15">IF(ISNUMBER(G45), (G45 - $B45) / $B45, "")</f>
        <v>1.2836970474967907E-2</v>
      </c>
      <c r="I45" s="202">
        <f>IF(ISNUMBER(G45), $B64 * H45, "")</f>
        <v>1925.545571245186</v>
      </c>
      <c r="J45" s="125">
        <v>80.8</v>
      </c>
      <c r="K45" s="73">
        <f t="shared" ref="K45:K48" si="16">IF(ISNUMBER(J45), (J45 - $B45) / $B45, "")</f>
        <v>3.7227214377406823E-2</v>
      </c>
      <c r="L45" s="136">
        <f>IF(ISNUMBER(J45), $B64 * K45, "")</f>
        <v>5584.0821566110235</v>
      </c>
      <c r="M45" s="39">
        <v>79.5</v>
      </c>
      <c r="N45" s="73">
        <f t="shared" ref="N45:N48" si="17">IF(ISNUMBER(M45), (M45 - $B45) / $B45, "")</f>
        <v>2.0539152759948578E-2</v>
      </c>
      <c r="O45" s="136">
        <f>IF(ISNUMBER(M45), $B64 * N45, "")</f>
        <v>3080.8729139922866</v>
      </c>
      <c r="Q45" s="262"/>
      <c r="R45" s="262"/>
      <c r="S45" s="262"/>
    </row>
    <row r="46" spans="1:19" ht="17.25" customHeight="1" thickBot="1">
      <c r="A46" s="124" t="s">
        <v>126</v>
      </c>
      <c r="B46" s="125">
        <v>49</v>
      </c>
      <c r="C46" s="73">
        <v>5.3763440900000001E-2</v>
      </c>
      <c r="D46" s="125">
        <v>49.5</v>
      </c>
      <c r="E46" s="73">
        <f t="shared" si="14"/>
        <v>1.020408163265306E-2</v>
      </c>
      <c r="F46" s="136">
        <f>IF(ISNUMBER(D46), $B64 * E46, "")</f>
        <v>1530.612244897959</v>
      </c>
      <c r="G46" s="39">
        <v>49.9</v>
      </c>
      <c r="H46" s="73">
        <f t="shared" si="15"/>
        <v>1.8367346938775481E-2</v>
      </c>
      <c r="I46" s="202">
        <f>IF(ISNUMBER(G46), $B64 * H46, "")</f>
        <v>2755.1020408163222</v>
      </c>
      <c r="J46" s="125">
        <v>51.8</v>
      </c>
      <c r="K46" s="73">
        <f t="shared" si="16"/>
        <v>5.7142857142857086E-2</v>
      </c>
      <c r="L46" s="136">
        <f>IF(ISNUMBER(J46), $B64 * K46, "")</f>
        <v>8571.4285714285634</v>
      </c>
      <c r="M46" s="39">
        <v>52</v>
      </c>
      <c r="N46" s="73">
        <f t="shared" si="17"/>
        <v>6.1224489795918366E-2</v>
      </c>
      <c r="O46" s="136">
        <f>IF(ISNUMBER(M46), $B64 * N46, "")</f>
        <v>9183.6734693877552</v>
      </c>
      <c r="Q46" s="267"/>
      <c r="R46" s="267"/>
      <c r="S46" s="267"/>
    </row>
    <row r="47" spans="1:19" ht="17.25" customHeight="1" thickBot="1">
      <c r="A47" s="124" t="s">
        <v>266</v>
      </c>
      <c r="B47" s="125">
        <v>83.1</v>
      </c>
      <c r="C47" s="73">
        <v>4.7919293799999998E-2</v>
      </c>
      <c r="D47" s="125">
        <v>84.5</v>
      </c>
      <c r="E47" s="73">
        <f t="shared" si="14"/>
        <v>1.684717208182919E-2</v>
      </c>
      <c r="F47" s="136">
        <f>IF(ISNUMBER(D47), $B64 * E47, "")</f>
        <v>2527.0758122743787</v>
      </c>
      <c r="G47" s="39">
        <v>85.7</v>
      </c>
      <c r="H47" s="73">
        <f t="shared" si="15"/>
        <v>3.1287605294825618E-2</v>
      </c>
      <c r="I47" s="202">
        <f>IF(ISNUMBER(G47), $B64 * H47, "")</f>
        <v>4693.1407942238429</v>
      </c>
      <c r="J47" s="125">
        <v>84.4</v>
      </c>
      <c r="K47" s="73">
        <f t="shared" si="16"/>
        <v>1.5643802647412892E-2</v>
      </c>
      <c r="L47" s="136">
        <f>IF(ISNUMBER(J47), $B64 * K47, "")</f>
        <v>2346.5703971119337</v>
      </c>
      <c r="M47" s="39">
        <v>85.5</v>
      </c>
      <c r="N47" s="73">
        <f t="shared" si="17"/>
        <v>2.888086642599285E-2</v>
      </c>
      <c r="O47" s="136">
        <f>IF(ISNUMBER(M47), $B64 * N47, "")</f>
        <v>4332.1299638989276</v>
      </c>
      <c r="Q47" s="267"/>
      <c r="R47" s="267"/>
      <c r="S47" s="267"/>
    </row>
    <row r="48" spans="1:19" ht="17.25" customHeight="1" thickBot="1">
      <c r="A48" s="126" t="s">
        <v>186</v>
      </c>
      <c r="B48" s="127">
        <v>21</v>
      </c>
      <c r="C48" s="74">
        <v>4.4776119400000002E-2</v>
      </c>
      <c r="D48" s="127">
        <v>24.7</v>
      </c>
      <c r="E48" s="74">
        <f t="shared" si="14"/>
        <v>0.17619047619047615</v>
      </c>
      <c r="F48" s="203">
        <f>IF(ISNUMBER(D48), $B64 * E48, "")</f>
        <v>26428.571428571424</v>
      </c>
      <c r="G48" s="44">
        <v>23.1</v>
      </c>
      <c r="H48" s="74">
        <f t="shared" si="15"/>
        <v>0.10000000000000006</v>
      </c>
      <c r="I48" s="204">
        <f>IF(ISNUMBER(G48), $B64 * H48, "")</f>
        <v>15000.000000000009</v>
      </c>
      <c r="J48" s="127">
        <v>22.9</v>
      </c>
      <c r="K48" s="74">
        <f t="shared" si="16"/>
        <v>9.0476190476190405E-2</v>
      </c>
      <c r="L48" s="203">
        <f>IF(ISNUMBER(J48), $B64 * K48, "")</f>
        <v>13571.428571428562</v>
      </c>
      <c r="M48" s="44">
        <v>23.4</v>
      </c>
      <c r="N48" s="74">
        <f t="shared" si="17"/>
        <v>0.11428571428571421</v>
      </c>
      <c r="O48" s="203">
        <f>IF(ISNUMBER(M48), $B64 * N48, "")</f>
        <v>17142.85714285713</v>
      </c>
      <c r="Q48" s="267"/>
      <c r="R48" s="267"/>
      <c r="S48" s="267"/>
    </row>
    <row r="49" spans="1:19" ht="17.25" customHeight="1" thickBot="1">
      <c r="A49" s="124" t="s">
        <v>65</v>
      </c>
      <c r="B49" s="128">
        <v>62.8</v>
      </c>
      <c r="C49" s="76">
        <v>4.3189368800000003E-2</v>
      </c>
      <c r="D49" s="128">
        <v>63.7</v>
      </c>
      <c r="E49" s="76">
        <f>IF(ISNUMBER(D49), (D49 - $B49) / $B49, "")</f>
        <v>1.4331210191082893E-2</v>
      </c>
      <c r="F49" s="205">
        <f>IF(ISNUMBER(D49), $B64 * E49, "")</f>
        <v>2149.6815286624342</v>
      </c>
      <c r="G49" s="45">
        <v>65.7</v>
      </c>
      <c r="H49" s="76">
        <f>IF(ISNUMBER(G49), (G49 - $B49) / $B49, "")</f>
        <v>4.617834394904468E-2</v>
      </c>
      <c r="I49" s="206">
        <f>IF(ISNUMBER(G49), $B64 * H49, "")</f>
        <v>6926.7515923567016</v>
      </c>
      <c r="J49" s="128">
        <v>65.2</v>
      </c>
      <c r="K49" s="76">
        <f>IF(ISNUMBER(J49), (J49 - $B49) / $B49, "")</f>
        <v>3.8216560509554236E-2</v>
      </c>
      <c r="L49" s="205">
        <f>IF(ISNUMBER(J49), $B64 * K49, "")</f>
        <v>5732.4840764331357</v>
      </c>
      <c r="M49" s="45">
        <v>64.400000000000006</v>
      </c>
      <c r="N49" s="76">
        <f>IF(ISNUMBER(M49), (M49 - $B49) / $B49, "")</f>
        <v>2.5477707006369563E-2</v>
      </c>
      <c r="O49" s="205">
        <f>IF(ISNUMBER(M49), $B64 * N49, "")</f>
        <v>3821.6560509554347</v>
      </c>
      <c r="Q49" s="267"/>
      <c r="R49" s="267"/>
      <c r="S49" s="267"/>
    </row>
    <row r="50" spans="1:19" ht="17.25" customHeight="1" thickBot="1">
      <c r="A50" s="124" t="s">
        <v>152</v>
      </c>
      <c r="B50" s="125">
        <v>38.799999999999997</v>
      </c>
      <c r="C50" s="73">
        <v>4.0214477200000001E-2</v>
      </c>
      <c r="D50" s="125">
        <v>38.9</v>
      </c>
      <c r="E50" s="73">
        <f t="shared" ref="E50:E53" si="18">IF(ISNUMBER(D50), (D50 - $B50) / $B50, "")</f>
        <v>2.5773195876289028E-3</v>
      </c>
      <c r="F50" s="136">
        <f>IF(ISNUMBER(D50), $B64 * E50, "")</f>
        <v>386.59793814433544</v>
      </c>
      <c r="G50" s="39">
        <v>39.700000000000003</v>
      </c>
      <c r="H50" s="73">
        <f t="shared" ref="H50:H53" si="19">IF(ISNUMBER(G50), (G50 - $B50) / $B50, "")</f>
        <v>2.319587628865994E-2</v>
      </c>
      <c r="I50" s="202">
        <f>IF(ISNUMBER(G50), $B64 * H50, "")</f>
        <v>3479.3814432989911</v>
      </c>
      <c r="J50" s="125">
        <v>39.6</v>
      </c>
      <c r="K50" s="73">
        <f t="shared" ref="K50:K53" si="20">IF(ISNUMBER(J50), (J50 - $B50) / $B50, "")</f>
        <v>2.0618556701031038E-2</v>
      </c>
      <c r="L50" s="136">
        <f>IF(ISNUMBER(J50), $B64 * K50, "")</f>
        <v>3092.7835051546558</v>
      </c>
      <c r="M50" s="39">
        <v>39.9</v>
      </c>
      <c r="N50" s="73">
        <f t="shared" ref="N50:N53" si="21">IF(ISNUMBER(M50), (M50 - $B50) / $B50, "")</f>
        <v>2.8350515463917564E-2</v>
      </c>
      <c r="O50" s="136">
        <f>IF(ISNUMBER(M50), $B64 * N50, "")</f>
        <v>4252.5773195876345</v>
      </c>
      <c r="Q50" s="267"/>
      <c r="R50" s="267"/>
      <c r="S50" s="267"/>
    </row>
    <row r="51" spans="1:19" ht="17.25" customHeight="1" thickBot="1">
      <c r="A51" s="124" t="s">
        <v>72</v>
      </c>
      <c r="B51" s="125">
        <v>31.5</v>
      </c>
      <c r="C51" s="73">
        <v>3.9603960399999999E-2</v>
      </c>
      <c r="D51" s="125">
        <v>31.8</v>
      </c>
      <c r="E51" s="73">
        <f t="shared" si="18"/>
        <v>9.5238095238095472E-3</v>
      </c>
      <c r="F51" s="136">
        <f>IF(ISNUMBER(D51), $B64 * E51, "")</f>
        <v>1428.5714285714321</v>
      </c>
      <c r="G51" s="39">
        <v>32.299999999999997</v>
      </c>
      <c r="H51" s="73">
        <f t="shared" si="19"/>
        <v>2.5396825396825307E-2</v>
      </c>
      <c r="I51" s="202">
        <f>IF(ISNUMBER(G51), $B64 * H51, "")</f>
        <v>3809.523809523796</v>
      </c>
      <c r="J51" s="125">
        <v>32.1</v>
      </c>
      <c r="K51" s="73">
        <f t="shared" si="20"/>
        <v>1.9047619047619094E-2</v>
      </c>
      <c r="L51" s="136">
        <f>IF(ISNUMBER(J51), $B64 * K51, "")</f>
        <v>2857.1428571428642</v>
      </c>
      <c r="M51" s="39">
        <v>31.7</v>
      </c>
      <c r="N51" s="73">
        <f t="shared" si="21"/>
        <v>6.3492063492063266E-3</v>
      </c>
      <c r="O51" s="136">
        <f>IF(ISNUMBER(M51), $B64 * N51, "")</f>
        <v>952.380952380949</v>
      </c>
      <c r="Q51" s="267"/>
      <c r="R51" s="267"/>
      <c r="S51" s="267"/>
    </row>
    <row r="52" spans="1:19" ht="17.25" customHeight="1" thickBot="1">
      <c r="A52" s="124" t="s">
        <v>254</v>
      </c>
      <c r="B52" s="125">
        <v>72.900000000000006</v>
      </c>
      <c r="C52" s="73">
        <v>3.6984352800000002E-2</v>
      </c>
      <c r="D52" s="125">
        <v>71.599999999999994</v>
      </c>
      <c r="E52" s="73">
        <f t="shared" si="18"/>
        <v>-1.7832647462277248E-2</v>
      </c>
      <c r="F52" s="136">
        <f>IF(ISNUMBER(D52), $B64 * E52, "")</f>
        <v>-2674.8971193415873</v>
      </c>
      <c r="G52" s="39">
        <v>72.599999999999994</v>
      </c>
      <c r="H52" s="73">
        <f t="shared" si="19"/>
        <v>-4.1152263374487153E-3</v>
      </c>
      <c r="I52" s="202">
        <f>IF(ISNUMBER(G52), $B64 * H52, "")</f>
        <v>-617.28395061730726</v>
      </c>
      <c r="J52" s="125">
        <v>73.3</v>
      </c>
      <c r="K52" s="73">
        <f t="shared" si="20"/>
        <v>5.4869684499312954E-3</v>
      </c>
      <c r="L52" s="136">
        <f>IF(ISNUMBER(J52), $B64 * K52, "")</f>
        <v>823.04526748969431</v>
      </c>
      <c r="M52" s="39">
        <v>72.900000000000006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222</v>
      </c>
      <c r="B53" s="130">
        <v>15.7</v>
      </c>
      <c r="C53" s="75">
        <v>3.2894736799999998E-2</v>
      </c>
      <c r="D53" s="130">
        <v>16</v>
      </c>
      <c r="E53" s="75">
        <f t="shared" si="18"/>
        <v>1.9108280254777118E-2</v>
      </c>
      <c r="F53" s="137">
        <f>IF(ISNUMBER(D53), $B64 * E53, "")</f>
        <v>2866.2420382165678</v>
      </c>
      <c r="G53" s="37">
        <v>16</v>
      </c>
      <c r="H53" s="75">
        <f t="shared" si="19"/>
        <v>1.9108280254777118E-2</v>
      </c>
      <c r="I53" s="207">
        <f>IF(ISNUMBER(G53), $B64 * H53, "")</f>
        <v>2866.2420382165678</v>
      </c>
      <c r="J53" s="130">
        <v>16</v>
      </c>
      <c r="K53" s="75">
        <f t="shared" si="20"/>
        <v>1.9108280254777118E-2</v>
      </c>
      <c r="L53" s="137">
        <f>IF(ISNUMBER(J53), $B64 * K53, "")</f>
        <v>2866.2420382165678</v>
      </c>
      <c r="M53" s="37">
        <v>16.100000000000001</v>
      </c>
      <c r="N53" s="75">
        <f t="shared" si="21"/>
        <v>2.5477707006369563E-2</v>
      </c>
      <c r="O53" s="137">
        <f>IF(ISNUMBER(M53), $B64 * N53, "")</f>
        <v>3821.6560509554347</v>
      </c>
      <c r="Q53" s="276"/>
      <c r="R53" s="277"/>
      <c r="S53" s="278"/>
    </row>
    <row r="54" spans="1:19" ht="17.25" customHeight="1">
      <c r="A54" s="122" t="s">
        <v>100</v>
      </c>
      <c r="B54" s="123">
        <v>7.39</v>
      </c>
      <c r="C54" s="72">
        <v>3.0683403099999999E-2</v>
      </c>
      <c r="D54" s="123">
        <v>7.43</v>
      </c>
      <c r="E54" s="72">
        <f>IF(ISNUMBER(D54), (D54 - $B54) / $B54, "")</f>
        <v>5.4127198917456069E-3</v>
      </c>
      <c r="F54" s="140">
        <f>IF(ISNUMBER(D54), $B64 * E54, "")</f>
        <v>811.90798376184102</v>
      </c>
      <c r="G54" s="38">
        <v>7.52</v>
      </c>
      <c r="H54" s="72">
        <f>IF(ISNUMBER(G54), (G54 - $B54) / $B54, "")</f>
        <v>1.7591339648173193E-2</v>
      </c>
      <c r="I54" s="201">
        <f>IF(ISNUMBER(G54), $B64 * H54, "")</f>
        <v>2638.7009472259788</v>
      </c>
      <c r="J54" s="123">
        <v>7.56</v>
      </c>
      <c r="K54" s="72">
        <f>IF(ISNUMBER(J54), (J54 - $B54) / $B54, "")</f>
        <v>2.3004059539918801E-2</v>
      </c>
      <c r="L54" s="140">
        <f>IF(ISNUMBER(J54), $B64 * K54, "")</f>
        <v>3450.6089309878203</v>
      </c>
      <c r="M54" s="38">
        <v>7.53</v>
      </c>
      <c r="N54" s="72">
        <f>IF(ISNUMBER(M54), (M54 - $B54) / $B54, "")</f>
        <v>1.8944519621109684E-2</v>
      </c>
      <c r="O54" s="140">
        <f>IF(ISNUMBER(M54), $B64 * N54, "")</f>
        <v>2841.6779431664527</v>
      </c>
      <c r="Q54" s="279"/>
      <c r="R54" s="280"/>
      <c r="S54" s="281"/>
    </row>
    <row r="55" spans="1:19" ht="17.25" customHeight="1" thickBot="1">
      <c r="A55" s="124" t="s">
        <v>198</v>
      </c>
      <c r="B55" s="125">
        <v>23.8</v>
      </c>
      <c r="C55" s="73">
        <v>3.0303030299999999E-2</v>
      </c>
      <c r="D55" s="125">
        <v>24</v>
      </c>
      <c r="E55" s="73">
        <f t="shared" ref="E55:E58" si="22">IF(ISNUMBER(D55), (D55 - $B55) / $B55, "")</f>
        <v>8.4033613445377853E-3</v>
      </c>
      <c r="F55" s="136">
        <f>IF(ISNUMBER(D55), $B64 * E55, "")</f>
        <v>1260.5042016806678</v>
      </c>
      <c r="G55" s="39">
        <v>24.2</v>
      </c>
      <c r="H55" s="73">
        <f t="shared" ref="H55:H58" si="23">IF(ISNUMBER(G55), (G55 - $B55) / $B55, "")</f>
        <v>1.6806722689075571E-2</v>
      </c>
      <c r="I55" s="202">
        <f>IF(ISNUMBER(G55), $B64 * H55, "")</f>
        <v>2521.0084033613357</v>
      </c>
      <c r="J55" s="125">
        <v>24.2</v>
      </c>
      <c r="K55" s="73">
        <f t="shared" ref="K55:K58" si="24">IF(ISNUMBER(J55), (J55 - $B55) / $B55, "")</f>
        <v>1.6806722689075571E-2</v>
      </c>
      <c r="L55" s="136">
        <f>IF(ISNUMBER(J55), $B64 * K55, "")</f>
        <v>2521.0084033613357</v>
      </c>
      <c r="M55" s="39">
        <v>24.1</v>
      </c>
      <c r="N55" s="73">
        <f t="shared" ref="N55:N58" si="25">IF(ISNUMBER(M55), (M55 - $B55) / $B55, "")</f>
        <v>1.2605042016806753E-2</v>
      </c>
      <c r="O55" s="136">
        <f>IF(ISNUMBER(M55), $B64 * N55, "")</f>
        <v>1890.7563025210129</v>
      </c>
      <c r="Q55" s="282"/>
      <c r="R55" s="283"/>
      <c r="S55" s="284"/>
    </row>
    <row r="56" spans="1:19" ht="17.25" customHeight="1" thickBot="1">
      <c r="A56" s="124" t="s">
        <v>196</v>
      </c>
      <c r="B56" s="125">
        <v>17.399999999999999</v>
      </c>
      <c r="C56" s="73">
        <v>2.95857988E-2</v>
      </c>
      <c r="D56" s="125">
        <v>17.899999999999999</v>
      </c>
      <c r="E56" s="73">
        <f t="shared" si="22"/>
        <v>2.8735632183908049E-2</v>
      </c>
      <c r="F56" s="136">
        <f>IF(ISNUMBER(D56), $B64 * E56, "")</f>
        <v>4310.3448275862074</v>
      </c>
      <c r="G56" s="39">
        <v>17.8</v>
      </c>
      <c r="H56" s="73">
        <f t="shared" si="23"/>
        <v>2.2988505747126561E-2</v>
      </c>
      <c r="I56" s="202">
        <f>IF(ISNUMBER(G56), $B64 * H56, "")</f>
        <v>3448.2758620689842</v>
      </c>
      <c r="J56" s="125">
        <v>17.7</v>
      </c>
      <c r="K56" s="73">
        <f t="shared" si="24"/>
        <v>1.7241379310344869E-2</v>
      </c>
      <c r="L56" s="136">
        <f>IF(ISNUMBER(J56), $B64 * K56, "")</f>
        <v>2586.2068965517306</v>
      </c>
      <c r="M56" s="39">
        <v>17.8</v>
      </c>
      <c r="N56" s="73">
        <f t="shared" si="25"/>
        <v>2.2988505747126561E-2</v>
      </c>
      <c r="O56" s="136">
        <f>IF(ISNUMBER(M56), $B64 * N56, "")</f>
        <v>3448.2758620689842</v>
      </c>
      <c r="Q56" s="267"/>
      <c r="R56" s="267"/>
      <c r="S56" s="267"/>
    </row>
    <row r="57" spans="1:19" ht="17.25" customHeight="1" thickBot="1">
      <c r="A57" s="124" t="s">
        <v>218</v>
      </c>
      <c r="B57" s="125">
        <v>23</v>
      </c>
      <c r="C57" s="73">
        <v>2.6785714299999999E-2</v>
      </c>
      <c r="D57" s="125">
        <v>23.6</v>
      </c>
      <c r="E57" s="73">
        <f t="shared" si="22"/>
        <v>2.6086956521739191E-2</v>
      </c>
      <c r="F57" s="136">
        <f>IF(ISNUMBER(D57), $B64 * E57, "")</f>
        <v>3913.0434782608786</v>
      </c>
      <c r="G57" s="39">
        <v>23.7</v>
      </c>
      <c r="H57" s="73">
        <f t="shared" si="23"/>
        <v>3.0434782608695622E-2</v>
      </c>
      <c r="I57" s="202">
        <f>IF(ISNUMBER(G57), $B64 * H57, "")</f>
        <v>4565.2173913043434</v>
      </c>
      <c r="J57" s="125">
        <v>23.3</v>
      </c>
      <c r="K57" s="73">
        <f t="shared" si="24"/>
        <v>1.3043478260869596E-2</v>
      </c>
      <c r="L57" s="136">
        <f>IF(ISNUMBER(J57), $B64 * K57, "")</f>
        <v>1956.5217391304393</v>
      </c>
      <c r="M57" s="39">
        <v>23.6</v>
      </c>
      <c r="N57" s="73">
        <f t="shared" si="25"/>
        <v>2.6086956521739191E-2</v>
      </c>
      <c r="O57" s="136">
        <f>IF(ISNUMBER(M57), $B64 * N57, "")</f>
        <v>3913.0434782608786</v>
      </c>
      <c r="Q57" s="262"/>
      <c r="R57" s="262"/>
      <c r="S57" s="262"/>
    </row>
    <row r="58" spans="1:19" ht="17.25" customHeight="1" thickBot="1">
      <c r="A58" s="126" t="s">
        <v>154</v>
      </c>
      <c r="B58" s="127">
        <v>17.5</v>
      </c>
      <c r="C58" s="74">
        <v>2.33918129E-2</v>
      </c>
      <c r="D58" s="127">
        <v>17.899999999999999</v>
      </c>
      <c r="E58" s="74">
        <f t="shared" si="22"/>
        <v>2.2857142857142777E-2</v>
      </c>
      <c r="F58" s="203">
        <f>IF(ISNUMBER(D58), $B64 * E58, "")</f>
        <v>3428.5714285714166</v>
      </c>
      <c r="G58" s="44">
        <v>17.8</v>
      </c>
      <c r="H58" s="74">
        <f t="shared" si="23"/>
        <v>1.7142857142857182E-2</v>
      </c>
      <c r="I58" s="204">
        <f>IF(ISNUMBER(G58), $B64 * H58, "")</f>
        <v>2571.4285714285775</v>
      </c>
      <c r="J58" s="127">
        <v>17.899999999999999</v>
      </c>
      <c r="K58" s="74">
        <f t="shared" si="24"/>
        <v>2.2857142857142777E-2</v>
      </c>
      <c r="L58" s="203">
        <f>IF(ISNUMBER(J58), $B64 * K58, "")</f>
        <v>3428.5714285714166</v>
      </c>
      <c r="M58" s="44">
        <v>17.8</v>
      </c>
      <c r="N58" s="74">
        <f t="shared" si="25"/>
        <v>1.7142857142857182E-2</v>
      </c>
      <c r="O58" s="203">
        <f>IF(ISNUMBER(M58), $B64 * N58, "")</f>
        <v>2571.4285714285775</v>
      </c>
      <c r="Q58" s="262"/>
      <c r="R58" s="262"/>
      <c r="S58" s="262"/>
    </row>
    <row r="59" spans="1:19" ht="17.25" customHeight="1" thickBot="1">
      <c r="A59" s="124" t="s">
        <v>214</v>
      </c>
      <c r="B59" s="128">
        <v>19.5</v>
      </c>
      <c r="C59" s="76">
        <v>2.0942408400000001E-2</v>
      </c>
      <c r="D59" s="128">
        <v>19.2</v>
      </c>
      <c r="E59" s="76">
        <f>IF(ISNUMBER(D59), (D59 - $B59) / $B59, "")</f>
        <v>-1.5384615384615422E-2</v>
      </c>
      <c r="F59" s="205">
        <f>IF(ISNUMBER(D59), $B64 * E59, "")</f>
        <v>-2307.6923076923131</v>
      </c>
      <c r="G59" s="45">
        <v>19.3</v>
      </c>
      <c r="H59" s="76">
        <f>IF(ISNUMBER(G59), (G59 - $B59) / $B59, "")</f>
        <v>-1.025641025641022E-2</v>
      </c>
      <c r="I59" s="206">
        <f>IF(ISNUMBER(G59), $B64 * H59, "")</f>
        <v>-1538.4615384615331</v>
      </c>
      <c r="J59" s="128">
        <v>19.399999999999999</v>
      </c>
      <c r="K59" s="76">
        <f>IF(ISNUMBER(J59), (J59 - $B59) / $B59, "")</f>
        <v>-5.1282051282052011E-3</v>
      </c>
      <c r="L59" s="205">
        <f>IF(ISNUMBER(J59), $B64 * K59, "")</f>
        <v>-769.2307692307802</v>
      </c>
      <c r="M59" s="45">
        <v>19.5</v>
      </c>
      <c r="N59" s="76">
        <f>IF(ISNUMBER(M59), (M59 - $B59) / $B59, "")</f>
        <v>0</v>
      </c>
      <c r="O59" s="205">
        <f>IF(ISNUMBER(M59), $B64 * N59, "")</f>
        <v>0</v>
      </c>
      <c r="Q59" s="267"/>
      <c r="R59" s="267"/>
      <c r="S59" s="267"/>
    </row>
    <row r="60" spans="1:19" ht="17.25" customHeight="1" thickBot="1">
      <c r="A60" s="124" t="s">
        <v>228</v>
      </c>
      <c r="B60" s="125">
        <v>15.8</v>
      </c>
      <c r="C60" s="73">
        <v>1.9354838700000002E-2</v>
      </c>
      <c r="D60" s="125">
        <v>15.9</v>
      </c>
      <c r="E60" s="73">
        <f t="shared" ref="E60:E63" si="26">IF(ISNUMBER(D60), (D60 - $B60) / $B60, "")</f>
        <v>6.3291139240506103E-3</v>
      </c>
      <c r="F60" s="136">
        <f>IF(ISNUMBER(D60), $B64 * E60, "")</f>
        <v>949.36708860759154</v>
      </c>
      <c r="G60" s="39">
        <v>15.9</v>
      </c>
      <c r="H60" s="73">
        <f t="shared" ref="H60:H63" si="27">IF(ISNUMBER(G60), (G60 - $B60) / $B60, "")</f>
        <v>6.3291139240506103E-3</v>
      </c>
      <c r="I60" s="202">
        <f>IF(ISNUMBER(G60), $B64 * H60, "")</f>
        <v>949.36708860759154</v>
      </c>
      <c r="J60" s="125">
        <v>15.9</v>
      </c>
      <c r="K60" s="73">
        <f t="shared" ref="K60:K63" si="28">IF(ISNUMBER(J60), (J60 - $B60) / $B60, "")</f>
        <v>6.3291139240506103E-3</v>
      </c>
      <c r="L60" s="136">
        <f>IF(ISNUMBER(J60), $B64 * K60, "")</f>
        <v>949.36708860759154</v>
      </c>
      <c r="M60" s="39">
        <v>16</v>
      </c>
      <c r="N60" s="73">
        <f t="shared" ref="N60:N63" si="29">IF(ISNUMBER(M60), (M60 - $B60) / $B60, "")</f>
        <v>1.2658227848101221E-2</v>
      </c>
      <c r="O60" s="136">
        <f>IF(ISNUMBER(M60), $B64 * N60, "")</f>
        <v>1898.7341772151831</v>
      </c>
      <c r="Q60" s="267"/>
      <c r="R60" s="267"/>
      <c r="S60" s="267"/>
    </row>
    <row r="61" spans="1:19" ht="17.25" customHeight="1" thickBot="1">
      <c r="A61" s="124" t="s">
        <v>236</v>
      </c>
      <c r="B61" s="125">
        <v>72.2</v>
      </c>
      <c r="C61" s="73">
        <v>-2.82637954E-2</v>
      </c>
      <c r="D61" s="125">
        <v>69</v>
      </c>
      <c r="E61" s="73">
        <f t="shared" si="26"/>
        <v>-4.4321329639889231E-2</v>
      </c>
      <c r="F61" s="136">
        <f>IF(ISNUMBER(D61), $B64 * E61, "")</f>
        <v>-6648.199445983385</v>
      </c>
      <c r="G61" s="39">
        <v>68.900000000000006</v>
      </c>
      <c r="H61" s="73">
        <f t="shared" si="27"/>
        <v>-4.5706371191135693E-2</v>
      </c>
      <c r="I61" s="202">
        <f>IF(ISNUMBER(G61), $B64 * H61, "")</f>
        <v>-6855.9556786703542</v>
      </c>
      <c r="J61" s="125">
        <v>69.099999999999994</v>
      </c>
      <c r="K61" s="73">
        <f t="shared" si="28"/>
        <v>-4.2936288088642777E-2</v>
      </c>
      <c r="L61" s="136">
        <f>IF(ISNUMBER(J61), $B64 * K61, "")</f>
        <v>-6440.4432132964166</v>
      </c>
      <c r="M61" s="39">
        <v>69.099999999999994</v>
      </c>
      <c r="N61" s="73">
        <f t="shared" si="29"/>
        <v>-4.2936288088642777E-2</v>
      </c>
      <c r="O61" s="136">
        <f>IF(ISNUMBER(M61), $B64 * N61, "")</f>
        <v>-6440.4432132964166</v>
      </c>
      <c r="Q61" s="267"/>
      <c r="R61" s="267"/>
      <c r="S61" s="267"/>
    </row>
    <row r="62" spans="1:19" ht="17.25" customHeight="1">
      <c r="A62" s="124" t="s">
        <v>172</v>
      </c>
      <c r="B62" s="125">
        <v>23.8</v>
      </c>
      <c r="C62" s="73">
        <v>-8.4615384599999996E-2</v>
      </c>
      <c r="D62" s="125">
        <v>23</v>
      </c>
      <c r="E62" s="73">
        <f t="shared" si="26"/>
        <v>-3.3613445378151287E-2</v>
      </c>
      <c r="F62" s="136">
        <f>IF(ISNUMBER(D62), $B64 * E62, "")</f>
        <v>-5042.0168067226932</v>
      </c>
      <c r="G62" s="39">
        <v>23.1</v>
      </c>
      <c r="H62" s="73">
        <f t="shared" si="27"/>
        <v>-2.9411764705882321E-2</v>
      </c>
      <c r="I62" s="202">
        <f>IF(ISNUMBER(G62), $B64 * H62, "")</f>
        <v>-4411.7647058823486</v>
      </c>
      <c r="J62" s="125">
        <v>23.1</v>
      </c>
      <c r="K62" s="73">
        <f t="shared" si="28"/>
        <v>-2.9411764705882321E-2</v>
      </c>
      <c r="L62" s="136">
        <f>IF(ISNUMBER(J62), $B64 * K62, "")</f>
        <v>-4411.7647058823486</v>
      </c>
      <c r="M62" s="39">
        <v>23</v>
      </c>
      <c r="N62" s="73">
        <f t="shared" si="29"/>
        <v>-3.3613445378151287E-2</v>
      </c>
      <c r="O62" s="136">
        <f>IF(ISNUMBER(M62), $B64 * N62, "")</f>
        <v>-5042.0168067226932</v>
      </c>
      <c r="Q62" s="289"/>
      <c r="R62" s="290"/>
      <c r="S62" s="291"/>
    </row>
    <row r="63" spans="1:19" ht="17.25" customHeight="1" thickBot="1">
      <c r="A63" s="129" t="s">
        <v>303</v>
      </c>
      <c r="B63" s="130">
        <v>141</v>
      </c>
      <c r="C63" s="75">
        <v>4.4400000000000002E-2</v>
      </c>
      <c r="D63" s="130">
        <v>147</v>
      </c>
      <c r="E63" s="75">
        <f t="shared" si="26"/>
        <v>4.2553191489361701E-2</v>
      </c>
      <c r="F63" s="137">
        <f>IF(ISNUMBER(D63), $B64 * E63, "")</f>
        <v>6382.9787234042551</v>
      </c>
      <c r="G63" s="37">
        <v>148</v>
      </c>
      <c r="H63" s="75">
        <f t="shared" si="27"/>
        <v>4.9645390070921988E-2</v>
      </c>
      <c r="I63" s="207">
        <f>IF(ISNUMBER(G63), $B64 * H63, "")</f>
        <v>7446.8085106382978</v>
      </c>
      <c r="J63" s="130">
        <v>146</v>
      </c>
      <c r="K63" s="75">
        <f t="shared" si="28"/>
        <v>3.5460992907801421E-2</v>
      </c>
      <c r="L63" s="137">
        <f>IF(ISNUMBER(J63), $B64 * K63, "")</f>
        <v>5319.1489361702133</v>
      </c>
      <c r="M63" s="37">
        <v>144</v>
      </c>
      <c r="N63" s="75">
        <f t="shared" si="29"/>
        <v>2.1276595744680851E-2</v>
      </c>
      <c r="O63" s="137">
        <f>IF(ISNUMBER(M63), $B64 * N63, "")</f>
        <v>3191.4893617021276</v>
      </c>
      <c r="Q63" s="292"/>
      <c r="R63" s="293"/>
      <c r="S63" s="294"/>
    </row>
    <row r="64" spans="1:19" ht="17.25" customHeight="1" thickBot="1">
      <c r="A64" s="131" t="s">
        <v>301</v>
      </c>
      <c r="B64" s="300">
        <f>$B$37</f>
        <v>150000</v>
      </c>
      <c r="C64" s="301"/>
      <c r="D64" s="131" t="s">
        <v>302</v>
      </c>
      <c r="E64" s="228">
        <f>IF(COUNT(E44:E63), SUM(E44:E63) / COUNT(E44:E63), 0)</f>
        <v>1.9236879246223429E-2</v>
      </c>
      <c r="F64" s="208">
        <f>SUM(F44:F63)</f>
        <v>57710.637738670273</v>
      </c>
      <c r="G64" s="131" t="s">
        <v>302</v>
      </c>
      <c r="H64" s="228">
        <f>IF(COUNT(H44:H63), SUM(H44:H63) / COUNT(H44:H63), 0)</f>
        <v>2.0645447266717489E-2</v>
      </c>
      <c r="I64" s="208">
        <f>SUM(I44:I63)</f>
        <v>61936.341800152455</v>
      </c>
      <c r="J64" s="131" t="s">
        <v>302</v>
      </c>
      <c r="K64" s="228">
        <f>IF(COUNT(K44:K63), SUM(K44:K63) / COUNT(K44:K63), 0)</f>
        <v>2.1266171928485157E-2</v>
      </c>
      <c r="L64" s="208">
        <f>SUM(L44:L63)</f>
        <v>63798.515785455471</v>
      </c>
      <c r="M64" s="131" t="s">
        <v>302</v>
      </c>
      <c r="N64" s="228">
        <f>IF(COUNT(N44:N63), SUM(N44:N63) / COUNT(N44:N63), 0)</f>
        <v>2.1245496395110031E-2</v>
      </c>
      <c r="O64" s="208">
        <f>SUM(O44:O63)</f>
        <v>63736.48918533008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225" t="s">
        <v>298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62017000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-1.6680144000000001E-2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2021-05-14(금) 오전 00:00</v>
      </c>
      <c r="C69" s="305"/>
      <c r="D69" s="241" t="str">
        <f>TEXT($G$1, "[$-ko-KR]yyyy-mm-dd(ddd) ") &amp; "오후 14:00"</f>
        <v>2021-05-14(금) 오후 14:00</v>
      </c>
      <c r="E69" s="242"/>
      <c r="F69" s="243"/>
      <c r="G69" s="241" t="str">
        <f>TEXT($G$1, "[$-ko-KR]yyyy-mm-dd(ddd) ") &amp; "오후 19:00"</f>
        <v>2021-05-14(금) 오후 19:00</v>
      </c>
      <c r="H69" s="242"/>
      <c r="I69" s="243"/>
      <c r="J69" s="241" t="str">
        <f>TEXT($G$1, "[$-ko-KR]yyyy-mm-dd(ddd) ") &amp; "오후 21:00"</f>
        <v>2021-05-14(금) 오후 21:00</v>
      </c>
      <c r="K69" s="242"/>
      <c r="L69" s="243"/>
      <c r="M69" s="241" t="str">
        <f>TEXT($G$1+1, "[$-ko-KR]yyyy-mm-dd(ddd) ") &amp; "오전 00:00"</f>
        <v>2021-05-15(토) 오전 00:00</v>
      </c>
      <c r="N69" s="242"/>
      <c r="O69" s="243"/>
      <c r="Q69" s="262"/>
      <c r="R69" s="262"/>
      <c r="S69" s="262"/>
    </row>
    <row r="70" spans="1:19" ht="17.25" thickBot="1">
      <c r="A70" s="303"/>
      <c r="B70" s="120" t="s">
        <v>58</v>
      </c>
      <c r="C70" s="121" t="s">
        <v>59</v>
      </c>
      <c r="D70" s="120" t="s">
        <v>58</v>
      </c>
      <c r="E70" s="121" t="s">
        <v>299</v>
      </c>
      <c r="F70" s="232" t="s">
        <v>300</v>
      </c>
      <c r="G70" s="225" t="s">
        <v>58</v>
      </c>
      <c r="H70" s="226" t="s">
        <v>299</v>
      </c>
      <c r="I70" s="227" t="s">
        <v>300</v>
      </c>
      <c r="J70" s="121" t="s">
        <v>58</v>
      </c>
      <c r="K70" s="121" t="s">
        <v>299</v>
      </c>
      <c r="L70" s="230" t="s">
        <v>300</v>
      </c>
      <c r="M70" s="120" t="s">
        <v>58</v>
      </c>
      <c r="N70" s="121" t="s">
        <v>299</v>
      </c>
      <c r="O70" s="231" t="s">
        <v>300</v>
      </c>
      <c r="Q70" s="267"/>
      <c r="R70" s="267"/>
      <c r="S70" s="267"/>
    </row>
    <row r="71" spans="1:19" ht="17.25" thickBot="1">
      <c r="A71" s="122" t="s">
        <v>54</v>
      </c>
      <c r="B71" s="123">
        <v>333</v>
      </c>
      <c r="C71" s="72">
        <v>0.1174496644</v>
      </c>
      <c r="D71" s="123">
        <v>466</v>
      </c>
      <c r="E71" s="72">
        <f>IF(ISNUMBER(D71), (D71 - $B71) / $B71, "")</f>
        <v>0.39939939939939939</v>
      </c>
      <c r="F71" s="140">
        <f>IF(ISNUMBER(D71), $B91 * E71, "")</f>
        <v>59909.909909909911</v>
      </c>
      <c r="G71" s="38">
        <v>425</v>
      </c>
      <c r="H71" s="72">
        <f>IF(ISNUMBER(G71), (G71 - $B71) / $B71, "")</f>
        <v>0.27627627627627627</v>
      </c>
      <c r="I71" s="201">
        <f>IF(ISNUMBER(G71), $B91 * H71, "")</f>
        <v>41441.441441441442</v>
      </c>
      <c r="J71" s="123">
        <v>418</v>
      </c>
      <c r="K71" s="72">
        <f>IF(ISNUMBER(J71), (J71 - $B71) / $B71, "")</f>
        <v>0.25525525525525528</v>
      </c>
      <c r="L71" s="140">
        <f>IF(ISNUMBER(J71), $B91 * K71, "")</f>
        <v>38288.288288288291</v>
      </c>
      <c r="M71" s="38">
        <v>402</v>
      </c>
      <c r="N71" s="72">
        <f>IF(ISNUMBER(M71), (M71 - $B71) / $B71, "")</f>
        <v>0.2072072072072072</v>
      </c>
      <c r="O71" s="140">
        <f>IF(ISNUMBER(M71), $B91 * N71, "")</f>
        <v>31081.08108108108</v>
      </c>
      <c r="Q71" s="262"/>
      <c r="R71" s="262"/>
      <c r="S71" s="262"/>
    </row>
    <row r="72" spans="1:19" ht="17.25" thickBot="1">
      <c r="A72" s="124" t="s">
        <v>258</v>
      </c>
      <c r="B72" s="125">
        <v>624</v>
      </c>
      <c r="C72" s="73">
        <v>0.11428571429999999</v>
      </c>
      <c r="D72" s="125">
        <v>592</v>
      </c>
      <c r="E72" s="73">
        <f t="shared" ref="E72:E75" si="30">IF(ISNUMBER(D72), (D72 - $B72) / $B72, "")</f>
        <v>-5.128205128205128E-2</v>
      </c>
      <c r="F72" s="136">
        <f>IF(ISNUMBER(D72), $B91 * E72, "")</f>
        <v>-7692.3076923076924</v>
      </c>
      <c r="G72" s="39">
        <v>599</v>
      </c>
      <c r="H72" s="73">
        <f t="shared" ref="H72:H75" si="31">IF(ISNUMBER(G72), (G72 - $B72) / $B72, "")</f>
        <v>-4.0064102564102567E-2</v>
      </c>
      <c r="I72" s="202">
        <f>IF(ISNUMBER(G72), $B91 * H72, "")</f>
        <v>-6009.6153846153848</v>
      </c>
      <c r="J72" s="125">
        <v>603</v>
      </c>
      <c r="K72" s="73">
        <f t="shared" ref="K72:K75" si="32">IF(ISNUMBER(J72), (J72 - $B72) / $B72, "")</f>
        <v>-3.3653846153846152E-2</v>
      </c>
      <c r="L72" s="136">
        <f>IF(ISNUMBER(J72), $B91 * K72, "")</f>
        <v>-5048.0769230769229</v>
      </c>
      <c r="M72" s="39">
        <v>600</v>
      </c>
      <c r="N72" s="73">
        <f t="shared" ref="N72:N75" si="33">IF(ISNUMBER(M72), (M72 - $B72) / $B72, "")</f>
        <v>-3.8461538461538464E-2</v>
      </c>
      <c r="O72" s="136">
        <f>IF(ISNUMBER(M72), $B91 * N72, "")</f>
        <v>-5769.2307692307695</v>
      </c>
      <c r="Q72" s="262"/>
      <c r="R72" s="262"/>
      <c r="S72" s="262"/>
    </row>
    <row r="73" spans="1:19" ht="17.25" thickBot="1">
      <c r="A73" s="124" t="s">
        <v>142</v>
      </c>
      <c r="B73" s="125">
        <v>411</v>
      </c>
      <c r="C73" s="73">
        <v>0.1138211382</v>
      </c>
      <c r="D73" s="125">
        <v>421</v>
      </c>
      <c r="E73" s="73">
        <f t="shared" si="30"/>
        <v>2.4330900243309004E-2</v>
      </c>
      <c r="F73" s="136">
        <f>IF(ISNUMBER(D73), $B91 * E73, "")</f>
        <v>3649.6350364963505</v>
      </c>
      <c r="G73" s="39">
        <v>420</v>
      </c>
      <c r="H73" s="73">
        <f t="shared" si="31"/>
        <v>2.1897810218978103E-2</v>
      </c>
      <c r="I73" s="202">
        <f>IF(ISNUMBER(G73), $B91 * H73, "")</f>
        <v>3284.6715328467153</v>
      </c>
      <c r="J73" s="125">
        <v>418</v>
      </c>
      <c r="K73" s="73">
        <f t="shared" si="32"/>
        <v>1.7031630170316302E-2</v>
      </c>
      <c r="L73" s="136">
        <f>IF(ISNUMBER(J73), $B91 * K73, "")</f>
        <v>2554.7445255474454</v>
      </c>
      <c r="M73" s="39">
        <v>415</v>
      </c>
      <c r="N73" s="73">
        <f t="shared" si="33"/>
        <v>9.7323600973236012E-3</v>
      </c>
      <c r="O73" s="136">
        <f>IF(ISNUMBER(M73), $B91 * N73, "")</f>
        <v>1459.8540145985403</v>
      </c>
      <c r="Q73" s="267"/>
      <c r="R73" s="267"/>
      <c r="S73" s="267"/>
    </row>
    <row r="74" spans="1:19" ht="17.25" thickBot="1">
      <c r="A74" s="124" t="s">
        <v>216</v>
      </c>
      <c r="B74" s="125">
        <v>439</v>
      </c>
      <c r="C74" s="73">
        <v>0.1057934509</v>
      </c>
      <c r="D74" s="125">
        <v>432</v>
      </c>
      <c r="E74" s="73">
        <f t="shared" si="30"/>
        <v>-1.5945330296127564E-2</v>
      </c>
      <c r="F74" s="136">
        <f>IF(ISNUMBER(D74), $B91 * E74, "")</f>
        <v>-2391.7995444191347</v>
      </c>
      <c r="G74" s="39">
        <v>433</v>
      </c>
      <c r="H74" s="73">
        <f t="shared" si="31"/>
        <v>-1.366742596810934E-2</v>
      </c>
      <c r="I74" s="202">
        <f>IF(ISNUMBER(G74), $B91 * H74, "")</f>
        <v>-2050.113895216401</v>
      </c>
      <c r="J74" s="125">
        <v>436</v>
      </c>
      <c r="K74" s="73">
        <f t="shared" si="32"/>
        <v>-6.8337129840546698E-3</v>
      </c>
      <c r="L74" s="136">
        <f>IF(ISNUMBER(J74), $B91 * K74, "")</f>
        <v>-1025.0569476082005</v>
      </c>
      <c r="M74" s="39">
        <v>444</v>
      </c>
      <c r="N74" s="73">
        <f t="shared" si="33"/>
        <v>1.1389521640091117E-2</v>
      </c>
      <c r="O74" s="136">
        <f>IF(ISNUMBER(M74), $B91 * N74, "")</f>
        <v>1708.4282460136676</v>
      </c>
      <c r="Q74" s="267"/>
      <c r="R74" s="267"/>
      <c r="S74" s="267"/>
    </row>
    <row r="75" spans="1:19" ht="17.25" thickBot="1">
      <c r="A75" s="126" t="s">
        <v>132</v>
      </c>
      <c r="B75" s="127">
        <v>226</v>
      </c>
      <c r="C75" s="74">
        <v>9.1787439600000006E-2</v>
      </c>
      <c r="D75" s="127">
        <v>227</v>
      </c>
      <c r="E75" s="74">
        <f t="shared" si="30"/>
        <v>4.4247787610619468E-3</v>
      </c>
      <c r="F75" s="203">
        <f>IF(ISNUMBER(D75), $B91 * E75, "")</f>
        <v>663.71681415929197</v>
      </c>
      <c r="G75" s="44">
        <v>229</v>
      </c>
      <c r="H75" s="74">
        <f t="shared" si="31"/>
        <v>1.3274336283185841E-2</v>
      </c>
      <c r="I75" s="204">
        <f>IF(ISNUMBER(G75), $B91 * H75, "")</f>
        <v>1991.1504424778761</v>
      </c>
      <c r="J75" s="127">
        <v>230</v>
      </c>
      <c r="K75" s="74">
        <f t="shared" si="32"/>
        <v>1.7699115044247787E-2</v>
      </c>
      <c r="L75" s="203">
        <f>IF(ISNUMBER(J75), $B91 * K75, "")</f>
        <v>2654.8672566371679</v>
      </c>
      <c r="M75" s="44">
        <v>229</v>
      </c>
      <c r="N75" s="74">
        <f t="shared" si="33"/>
        <v>1.3274336283185841E-2</v>
      </c>
      <c r="O75" s="203">
        <f>IF(ISNUMBER(M75), $B91 * N75, "")</f>
        <v>1991.1504424778761</v>
      </c>
      <c r="Q75" s="267"/>
      <c r="R75" s="267"/>
      <c r="S75" s="267"/>
    </row>
    <row r="76" spans="1:19" ht="17.25" thickBot="1">
      <c r="A76" s="124" t="s">
        <v>122</v>
      </c>
      <c r="B76" s="128">
        <v>106</v>
      </c>
      <c r="C76" s="76">
        <v>8.49539406E-2</v>
      </c>
      <c r="D76" s="128">
        <v>103</v>
      </c>
      <c r="E76" s="76">
        <f>IF(ISNUMBER(D76), (D76 - $B76) / $B76, "")</f>
        <v>-2.8301886792452831E-2</v>
      </c>
      <c r="F76" s="205">
        <f>IF(ISNUMBER(D76), $B91 * E76, "")</f>
        <v>-4245.2830188679245</v>
      </c>
      <c r="G76" s="45">
        <v>104</v>
      </c>
      <c r="H76" s="76">
        <f>IF(ISNUMBER(G76), (G76 - $B76) / $B76, "")</f>
        <v>-1.8867924528301886E-2</v>
      </c>
      <c r="I76" s="206">
        <f>IF(ISNUMBER(G76), $B91 * H76, "")</f>
        <v>-2830.1886792452829</v>
      </c>
      <c r="J76" s="128">
        <v>104</v>
      </c>
      <c r="K76" s="76">
        <f>IF(ISNUMBER(J76), (J76 - $B76) / $B76, "")</f>
        <v>-1.8867924528301886E-2</v>
      </c>
      <c r="L76" s="205">
        <f>IF(ISNUMBER(J76), $B91 * K76, "")</f>
        <v>-2830.1886792452829</v>
      </c>
      <c r="M76" s="45">
        <v>104</v>
      </c>
      <c r="N76" s="76">
        <f>IF(ISNUMBER(M76), (M76 - $B76) / $B76, "")</f>
        <v>-1.8867924528301886E-2</v>
      </c>
      <c r="O76" s="205">
        <f>IF(ISNUMBER(M76), $B91 * N76, "")</f>
        <v>-2830.1886792452829</v>
      </c>
      <c r="Q76" s="267"/>
      <c r="R76" s="267"/>
      <c r="S76" s="267"/>
    </row>
    <row r="77" spans="1:19" ht="17.25" thickBot="1">
      <c r="A77" s="124" t="s">
        <v>256</v>
      </c>
      <c r="B77" s="125">
        <v>229</v>
      </c>
      <c r="C77" s="73">
        <v>8.0188679200000001E-2</v>
      </c>
      <c r="D77" s="125">
        <v>235</v>
      </c>
      <c r="E77" s="73">
        <f t="shared" ref="E77:E80" si="34">IF(ISNUMBER(D77), (D77 - $B77) / $B77, "")</f>
        <v>2.6200873362445413E-2</v>
      </c>
      <c r="F77" s="136">
        <f>IF(ISNUMBER(D77), $B91 * E77, "")</f>
        <v>3930.1310043668122</v>
      </c>
      <c r="G77" s="39">
        <v>239</v>
      </c>
      <c r="H77" s="73">
        <f t="shared" ref="H77:H80" si="35">IF(ISNUMBER(G77), (G77 - $B77) / $B77, "")</f>
        <v>4.3668122270742356E-2</v>
      </c>
      <c r="I77" s="202">
        <f>IF(ISNUMBER(G77), $B91 * H77, "")</f>
        <v>6550.2183406113536</v>
      </c>
      <c r="J77" s="125">
        <v>239</v>
      </c>
      <c r="K77" s="73">
        <f t="shared" ref="K77:K80" si="36">IF(ISNUMBER(J77), (J77 - $B77) / $B77, "")</f>
        <v>4.3668122270742356E-2</v>
      </c>
      <c r="L77" s="136">
        <f>IF(ISNUMBER(J77), $B91 * K77, "")</f>
        <v>6550.2183406113536</v>
      </c>
      <c r="M77" s="39">
        <v>241</v>
      </c>
      <c r="N77" s="73">
        <f t="shared" ref="N77:N80" si="37">IF(ISNUMBER(M77), (M77 - $B77) / $B77, "")</f>
        <v>5.2401746724890827E-2</v>
      </c>
      <c r="O77" s="136">
        <f>IF(ISNUMBER(M77), $B91 * N77, "")</f>
        <v>7860.2620087336245</v>
      </c>
      <c r="Q77" s="267"/>
      <c r="R77" s="267"/>
      <c r="S77" s="267"/>
    </row>
    <row r="78" spans="1:19" ht="17.25" thickBot="1">
      <c r="A78" s="124" t="s">
        <v>230</v>
      </c>
      <c r="B78" s="125">
        <v>145</v>
      </c>
      <c r="C78" s="73">
        <v>6.6176470599999995E-2</v>
      </c>
      <c r="D78" s="125">
        <v>150</v>
      </c>
      <c r="E78" s="73">
        <f t="shared" si="34"/>
        <v>3.4482758620689655E-2</v>
      </c>
      <c r="F78" s="136">
        <f>IF(ISNUMBER(D78), $B91 * E78, "")</f>
        <v>5172.4137931034484</v>
      </c>
      <c r="G78" s="39">
        <v>148</v>
      </c>
      <c r="H78" s="73">
        <f t="shared" si="35"/>
        <v>2.0689655172413793E-2</v>
      </c>
      <c r="I78" s="202">
        <f>IF(ISNUMBER(G78), $B91 * H78, "")</f>
        <v>3103.4482758620688</v>
      </c>
      <c r="J78" s="125">
        <v>147</v>
      </c>
      <c r="K78" s="73">
        <f t="shared" si="36"/>
        <v>1.3793103448275862E-2</v>
      </c>
      <c r="L78" s="136">
        <f>IF(ISNUMBER(J78), $B91 * K78, "")</f>
        <v>2068.9655172413791</v>
      </c>
      <c r="M78" s="39">
        <v>146</v>
      </c>
      <c r="N78" s="73">
        <f t="shared" si="37"/>
        <v>6.8965517241379309E-3</v>
      </c>
      <c r="O78" s="136">
        <f>IF(ISNUMBER(M78), $B91 * N78, "")</f>
        <v>1034.4827586206895</v>
      </c>
      <c r="Q78" s="267"/>
      <c r="R78" s="267"/>
      <c r="S78" s="267"/>
    </row>
    <row r="79" spans="1:19" ht="17.25" thickBot="1">
      <c r="A79" s="124" t="s">
        <v>88</v>
      </c>
      <c r="B79" s="125">
        <v>525</v>
      </c>
      <c r="C79" s="73">
        <v>6.4908722099999996E-2</v>
      </c>
      <c r="D79" s="125">
        <v>535</v>
      </c>
      <c r="E79" s="73">
        <f t="shared" si="34"/>
        <v>1.9047619047619049E-2</v>
      </c>
      <c r="F79" s="136">
        <f>IF(ISNUMBER(D79), $B91 * E79, "")</f>
        <v>2857.1428571428573</v>
      </c>
      <c r="G79" s="39">
        <v>538</v>
      </c>
      <c r="H79" s="73">
        <f t="shared" si="35"/>
        <v>2.4761904761904763E-2</v>
      </c>
      <c r="I79" s="202">
        <f>IF(ISNUMBER(G79), $B91 * H79, "")</f>
        <v>3714.2857142857142</v>
      </c>
      <c r="J79" s="125">
        <v>541</v>
      </c>
      <c r="K79" s="73">
        <f t="shared" si="36"/>
        <v>3.0476190476190476E-2</v>
      </c>
      <c r="L79" s="136">
        <f>IF(ISNUMBER(J79), $B91 * K79, "")</f>
        <v>4571.4285714285716</v>
      </c>
      <c r="M79" s="39">
        <v>540</v>
      </c>
      <c r="N79" s="73">
        <f t="shared" si="37"/>
        <v>2.8571428571428571E-2</v>
      </c>
      <c r="O79" s="136">
        <f>IF(ISNUMBER(M79), $B91 * N79, "")</f>
        <v>4285.7142857142853</v>
      </c>
      <c r="Q79" s="33"/>
      <c r="R79" s="33"/>
    </row>
    <row r="80" spans="1:19" ht="17.25" thickBot="1">
      <c r="A80" s="129" t="s">
        <v>260</v>
      </c>
      <c r="B80" s="130">
        <v>115</v>
      </c>
      <c r="C80" s="75">
        <v>6.4814814799999995E-2</v>
      </c>
      <c r="D80" s="130">
        <v>119</v>
      </c>
      <c r="E80" s="75">
        <f t="shared" si="34"/>
        <v>3.4782608695652174E-2</v>
      </c>
      <c r="F80" s="137">
        <f>IF(ISNUMBER(D80), $B91 * E80, "")</f>
        <v>5217.391304347826</v>
      </c>
      <c r="G80" s="37">
        <v>124</v>
      </c>
      <c r="H80" s="75">
        <f t="shared" si="35"/>
        <v>7.8260869565217397E-2</v>
      </c>
      <c r="I80" s="207">
        <f>IF(ISNUMBER(G80), $B91 * H80, "")</f>
        <v>11739.13043478261</v>
      </c>
      <c r="J80" s="130">
        <v>123</v>
      </c>
      <c r="K80" s="75">
        <f t="shared" si="36"/>
        <v>6.9565217391304349E-2</v>
      </c>
      <c r="L80" s="137">
        <f>IF(ISNUMBER(J80), $B91 * K80, "")</f>
        <v>10434.782608695652</v>
      </c>
      <c r="M80" s="37">
        <v>123</v>
      </c>
      <c r="N80" s="75">
        <f t="shared" si="37"/>
        <v>6.9565217391304349E-2</v>
      </c>
      <c r="O80" s="137">
        <f>IF(ISNUMBER(M80), $B91 * N80, "")</f>
        <v>10434.782608695652</v>
      </c>
      <c r="Q80" s="276"/>
      <c r="R80" s="277"/>
      <c r="S80" s="278"/>
    </row>
    <row r="81" spans="1:19">
      <c r="A81" s="122" t="s">
        <v>136</v>
      </c>
      <c r="B81" s="123">
        <v>237</v>
      </c>
      <c r="C81" s="72">
        <v>6.2780269099999994E-2</v>
      </c>
      <c r="D81" s="123">
        <v>234</v>
      </c>
      <c r="E81" s="72">
        <f>IF(ISNUMBER(D81), (D81 - $B81) / $B81, "")</f>
        <v>-1.2658227848101266E-2</v>
      </c>
      <c r="F81" s="140">
        <f>IF(ISNUMBER(D81), $B91 * E81, "")</f>
        <v>-1898.7341772151899</v>
      </c>
      <c r="G81" s="38">
        <v>239</v>
      </c>
      <c r="H81" s="72">
        <f>IF(ISNUMBER(G81), (G81 - $B81) / $B81, "")</f>
        <v>8.4388185654008432E-3</v>
      </c>
      <c r="I81" s="201">
        <f>IF(ISNUMBER(G81), $B91 * H81, "")</f>
        <v>1265.8227848101264</v>
      </c>
      <c r="J81" s="123">
        <v>245</v>
      </c>
      <c r="K81" s="72">
        <f>IF(ISNUMBER(J81), (J81 - $B81) / $B81, "")</f>
        <v>3.3755274261603373E-2</v>
      </c>
      <c r="L81" s="140">
        <f>IF(ISNUMBER(J81), $B91 * K81, "")</f>
        <v>5063.2911392405058</v>
      </c>
      <c r="M81" s="38">
        <v>243</v>
      </c>
      <c r="N81" s="72">
        <f>IF(ISNUMBER(M81), (M81 - $B81) / $B81, "")</f>
        <v>2.5316455696202531E-2</v>
      </c>
      <c r="O81" s="140">
        <f>IF(ISNUMBER(M81), $B91 * N81, "")</f>
        <v>3797.4683544303798</v>
      </c>
      <c r="Q81" s="279"/>
      <c r="R81" s="280"/>
      <c r="S81" s="281"/>
    </row>
    <row r="82" spans="1:19" ht="17.25" thickBot="1">
      <c r="A82" s="124" t="s">
        <v>174</v>
      </c>
      <c r="B82" s="125">
        <v>243</v>
      </c>
      <c r="C82" s="73">
        <v>6.1135371199999997E-2</v>
      </c>
      <c r="D82" s="125">
        <v>254</v>
      </c>
      <c r="E82" s="73">
        <f t="shared" ref="E82:E85" si="38">IF(ISNUMBER(D82), (D82 - $B82) / $B82, "")</f>
        <v>4.5267489711934158E-2</v>
      </c>
      <c r="F82" s="136">
        <f>IF(ISNUMBER(D82), $B91 * E82, "")</f>
        <v>6790.1234567901238</v>
      </c>
      <c r="G82" s="39">
        <v>257</v>
      </c>
      <c r="H82" s="73">
        <f t="shared" ref="H82:H85" si="39">IF(ISNUMBER(G82), (G82 - $B82) / $B82, "")</f>
        <v>5.7613168724279837E-2</v>
      </c>
      <c r="I82" s="202">
        <f>IF(ISNUMBER(G82), $B91 * H82, "")</f>
        <v>8641.9753086419751</v>
      </c>
      <c r="J82" s="125">
        <v>252</v>
      </c>
      <c r="K82" s="73">
        <f t="shared" ref="K82:K85" si="40">IF(ISNUMBER(J82), (J82 - $B82) / $B82, "")</f>
        <v>3.7037037037037035E-2</v>
      </c>
      <c r="L82" s="136">
        <f>IF(ISNUMBER(J82), $B91 * K82, "")</f>
        <v>5555.5555555555557</v>
      </c>
      <c r="M82" s="39">
        <v>252</v>
      </c>
      <c r="N82" s="73">
        <f t="shared" ref="N82:N85" si="41">IF(ISNUMBER(M82), (M82 - $B82) / $B82, "")</f>
        <v>3.7037037037037035E-2</v>
      </c>
      <c r="O82" s="136">
        <f>IF(ISNUMBER(M82), $B91 * N82, "")</f>
        <v>5555.5555555555557</v>
      </c>
      <c r="Q82" s="282"/>
      <c r="R82" s="283"/>
      <c r="S82" s="284"/>
    </row>
    <row r="83" spans="1:19" ht="17.25" thickBot="1">
      <c r="A83" s="124" t="s">
        <v>120</v>
      </c>
      <c r="B83" s="125">
        <v>199</v>
      </c>
      <c r="C83" s="73">
        <v>5.8510638300000001E-2</v>
      </c>
      <c r="D83" s="125">
        <v>198</v>
      </c>
      <c r="E83" s="73">
        <f t="shared" si="38"/>
        <v>-5.0251256281407036E-3</v>
      </c>
      <c r="F83" s="136">
        <f>IF(ISNUMBER(D83), $B91 * E83, "")</f>
        <v>-753.7688442211055</v>
      </c>
      <c r="G83" s="39">
        <v>201</v>
      </c>
      <c r="H83" s="73">
        <f t="shared" si="39"/>
        <v>1.0050251256281407E-2</v>
      </c>
      <c r="I83" s="202">
        <f>IF(ISNUMBER(G83), $B91 * H83, "")</f>
        <v>1507.537688442211</v>
      </c>
      <c r="J83" s="125">
        <v>204</v>
      </c>
      <c r="K83" s="73">
        <f t="shared" si="40"/>
        <v>2.5125628140703519E-2</v>
      </c>
      <c r="L83" s="136">
        <f>IF(ISNUMBER(J83), $B91 * K83, "")</f>
        <v>3768.844221105528</v>
      </c>
      <c r="M83" s="39">
        <v>204</v>
      </c>
      <c r="N83" s="73">
        <f t="shared" si="41"/>
        <v>2.5125628140703519E-2</v>
      </c>
      <c r="O83" s="136">
        <f>IF(ISNUMBER(M83), $B91 * N83, "")</f>
        <v>3768.844221105528</v>
      </c>
      <c r="Q83" s="267"/>
      <c r="R83" s="267"/>
      <c r="S83" s="267"/>
    </row>
    <row r="84" spans="1:19" ht="17.25" thickBot="1">
      <c r="A84" s="124" t="s">
        <v>240</v>
      </c>
      <c r="B84" s="125">
        <v>149</v>
      </c>
      <c r="C84" s="73">
        <v>5.6737588700000001E-2</v>
      </c>
      <c r="D84" s="125">
        <v>165</v>
      </c>
      <c r="E84" s="73">
        <f t="shared" si="38"/>
        <v>0.10738255033557047</v>
      </c>
      <c r="F84" s="136">
        <f>IF(ISNUMBER(D84), $B91 * E84, "")</f>
        <v>16107.382550335569</v>
      </c>
      <c r="G84" s="39">
        <v>161</v>
      </c>
      <c r="H84" s="73">
        <f t="shared" si="39"/>
        <v>8.0536912751677847E-2</v>
      </c>
      <c r="I84" s="202">
        <f>IF(ISNUMBER(G84), $B91 * H84, "")</f>
        <v>12080.536912751677</v>
      </c>
      <c r="J84" s="125">
        <v>163</v>
      </c>
      <c r="K84" s="73">
        <f t="shared" si="40"/>
        <v>9.3959731543624164E-2</v>
      </c>
      <c r="L84" s="136">
        <f>IF(ISNUMBER(J84), $B91 * K84, "")</f>
        <v>14093.959731543624</v>
      </c>
      <c r="M84" s="39">
        <v>159</v>
      </c>
      <c r="N84" s="73">
        <f t="shared" si="41"/>
        <v>6.7114093959731544E-2</v>
      </c>
      <c r="O84" s="136">
        <f>IF(ISNUMBER(M84), $B91 * N84, "")</f>
        <v>10067.114093959732</v>
      </c>
      <c r="Q84" s="262"/>
      <c r="R84" s="262"/>
      <c r="S84" s="262"/>
    </row>
    <row r="85" spans="1:19" ht="17.25" thickBot="1">
      <c r="A85" s="126" t="s">
        <v>270</v>
      </c>
      <c r="B85" s="127">
        <v>510</v>
      </c>
      <c r="C85" s="74">
        <v>5.1546391800000001E-2</v>
      </c>
      <c r="D85" s="127">
        <v>502</v>
      </c>
      <c r="E85" s="74">
        <f t="shared" si="38"/>
        <v>-1.5686274509803921E-2</v>
      </c>
      <c r="F85" s="203">
        <f>IF(ISNUMBER(D85), $B91 * E85, "")</f>
        <v>-2352.9411764705883</v>
      </c>
      <c r="G85" s="44">
        <v>507</v>
      </c>
      <c r="H85" s="74">
        <f t="shared" si="39"/>
        <v>-5.8823529411764705E-3</v>
      </c>
      <c r="I85" s="204">
        <f>IF(ISNUMBER(G85), $B91 * H85, "")</f>
        <v>-882.35294117647061</v>
      </c>
      <c r="J85" s="127">
        <v>513</v>
      </c>
      <c r="K85" s="74">
        <f t="shared" si="40"/>
        <v>5.8823529411764705E-3</v>
      </c>
      <c r="L85" s="203">
        <f>IF(ISNUMBER(J85), $B91 * K85, "")</f>
        <v>882.35294117647061</v>
      </c>
      <c r="M85" s="44">
        <v>509</v>
      </c>
      <c r="N85" s="74">
        <f t="shared" si="41"/>
        <v>-1.9607843137254902E-3</v>
      </c>
      <c r="O85" s="203">
        <f>IF(ISNUMBER(M85), $B91 * N85, "")</f>
        <v>-294.11764705882354</v>
      </c>
      <c r="Q85" s="262"/>
      <c r="R85" s="262"/>
      <c r="S85" s="262"/>
    </row>
    <row r="86" spans="1:19" ht="17.25" thickBot="1">
      <c r="A86" s="124" t="s">
        <v>128</v>
      </c>
      <c r="B86" s="128">
        <v>588</v>
      </c>
      <c r="C86" s="76">
        <v>0.05</v>
      </c>
      <c r="D86" s="128">
        <v>582</v>
      </c>
      <c r="E86" s="76">
        <f>IF(ISNUMBER(D86), (D86 - $B86) / $B86, "")</f>
        <v>-1.020408163265306E-2</v>
      </c>
      <c r="F86" s="205">
        <f>IF(ISNUMBER(D86), $B91 * E86, "")</f>
        <v>-1530.612244897959</v>
      </c>
      <c r="G86" s="45">
        <v>588</v>
      </c>
      <c r="H86" s="76">
        <f>IF(ISNUMBER(G86), (G86 - $B86) / $B86, "")</f>
        <v>0</v>
      </c>
      <c r="I86" s="206">
        <f>IF(ISNUMBER(G86), $B91 * H86, "")</f>
        <v>0</v>
      </c>
      <c r="J86" s="128">
        <v>598</v>
      </c>
      <c r="K86" s="76">
        <f>IF(ISNUMBER(J86), (J86 - $B86) / $B86, "")</f>
        <v>1.7006802721088437E-2</v>
      </c>
      <c r="L86" s="205">
        <f>IF(ISNUMBER(J86), $B91 * K86, "")</f>
        <v>2551.0204081632655</v>
      </c>
      <c r="M86" s="45">
        <v>599</v>
      </c>
      <c r="N86" s="76">
        <f>IF(ISNUMBER(M86), (M86 - $B86) / $B86, "")</f>
        <v>1.8707482993197279E-2</v>
      </c>
      <c r="O86" s="205">
        <f>IF(ISNUMBER(M86), $B91 * N86, "")</f>
        <v>2806.1224489795918</v>
      </c>
      <c r="Q86" s="267"/>
      <c r="R86" s="267"/>
      <c r="S86" s="267"/>
    </row>
    <row r="87" spans="1:19" ht="17.25" thickBot="1">
      <c r="A87" s="124" t="s">
        <v>116</v>
      </c>
      <c r="B87" s="125">
        <v>531</v>
      </c>
      <c r="C87" s="73">
        <v>4.9407114600000003E-2</v>
      </c>
      <c r="D87" s="125">
        <v>527</v>
      </c>
      <c r="E87" s="73">
        <f t="shared" ref="E87:E90" si="42">IF(ISNUMBER(D87), (D87 - $B87) / $B87, "")</f>
        <v>-7.5329566854990581E-3</v>
      </c>
      <c r="F87" s="136">
        <f>IF(ISNUMBER(D87), $B91 * E87, "")</f>
        <v>-1129.9435028248588</v>
      </c>
      <c r="G87" s="39">
        <v>541</v>
      </c>
      <c r="H87" s="73">
        <f t="shared" ref="H87:H90" si="43">IF(ISNUMBER(G87), (G87 - $B87) / $B87, "")</f>
        <v>1.8832391713747645E-2</v>
      </c>
      <c r="I87" s="202">
        <f>IF(ISNUMBER(G87), $B91 * H87, "")</f>
        <v>2824.8587570621467</v>
      </c>
      <c r="J87" s="125">
        <v>544</v>
      </c>
      <c r="K87" s="73">
        <f t="shared" ref="K87:K90" si="44">IF(ISNUMBER(J87), (J87 - $B87) / $B87, "")</f>
        <v>2.4482109227871938E-2</v>
      </c>
      <c r="L87" s="136">
        <f>IF(ISNUMBER(J87), $B91 * K87, "")</f>
        <v>3672.3163841807909</v>
      </c>
      <c r="M87" s="39">
        <v>552</v>
      </c>
      <c r="N87" s="73">
        <f t="shared" ref="N87:N90" si="45">IF(ISNUMBER(M87), (M87 - $B87) / $B87, "")</f>
        <v>3.954802259887006E-2</v>
      </c>
      <c r="O87" s="136">
        <f>IF(ISNUMBER(M87), $B91 * N87, "")</f>
        <v>5932.203389830509</v>
      </c>
      <c r="Q87" s="267"/>
      <c r="R87" s="267"/>
      <c r="S87" s="267"/>
    </row>
    <row r="88" spans="1:19" ht="17.25" thickBot="1">
      <c r="A88" s="124" t="s">
        <v>296</v>
      </c>
      <c r="B88" s="125">
        <v>528</v>
      </c>
      <c r="C88" s="73">
        <v>4.7619047599999999E-2</v>
      </c>
      <c r="D88" s="125">
        <v>644</v>
      </c>
      <c r="E88" s="73">
        <f t="shared" si="42"/>
        <v>0.2196969696969697</v>
      </c>
      <c r="F88" s="136">
        <f>IF(ISNUMBER(D88), $B91 * E88, "")</f>
        <v>32954.545454545456</v>
      </c>
      <c r="G88" s="39">
        <v>662</v>
      </c>
      <c r="H88" s="73">
        <f t="shared" si="43"/>
        <v>0.25378787878787878</v>
      </c>
      <c r="I88" s="202">
        <f>IF(ISNUMBER(G88), $B91 * H88, "")</f>
        <v>38068.181818181816</v>
      </c>
      <c r="J88" s="125">
        <v>658</v>
      </c>
      <c r="K88" s="73">
        <f t="shared" si="44"/>
        <v>0.24621212121212122</v>
      </c>
      <c r="L88" s="136">
        <f>IF(ISNUMBER(J88), $B91 * K88, "")</f>
        <v>36931.818181818184</v>
      </c>
      <c r="M88" s="39">
        <v>662</v>
      </c>
      <c r="N88" s="73">
        <f t="shared" si="45"/>
        <v>0.25378787878787878</v>
      </c>
      <c r="O88" s="136">
        <f>IF(ISNUMBER(M88), $B91 * N88, "")</f>
        <v>38068.181818181816</v>
      </c>
      <c r="Q88" s="267"/>
      <c r="R88" s="267"/>
      <c r="S88" s="267"/>
    </row>
    <row r="89" spans="1:19">
      <c r="A89" s="124" t="s">
        <v>238</v>
      </c>
      <c r="B89" s="125">
        <v>245</v>
      </c>
      <c r="C89" s="73">
        <v>4.7008546999999998E-2</v>
      </c>
      <c r="D89" s="125">
        <v>242</v>
      </c>
      <c r="E89" s="73">
        <f t="shared" si="42"/>
        <v>-1.2244897959183673E-2</v>
      </c>
      <c r="F89" s="136">
        <f>IF(ISNUMBER(D89), $B91 * E89, "")</f>
        <v>-1836.7346938775509</v>
      </c>
      <c r="G89" s="39">
        <v>242</v>
      </c>
      <c r="H89" s="73">
        <f t="shared" si="43"/>
        <v>-1.2244897959183673E-2</v>
      </c>
      <c r="I89" s="202">
        <f>IF(ISNUMBER(G89), $B91 * H89, "")</f>
        <v>-1836.7346938775509</v>
      </c>
      <c r="J89" s="125">
        <v>243</v>
      </c>
      <c r="K89" s="73">
        <f t="shared" si="44"/>
        <v>-8.1632653061224497E-3</v>
      </c>
      <c r="L89" s="136">
        <f>IF(ISNUMBER(J89), $B91 * K89, "")</f>
        <v>-1224.4897959183675</v>
      </c>
      <c r="M89" s="39">
        <v>242</v>
      </c>
      <c r="N89" s="73">
        <f t="shared" si="45"/>
        <v>-1.2244897959183673E-2</v>
      </c>
      <c r="O89" s="136">
        <f>IF(ISNUMBER(M89), $B91 * N89, "")</f>
        <v>-1836.7346938775509</v>
      </c>
      <c r="Q89" s="289"/>
      <c r="R89" s="290"/>
      <c r="S89" s="291"/>
    </row>
    <row r="90" spans="1:19" ht="17.25" thickBot="1">
      <c r="A90" s="129" t="s">
        <v>246</v>
      </c>
      <c r="B90" s="130">
        <v>317</v>
      </c>
      <c r="C90" s="75">
        <v>4.6204620500000002E-2</v>
      </c>
      <c r="D90" s="130">
        <v>324</v>
      </c>
      <c r="E90" s="75">
        <f t="shared" si="42"/>
        <v>2.2082018927444796E-2</v>
      </c>
      <c r="F90" s="137">
        <f>IF(ISNUMBER(D90), $B91 * E90, "")</f>
        <v>3312.3028391167195</v>
      </c>
      <c r="G90" s="37">
        <v>323</v>
      </c>
      <c r="H90" s="75">
        <f t="shared" si="43"/>
        <v>1.8927444794952682E-2</v>
      </c>
      <c r="I90" s="207">
        <f>IF(ISNUMBER(G90), $B91 * H90, "")</f>
        <v>2839.116719242902</v>
      </c>
      <c r="J90" s="130">
        <v>323</v>
      </c>
      <c r="K90" s="75">
        <f t="shared" si="44"/>
        <v>1.8927444794952682E-2</v>
      </c>
      <c r="L90" s="137">
        <f>IF(ISNUMBER(J90), $B91 * K90, "")</f>
        <v>2839.116719242902</v>
      </c>
      <c r="M90" s="37">
        <v>322</v>
      </c>
      <c r="N90" s="75">
        <f t="shared" si="45"/>
        <v>1.5772870662460567E-2</v>
      </c>
      <c r="O90" s="137">
        <f>IF(ISNUMBER(M90), $B91 * N90, "")</f>
        <v>2365.930599369085</v>
      </c>
      <c r="Q90" s="292"/>
      <c r="R90" s="293"/>
      <c r="S90" s="294"/>
    </row>
    <row r="91" spans="1:19" ht="17.25" thickBot="1">
      <c r="A91" s="131" t="s">
        <v>301</v>
      </c>
      <c r="B91" s="300">
        <f>$B$37</f>
        <v>150000</v>
      </c>
      <c r="C91" s="301"/>
      <c r="D91" s="131" t="s">
        <v>302</v>
      </c>
      <c r="E91" s="228">
        <f>IF(COUNT(E71:E90), SUM(E71:E90) / COUNT(E71:E90), 0)</f>
        <v>3.8910856708404121E-2</v>
      </c>
      <c r="F91" s="208">
        <f>SUM(F71:F90)</f>
        <v>116732.57012521235</v>
      </c>
      <c r="G91" s="131" t="s">
        <v>302</v>
      </c>
      <c r="H91" s="228">
        <f>IF(COUNT(H71:H90), SUM(H71:H90) / COUNT(H71:H90), 0)</f>
        <v>4.1814456859103184E-2</v>
      </c>
      <c r="I91" s="208">
        <f>SUM(I71:I90)</f>
        <v>125443.37057730953</v>
      </c>
      <c r="J91" s="131" t="s">
        <v>302</v>
      </c>
      <c r="K91" s="228">
        <f>IF(COUNT(K71:K90), SUM(K71:K90) / COUNT(K71:K90), 0)</f>
        <v>4.4117919348209307E-2</v>
      </c>
      <c r="L91" s="208">
        <f>SUM(L71:L90)</f>
        <v>132353.75804462793</v>
      </c>
      <c r="M91" s="131" t="s">
        <v>302</v>
      </c>
      <c r="N91" s="228">
        <f>IF(COUNT(N71:N90), SUM(N71:N90) / COUNT(N71:N90), 0)</f>
        <v>4.0495634712645064E-2</v>
      </c>
      <c r="O91" s="208">
        <f>SUM(O71:O90)</f>
        <v>121486.90413793517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225" t="s">
        <v>298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62017000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-1.6680144000000001E-2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2021-05-14(금) 오전 00:00</v>
      </c>
      <c r="C96" s="305"/>
      <c r="D96" s="241" t="str">
        <f>TEXT($G$1, "[$-ko-KR]yyyy-mm-dd(ddd) ") &amp; "오후 14:00"</f>
        <v>2021-05-14(금) 오후 14:00</v>
      </c>
      <c r="E96" s="242"/>
      <c r="F96" s="243"/>
      <c r="G96" s="241" t="str">
        <f>TEXT($G$1, "[$-ko-KR]yyyy-mm-dd(ddd) ") &amp; "오후 19:00"</f>
        <v>2021-05-14(금) 오후 19:00</v>
      </c>
      <c r="H96" s="242"/>
      <c r="I96" s="243"/>
      <c r="J96" s="241" t="str">
        <f>TEXT($G$1, "[$-ko-KR]yyyy-mm-dd(ddd) ") &amp; "오후 21:00"</f>
        <v>2021-05-14(금) 오후 21:00</v>
      </c>
      <c r="K96" s="242"/>
      <c r="L96" s="243"/>
      <c r="M96" s="241" t="str">
        <f>TEXT($G$1+1, "[$-ko-KR]yyyy-mm-dd(ddd) ") &amp; "오전 00:00"</f>
        <v>2021-05-15(토) 오전 00:00</v>
      </c>
      <c r="N96" s="242"/>
      <c r="O96" s="243"/>
      <c r="Q96" s="262"/>
      <c r="R96" s="262"/>
      <c r="S96" s="262"/>
    </row>
    <row r="97" spans="1:19" ht="17.25" thickBot="1">
      <c r="A97" s="303"/>
      <c r="B97" s="120" t="s">
        <v>58</v>
      </c>
      <c r="C97" s="121" t="s">
        <v>59</v>
      </c>
      <c r="D97" s="120" t="s">
        <v>58</v>
      </c>
      <c r="E97" s="121" t="s">
        <v>299</v>
      </c>
      <c r="F97" s="232" t="s">
        <v>300</v>
      </c>
      <c r="G97" s="225" t="s">
        <v>58</v>
      </c>
      <c r="H97" s="226" t="s">
        <v>299</v>
      </c>
      <c r="I97" s="227" t="s">
        <v>300</v>
      </c>
      <c r="J97" s="121" t="s">
        <v>58</v>
      </c>
      <c r="K97" s="121" t="s">
        <v>299</v>
      </c>
      <c r="L97" s="230" t="s">
        <v>300</v>
      </c>
      <c r="M97" s="120" t="s">
        <v>58</v>
      </c>
      <c r="N97" s="121" t="s">
        <v>299</v>
      </c>
      <c r="O97" s="231" t="s">
        <v>300</v>
      </c>
      <c r="Q97" s="267"/>
      <c r="R97" s="267"/>
      <c r="S97" s="267"/>
    </row>
    <row r="98" spans="1:19" ht="17.25" thickBot="1">
      <c r="A98" s="122" t="s">
        <v>84</v>
      </c>
      <c r="B98" s="123">
        <v>2310</v>
      </c>
      <c r="C98" s="72">
        <v>0.19379844960000001</v>
      </c>
      <c r="D98" s="123">
        <v>2320</v>
      </c>
      <c r="E98" s="72">
        <f>IF(ISNUMBER(D98), (D98 - $B98) / $B98, "")</f>
        <v>4.329004329004329E-3</v>
      </c>
      <c r="F98" s="140">
        <f>IF(ISNUMBER(D98), $B118 * E98, "")</f>
        <v>649.35064935064941</v>
      </c>
      <c r="G98" s="38">
        <v>2330</v>
      </c>
      <c r="H98" s="72">
        <f>IF(ISNUMBER(G98), (G98 - $B98) / $B98, "")</f>
        <v>8.658008658008658E-3</v>
      </c>
      <c r="I98" s="201">
        <f>IF(ISNUMBER(G98), $B118 * H98, "")</f>
        <v>1298.7012987012988</v>
      </c>
      <c r="J98" s="123">
        <v>2315</v>
      </c>
      <c r="K98" s="72">
        <f>IF(ISNUMBER(J98), (J98 - $B98) / $B98, "")</f>
        <v>2.1645021645021645E-3</v>
      </c>
      <c r="L98" s="140">
        <f>IF(ISNUMBER(J98), $B118 * K98, "")</f>
        <v>324.6753246753247</v>
      </c>
      <c r="M98" s="38">
        <v>2325</v>
      </c>
      <c r="N98" s="72">
        <f>IF(ISNUMBER(M98), (M98 - $B98) / $B98, "")</f>
        <v>6.4935064935064939E-3</v>
      </c>
      <c r="O98" s="140">
        <f>IF(ISNUMBER(M98), $B118 * N98, "")</f>
        <v>974.02597402597405</v>
      </c>
      <c r="Q98" s="262"/>
      <c r="R98" s="262"/>
      <c r="S98" s="262"/>
    </row>
    <row r="99" spans="1:19" ht="17.25" thickBot="1">
      <c r="A99" s="124" t="s">
        <v>138</v>
      </c>
      <c r="B99" s="125">
        <v>50000</v>
      </c>
      <c r="C99" s="73">
        <v>0.1574074074</v>
      </c>
      <c r="D99" s="125">
        <v>50520</v>
      </c>
      <c r="E99" s="73">
        <f t="shared" ref="E99:E102" si="46">IF(ISNUMBER(D99), (D99 - $B99) / $B99, "")</f>
        <v>1.04E-2</v>
      </c>
      <c r="F99" s="136">
        <f>IF(ISNUMBER(D99), $B118 * E99, "")</f>
        <v>1560</v>
      </c>
      <c r="G99" s="39">
        <v>50500</v>
      </c>
      <c r="H99" s="73">
        <f t="shared" ref="H99:H102" si="47">IF(ISNUMBER(G99), (G99 - $B99) / $B99, "")</f>
        <v>0.01</v>
      </c>
      <c r="I99" s="202">
        <f>IF(ISNUMBER(G99), $B118 * H99, "")</f>
        <v>1500</v>
      </c>
      <c r="J99" s="125">
        <v>50770</v>
      </c>
      <c r="K99" s="73">
        <f t="shared" ref="K99:K102" si="48">IF(ISNUMBER(J99), (J99 - $B99) / $B99, "")</f>
        <v>1.54E-2</v>
      </c>
      <c r="L99" s="136">
        <f>IF(ISNUMBER(J99), $B118 * K99, "")</f>
        <v>2310</v>
      </c>
      <c r="M99" s="39">
        <v>53360</v>
      </c>
      <c r="N99" s="73">
        <f t="shared" ref="N99:N102" si="49">IF(ISNUMBER(M99), (M99 - $B99) / $B99, "")</f>
        <v>6.7199999999999996E-2</v>
      </c>
      <c r="O99" s="136">
        <f>IF(ISNUMBER(M99), $B118 * N99, "")</f>
        <v>10080</v>
      </c>
      <c r="Q99" s="262"/>
      <c r="R99" s="262"/>
      <c r="S99" s="262"/>
    </row>
    <row r="100" spans="1:19" ht="17.25" thickBot="1">
      <c r="A100" s="124" t="s">
        <v>54</v>
      </c>
      <c r="B100" s="125">
        <v>333</v>
      </c>
      <c r="C100" s="73">
        <v>0.1174496644</v>
      </c>
      <c r="D100" s="125">
        <v>466</v>
      </c>
      <c r="E100" s="73">
        <f t="shared" si="46"/>
        <v>0.39939939939939939</v>
      </c>
      <c r="F100" s="136">
        <f>IF(ISNUMBER(D100), $B118 * E100, "")</f>
        <v>59909.909909909911</v>
      </c>
      <c r="G100" s="39">
        <v>425</v>
      </c>
      <c r="H100" s="73">
        <f t="shared" si="47"/>
        <v>0.27627627627627627</v>
      </c>
      <c r="I100" s="202">
        <f>IF(ISNUMBER(G100), $B118 * H100, "")</f>
        <v>41441.441441441442</v>
      </c>
      <c r="J100" s="125">
        <v>418</v>
      </c>
      <c r="K100" s="73">
        <f t="shared" si="48"/>
        <v>0.25525525525525528</v>
      </c>
      <c r="L100" s="136">
        <f>IF(ISNUMBER(J100), $B118 * K100, "")</f>
        <v>38288.288288288291</v>
      </c>
      <c r="M100" s="39">
        <v>402</v>
      </c>
      <c r="N100" s="73">
        <f t="shared" si="49"/>
        <v>0.2072072072072072</v>
      </c>
      <c r="O100" s="136">
        <f>IF(ISNUMBER(M100), $B118 * N100, "")</f>
        <v>31081.08108108108</v>
      </c>
      <c r="Q100" s="267"/>
      <c r="R100" s="267"/>
      <c r="S100" s="267"/>
    </row>
    <row r="101" spans="1:19" ht="17.25" thickBot="1">
      <c r="A101" s="124" t="s">
        <v>258</v>
      </c>
      <c r="B101" s="125">
        <v>624</v>
      </c>
      <c r="C101" s="73">
        <v>0.11428571429999999</v>
      </c>
      <c r="D101" s="125">
        <v>592</v>
      </c>
      <c r="E101" s="73">
        <f t="shared" si="46"/>
        <v>-5.128205128205128E-2</v>
      </c>
      <c r="F101" s="136">
        <f>IF(ISNUMBER(D101), $B118 * E101, "")</f>
        <v>-7692.3076923076924</v>
      </c>
      <c r="G101" s="39">
        <v>599</v>
      </c>
      <c r="H101" s="73">
        <f t="shared" si="47"/>
        <v>-4.0064102564102567E-2</v>
      </c>
      <c r="I101" s="202">
        <f>IF(ISNUMBER(G101), $B118 * H101, "")</f>
        <v>-6009.6153846153848</v>
      </c>
      <c r="J101" s="125">
        <v>603</v>
      </c>
      <c r="K101" s="73">
        <f t="shared" si="48"/>
        <v>-3.3653846153846152E-2</v>
      </c>
      <c r="L101" s="136">
        <f>IF(ISNUMBER(J101), $B118 * K101, "")</f>
        <v>-5048.0769230769229</v>
      </c>
      <c r="M101" s="39">
        <v>600</v>
      </c>
      <c r="N101" s="73">
        <f t="shared" si="49"/>
        <v>-3.8461538461538464E-2</v>
      </c>
      <c r="O101" s="136">
        <f>IF(ISNUMBER(M101), $B118 * N101, "")</f>
        <v>-5769.2307692307695</v>
      </c>
      <c r="Q101" s="267"/>
      <c r="R101" s="267"/>
      <c r="S101" s="267"/>
    </row>
    <row r="102" spans="1:19" ht="17.25" thickBot="1">
      <c r="A102" s="126" t="s">
        <v>142</v>
      </c>
      <c r="B102" s="127">
        <v>411</v>
      </c>
      <c r="C102" s="74">
        <v>0.1138211382</v>
      </c>
      <c r="D102" s="127">
        <v>421</v>
      </c>
      <c r="E102" s="74">
        <f t="shared" si="46"/>
        <v>2.4330900243309004E-2</v>
      </c>
      <c r="F102" s="203">
        <f>IF(ISNUMBER(D102), $B118 * E102, "")</f>
        <v>3649.6350364963505</v>
      </c>
      <c r="G102" s="44">
        <v>420</v>
      </c>
      <c r="H102" s="74">
        <f t="shared" si="47"/>
        <v>2.1897810218978103E-2</v>
      </c>
      <c r="I102" s="204">
        <f>IF(ISNUMBER(G102), $B118 * H102, "")</f>
        <v>3284.6715328467153</v>
      </c>
      <c r="J102" s="127">
        <v>418</v>
      </c>
      <c r="K102" s="74">
        <f t="shared" si="48"/>
        <v>1.7031630170316302E-2</v>
      </c>
      <c r="L102" s="203">
        <f>IF(ISNUMBER(J102), $B118 * K102, "")</f>
        <v>2554.7445255474454</v>
      </c>
      <c r="M102" s="44">
        <v>415</v>
      </c>
      <c r="N102" s="74">
        <f t="shared" si="49"/>
        <v>9.7323600973236012E-3</v>
      </c>
      <c r="O102" s="203">
        <f>IF(ISNUMBER(M102), $B118 * N102, "")</f>
        <v>1459.8540145985403</v>
      </c>
      <c r="Q102" s="267"/>
      <c r="R102" s="267"/>
      <c r="S102" s="267"/>
    </row>
    <row r="103" spans="1:19" ht="17.25" thickBot="1">
      <c r="A103" s="124" t="s">
        <v>216</v>
      </c>
      <c r="B103" s="128">
        <v>439</v>
      </c>
      <c r="C103" s="76">
        <v>0.1057934509</v>
      </c>
      <c r="D103" s="128">
        <v>432</v>
      </c>
      <c r="E103" s="76">
        <f>IF(ISNUMBER(D103), (D103 - $B103) / $B103, "")</f>
        <v>-1.5945330296127564E-2</v>
      </c>
      <c r="F103" s="205">
        <f>IF(ISNUMBER(D103), $B118 * E103, "")</f>
        <v>-2391.7995444191347</v>
      </c>
      <c r="G103" s="45">
        <v>433</v>
      </c>
      <c r="H103" s="76">
        <f>IF(ISNUMBER(G103), (G103 - $B103) / $B103, "")</f>
        <v>-1.366742596810934E-2</v>
      </c>
      <c r="I103" s="206">
        <f>IF(ISNUMBER(G103), $B118 * H103, "")</f>
        <v>-2050.113895216401</v>
      </c>
      <c r="J103" s="128">
        <v>436</v>
      </c>
      <c r="K103" s="76">
        <f>IF(ISNUMBER(J103), (J103 - $B103) / $B103, "")</f>
        <v>-6.8337129840546698E-3</v>
      </c>
      <c r="L103" s="205">
        <f>IF(ISNUMBER(J103), $B118 * K103, "")</f>
        <v>-1025.0569476082005</v>
      </c>
      <c r="M103" s="45">
        <v>444</v>
      </c>
      <c r="N103" s="76">
        <f>IF(ISNUMBER(M103), (M103 - $B103) / $B103, "")</f>
        <v>1.1389521640091117E-2</v>
      </c>
      <c r="O103" s="205">
        <f>IF(ISNUMBER(M103), $B118 * N103, "")</f>
        <v>1708.4282460136676</v>
      </c>
      <c r="Q103" s="267"/>
      <c r="R103" s="267"/>
      <c r="S103" s="267"/>
    </row>
    <row r="104" spans="1:19" ht="17.25" thickBot="1">
      <c r="A104" s="124" t="s">
        <v>110</v>
      </c>
      <c r="B104" s="125">
        <v>2760</v>
      </c>
      <c r="C104" s="73">
        <v>0.10179640719999999</v>
      </c>
      <c r="D104" s="125">
        <v>2630</v>
      </c>
      <c r="E104" s="73">
        <f t="shared" ref="E104:E107" si="50">IF(ISNUMBER(D104), (D104 - $B104) / $B104, "")</f>
        <v>-4.710144927536232E-2</v>
      </c>
      <c r="F104" s="136">
        <f>IF(ISNUMBER(D104), $B118 * E104, "")</f>
        <v>-7065.217391304348</v>
      </c>
      <c r="G104" s="39">
        <v>2675</v>
      </c>
      <c r="H104" s="73">
        <f t="shared" ref="H104:H107" si="51">IF(ISNUMBER(G104), (G104 - $B104) / $B104, "")</f>
        <v>-3.0797101449275364E-2</v>
      </c>
      <c r="I104" s="202">
        <f>IF(ISNUMBER(G104), $B118 * H104, "")</f>
        <v>-4619.5652173913049</v>
      </c>
      <c r="J104" s="125">
        <v>2680</v>
      </c>
      <c r="K104" s="73">
        <f t="shared" ref="K104:K107" si="52">IF(ISNUMBER(J104), (J104 - $B104) / $B104, "")</f>
        <v>-2.8985507246376812E-2</v>
      </c>
      <c r="L104" s="136">
        <f>IF(ISNUMBER(J104), $B118 * K104, "")</f>
        <v>-4347.826086956522</v>
      </c>
      <c r="M104" s="39">
        <v>2695</v>
      </c>
      <c r="N104" s="73">
        <f t="shared" ref="N104:N107" si="53">IF(ISNUMBER(M104), (M104 - $B104) / $B104, "")</f>
        <v>-2.355072463768116E-2</v>
      </c>
      <c r="O104" s="136">
        <f>IF(ISNUMBER(M104), $B118 * N104, "")</f>
        <v>-3532.608695652174</v>
      </c>
      <c r="Q104" s="267"/>
      <c r="R104" s="267"/>
      <c r="S104" s="267"/>
    </row>
    <row r="105" spans="1:19" ht="17.25" thickBot="1">
      <c r="A105" s="124" t="s">
        <v>132</v>
      </c>
      <c r="B105" s="125">
        <v>226</v>
      </c>
      <c r="C105" s="73">
        <v>9.1787439600000006E-2</v>
      </c>
      <c r="D105" s="125">
        <v>227</v>
      </c>
      <c r="E105" s="73">
        <f t="shared" si="50"/>
        <v>4.4247787610619468E-3</v>
      </c>
      <c r="F105" s="136">
        <f>IF(ISNUMBER(D105), $B118 * E105, "")</f>
        <v>663.71681415929197</v>
      </c>
      <c r="G105" s="39">
        <v>229</v>
      </c>
      <c r="H105" s="73">
        <f t="shared" si="51"/>
        <v>1.3274336283185841E-2</v>
      </c>
      <c r="I105" s="202">
        <f>IF(ISNUMBER(G105), $B118 * H105, "")</f>
        <v>1991.1504424778761</v>
      </c>
      <c r="J105" s="125">
        <v>230</v>
      </c>
      <c r="K105" s="73">
        <f t="shared" si="52"/>
        <v>1.7699115044247787E-2</v>
      </c>
      <c r="L105" s="136">
        <f>IF(ISNUMBER(J105), $B118 * K105, "")</f>
        <v>2654.8672566371679</v>
      </c>
      <c r="M105" s="39">
        <v>229</v>
      </c>
      <c r="N105" s="73">
        <f t="shared" si="53"/>
        <v>1.3274336283185841E-2</v>
      </c>
      <c r="O105" s="136">
        <f>IF(ISNUMBER(M105), $B118 * N105, "")</f>
        <v>1991.1504424778761</v>
      </c>
      <c r="Q105" s="267"/>
      <c r="R105" s="267"/>
      <c r="S105" s="267"/>
    </row>
    <row r="106" spans="1:19" ht="17.25" thickBot="1">
      <c r="A106" s="124" t="s">
        <v>122</v>
      </c>
      <c r="B106" s="125">
        <v>106</v>
      </c>
      <c r="C106" s="73">
        <v>8.49539406E-2</v>
      </c>
      <c r="D106" s="125">
        <v>103</v>
      </c>
      <c r="E106" s="73">
        <f t="shared" si="50"/>
        <v>-2.8301886792452831E-2</v>
      </c>
      <c r="F106" s="136">
        <f>IF(ISNUMBER(D106), $B118 * E106, "")</f>
        <v>-4245.2830188679245</v>
      </c>
      <c r="G106" s="39">
        <v>104</v>
      </c>
      <c r="H106" s="73">
        <f t="shared" si="51"/>
        <v>-1.8867924528301886E-2</v>
      </c>
      <c r="I106" s="202">
        <f>IF(ISNUMBER(G106), $B118 * H106, "")</f>
        <v>-2830.1886792452829</v>
      </c>
      <c r="J106" s="125">
        <v>104</v>
      </c>
      <c r="K106" s="73">
        <f t="shared" si="52"/>
        <v>-1.8867924528301886E-2</v>
      </c>
      <c r="L106" s="136">
        <f>IF(ISNUMBER(J106), $B118 * K106, "")</f>
        <v>-2830.1886792452829</v>
      </c>
      <c r="M106" s="39">
        <v>104</v>
      </c>
      <c r="N106" s="73">
        <f t="shared" si="53"/>
        <v>-1.8867924528301886E-2</v>
      </c>
      <c r="O106" s="136">
        <f>IF(ISNUMBER(M106), $B118 * N106, "")</f>
        <v>-2830.1886792452829</v>
      </c>
      <c r="Q106" s="33"/>
      <c r="R106" s="33"/>
    </row>
    <row r="107" spans="1:19" ht="17.25" thickBot="1">
      <c r="A107" s="129" t="s">
        <v>108</v>
      </c>
      <c r="B107" s="130">
        <v>51470</v>
      </c>
      <c r="C107" s="75">
        <v>8.3578947400000006E-2</v>
      </c>
      <c r="D107" s="130">
        <v>52760</v>
      </c>
      <c r="E107" s="75">
        <f t="shared" si="50"/>
        <v>2.5063143578783757E-2</v>
      </c>
      <c r="F107" s="137">
        <f>IF(ISNUMBER(D107), $B118 * E107, "")</f>
        <v>3759.4715368175634</v>
      </c>
      <c r="G107" s="37">
        <v>56110</v>
      </c>
      <c r="H107" s="75">
        <f t="shared" si="51"/>
        <v>9.0149601709733823E-2</v>
      </c>
      <c r="I107" s="207">
        <f>IF(ISNUMBER(G107), $B118 * H107, "")</f>
        <v>13522.440256460073</v>
      </c>
      <c r="J107" s="130">
        <v>55870</v>
      </c>
      <c r="K107" s="75">
        <f t="shared" si="52"/>
        <v>8.5486691276471738E-2</v>
      </c>
      <c r="L107" s="137">
        <f>IF(ISNUMBER(J107), $B118 * K107, "")</f>
        <v>12823.00369147076</v>
      </c>
      <c r="M107" s="37">
        <v>55130</v>
      </c>
      <c r="N107" s="75">
        <f t="shared" si="53"/>
        <v>7.1109384107246945E-2</v>
      </c>
      <c r="O107" s="137">
        <f>IF(ISNUMBER(M107), $B118 * N107, "")</f>
        <v>10666.407616087041</v>
      </c>
      <c r="Q107" s="276"/>
      <c r="R107" s="277"/>
      <c r="S107" s="278"/>
    </row>
    <row r="108" spans="1:19">
      <c r="A108" s="122" t="s">
        <v>220</v>
      </c>
      <c r="B108" s="123">
        <v>16.899999999999999</v>
      </c>
      <c r="C108" s="72">
        <v>8.3333333300000006E-2</v>
      </c>
      <c r="D108" s="123">
        <v>18.399999999999999</v>
      </c>
      <c r="E108" s="72">
        <f>IF(ISNUMBER(D108), (D108 - $B108) / $B108, "")</f>
        <v>8.8757396449704151E-2</v>
      </c>
      <c r="F108" s="140">
        <f>IF(ISNUMBER(D108), $B118 * E108, "")</f>
        <v>13313.609467455623</v>
      </c>
      <c r="G108" s="38">
        <v>18</v>
      </c>
      <c r="H108" s="72">
        <f>IF(ISNUMBER(G108), (G108 - $B108) / $B108, "")</f>
        <v>6.5088757396449801E-2</v>
      </c>
      <c r="I108" s="201">
        <f>IF(ISNUMBER(G108), $B118 * H108, "")</f>
        <v>9763.3136094674701</v>
      </c>
      <c r="J108" s="123">
        <v>18</v>
      </c>
      <c r="K108" s="72">
        <f>IF(ISNUMBER(J108), (J108 - $B108) / $B108, "")</f>
        <v>6.5088757396449801E-2</v>
      </c>
      <c r="L108" s="140">
        <f>IF(ISNUMBER(J108), $B118 * K108, "")</f>
        <v>9763.3136094674701</v>
      </c>
      <c r="M108" s="38">
        <v>17.899999999999999</v>
      </c>
      <c r="N108" s="72">
        <f>IF(ISNUMBER(M108), (M108 - $B108) / $B108, "")</f>
        <v>5.9171597633136098E-2</v>
      </c>
      <c r="O108" s="140">
        <f>IF(ISNUMBER(M108), $B118 * N108, "")</f>
        <v>8875.7396449704156</v>
      </c>
      <c r="Q108" s="279"/>
      <c r="R108" s="280"/>
      <c r="S108" s="281"/>
    </row>
    <row r="109" spans="1:19" ht="17.25" thickBot="1">
      <c r="A109" s="124" t="s">
        <v>90</v>
      </c>
      <c r="B109" s="125">
        <v>400800</v>
      </c>
      <c r="C109" s="73">
        <v>8.2950553900000001E-2</v>
      </c>
      <c r="D109" s="125">
        <v>394550</v>
      </c>
      <c r="E109" s="73">
        <f t="shared" ref="E109:E112" si="54">IF(ISNUMBER(D109), (D109 - $B109) / $B109, "")</f>
        <v>-1.55938123752495E-2</v>
      </c>
      <c r="F109" s="136">
        <f>IF(ISNUMBER(D109), $B118 * E109, "")</f>
        <v>-2339.0718562874249</v>
      </c>
      <c r="G109" s="39">
        <v>400300</v>
      </c>
      <c r="H109" s="73">
        <f t="shared" ref="H109:H112" si="55">IF(ISNUMBER(G109), (G109 - $B109) / $B109, "")</f>
        <v>-1.2475049900199601E-3</v>
      </c>
      <c r="I109" s="202">
        <f>IF(ISNUMBER(G109), $B118 * H109, "")</f>
        <v>-187.12574850299401</v>
      </c>
      <c r="J109" s="125">
        <v>402900</v>
      </c>
      <c r="K109" s="73">
        <f t="shared" ref="K109:K112" si="56">IF(ISNUMBER(J109), (J109 - $B109) / $B109, "")</f>
        <v>5.239520958083832E-3</v>
      </c>
      <c r="L109" s="136">
        <f>IF(ISNUMBER(J109), $B118 * K109, "")</f>
        <v>785.92814371257475</v>
      </c>
      <c r="M109" s="39">
        <v>409350</v>
      </c>
      <c r="N109" s="73">
        <f t="shared" ref="N109:N112" si="57">IF(ISNUMBER(M109), (M109 - $B109) / $B109, "")</f>
        <v>2.1332335329341319E-2</v>
      </c>
      <c r="O109" s="136">
        <f>IF(ISNUMBER(M109), $B118 * N109, "")</f>
        <v>3199.8502994011978</v>
      </c>
      <c r="Q109" s="282"/>
      <c r="R109" s="283"/>
      <c r="S109" s="284"/>
    </row>
    <row r="110" spans="1:19" ht="17.25" thickBot="1">
      <c r="A110" s="124" t="s">
        <v>256</v>
      </c>
      <c r="B110" s="125">
        <v>229</v>
      </c>
      <c r="C110" s="73">
        <v>8.0188679200000001E-2</v>
      </c>
      <c r="D110" s="125">
        <v>235</v>
      </c>
      <c r="E110" s="73">
        <f t="shared" si="54"/>
        <v>2.6200873362445413E-2</v>
      </c>
      <c r="F110" s="136">
        <f>IF(ISNUMBER(D110), $B118 * E110, "")</f>
        <v>3930.1310043668122</v>
      </c>
      <c r="G110" s="39">
        <v>239</v>
      </c>
      <c r="H110" s="73">
        <f t="shared" si="55"/>
        <v>4.3668122270742356E-2</v>
      </c>
      <c r="I110" s="202">
        <f>IF(ISNUMBER(G110), $B118 * H110, "")</f>
        <v>6550.2183406113536</v>
      </c>
      <c r="J110" s="125">
        <v>239</v>
      </c>
      <c r="K110" s="73">
        <f t="shared" si="56"/>
        <v>4.3668122270742356E-2</v>
      </c>
      <c r="L110" s="136">
        <f>IF(ISNUMBER(J110), $B118 * K110, "")</f>
        <v>6550.2183406113536</v>
      </c>
      <c r="M110" s="39">
        <v>241</v>
      </c>
      <c r="N110" s="73">
        <f t="shared" si="57"/>
        <v>5.2401746724890827E-2</v>
      </c>
      <c r="O110" s="136">
        <f>IF(ISNUMBER(M110), $B118 * N110, "")</f>
        <v>7860.2620087336245</v>
      </c>
      <c r="Q110" s="267"/>
      <c r="R110" s="267"/>
      <c r="S110" s="267"/>
    </row>
    <row r="111" spans="1:19" ht="17.25" thickBot="1">
      <c r="A111" s="124" t="s">
        <v>194</v>
      </c>
      <c r="B111" s="125">
        <v>11990</v>
      </c>
      <c r="C111" s="73">
        <v>8.0180180200000006E-2</v>
      </c>
      <c r="D111" s="125">
        <v>12160</v>
      </c>
      <c r="E111" s="73">
        <f t="shared" si="54"/>
        <v>1.4178482068390326E-2</v>
      </c>
      <c r="F111" s="136">
        <f>IF(ISNUMBER(D111), $B118 * E111, "")</f>
        <v>2126.7723102585487</v>
      </c>
      <c r="G111" s="39">
        <v>12150</v>
      </c>
      <c r="H111" s="73">
        <f t="shared" si="55"/>
        <v>1.3344453711426188E-2</v>
      </c>
      <c r="I111" s="202">
        <f>IF(ISNUMBER(G111), $B118 * H111, "")</f>
        <v>2001.6680567139283</v>
      </c>
      <c r="J111" s="125">
        <v>12170</v>
      </c>
      <c r="K111" s="73">
        <f t="shared" si="56"/>
        <v>1.5012510425354461E-2</v>
      </c>
      <c r="L111" s="136">
        <f>IF(ISNUMBER(J111), $B118 * K111, "")</f>
        <v>2251.8765638031691</v>
      </c>
      <c r="M111" s="39">
        <v>12160</v>
      </c>
      <c r="N111" s="73">
        <f t="shared" si="57"/>
        <v>1.4178482068390326E-2</v>
      </c>
      <c r="O111" s="136">
        <f>IF(ISNUMBER(M111), $B118 * N111, "")</f>
        <v>2126.7723102585487</v>
      </c>
      <c r="Q111" s="262"/>
      <c r="R111" s="262"/>
      <c r="S111" s="262"/>
    </row>
    <row r="112" spans="1:19" ht="17.25" thickBot="1">
      <c r="A112" s="126" t="s">
        <v>76</v>
      </c>
      <c r="B112" s="127">
        <v>55200</v>
      </c>
      <c r="C112" s="74">
        <v>8.0023478800000006E-2</v>
      </c>
      <c r="D112" s="127">
        <v>55210</v>
      </c>
      <c r="E112" s="74">
        <f t="shared" si="54"/>
        <v>1.8115942028985507E-4</v>
      </c>
      <c r="F112" s="203">
        <f>IF(ISNUMBER(D112), $B118 * E112, "")</f>
        <v>27.173913043478262</v>
      </c>
      <c r="G112" s="44">
        <v>56160</v>
      </c>
      <c r="H112" s="74">
        <f t="shared" si="55"/>
        <v>1.7391304347826087E-2</v>
      </c>
      <c r="I112" s="204">
        <f>IF(ISNUMBER(G112), $B118 * H112, "")</f>
        <v>2608.695652173913</v>
      </c>
      <c r="J112" s="127">
        <v>55860</v>
      </c>
      <c r="K112" s="74">
        <f t="shared" si="56"/>
        <v>1.1956521739130435E-2</v>
      </c>
      <c r="L112" s="203">
        <f>IF(ISNUMBER(J112), $B118 * K112, "")</f>
        <v>1793.4782608695652</v>
      </c>
      <c r="M112" s="44">
        <v>56700</v>
      </c>
      <c r="N112" s="74">
        <f t="shared" si="57"/>
        <v>2.717391304347826E-2</v>
      </c>
      <c r="O112" s="203">
        <f>IF(ISNUMBER(M112), $B118 * N112, "")</f>
        <v>4076.086956521739</v>
      </c>
      <c r="Q112" s="262"/>
      <c r="R112" s="262"/>
      <c r="S112" s="262"/>
    </row>
    <row r="113" spans="1:19" ht="17.25" thickBot="1">
      <c r="A113" s="124" t="s">
        <v>244</v>
      </c>
      <c r="B113" s="128">
        <v>3015</v>
      </c>
      <c r="C113" s="76">
        <v>7.6785714300000002E-2</v>
      </c>
      <c r="D113" s="128">
        <v>2985</v>
      </c>
      <c r="E113" s="76">
        <f>IF(ISNUMBER(D113), (D113 - $B113) / $B113, "")</f>
        <v>-9.9502487562189053E-3</v>
      </c>
      <c r="F113" s="205">
        <f>IF(ISNUMBER(D113), $B118 * E113, "")</f>
        <v>-1492.5373134328358</v>
      </c>
      <c r="G113" s="45">
        <v>3010</v>
      </c>
      <c r="H113" s="76">
        <f>IF(ISNUMBER(G113), (G113 - $B113) / $B113, "")</f>
        <v>-1.658374792703151E-3</v>
      </c>
      <c r="I113" s="206">
        <f>IF(ISNUMBER(G113), $B118 * H113, "")</f>
        <v>-248.75621890547265</v>
      </c>
      <c r="J113" s="128">
        <v>3050</v>
      </c>
      <c r="K113" s="76">
        <f>IF(ISNUMBER(J113), (J113 - $B113) / $B113, "")</f>
        <v>1.1608623548922056E-2</v>
      </c>
      <c r="L113" s="205">
        <f>IF(ISNUMBER(J113), $B118 * K113, "")</f>
        <v>1741.2935323383083</v>
      </c>
      <c r="M113" s="45">
        <v>3060</v>
      </c>
      <c r="N113" s="76">
        <f>IF(ISNUMBER(M113), (M113 - $B113) / $B113, "")</f>
        <v>1.4925373134328358E-2</v>
      </c>
      <c r="O113" s="205">
        <f>IF(ISNUMBER(M113), $B118 * N113, "")</f>
        <v>2238.8059701492539</v>
      </c>
      <c r="Q113" s="267"/>
      <c r="R113" s="267"/>
      <c r="S113" s="267"/>
    </row>
    <row r="114" spans="1:19" ht="17.25" thickBot="1">
      <c r="A114" s="124" t="s">
        <v>118</v>
      </c>
      <c r="B114" s="125">
        <v>6730</v>
      </c>
      <c r="C114" s="73">
        <v>6.9952305199999995E-2</v>
      </c>
      <c r="D114" s="125">
        <v>6745</v>
      </c>
      <c r="E114" s="73">
        <f t="shared" ref="E114:E117" si="58">IF(ISNUMBER(D114), (D114 - $B114) / $B114, "")</f>
        <v>2.2288261515601782E-3</v>
      </c>
      <c r="F114" s="136">
        <f>IF(ISNUMBER(D114), $B118 * E114, "")</f>
        <v>334.32392273402672</v>
      </c>
      <c r="G114" s="39">
        <v>6945</v>
      </c>
      <c r="H114" s="73">
        <f t="shared" ref="H114:H117" si="59">IF(ISNUMBER(G114), (G114 - $B114) / $B114, "")</f>
        <v>3.1946508172362553E-2</v>
      </c>
      <c r="I114" s="202">
        <f>IF(ISNUMBER(G114), $B118 * H114, "")</f>
        <v>4791.9762258543833</v>
      </c>
      <c r="J114" s="125">
        <v>6940</v>
      </c>
      <c r="K114" s="73">
        <f t="shared" ref="K114:K117" si="60">IF(ISNUMBER(J114), (J114 - $B114) / $B114, "")</f>
        <v>3.1203566121842496E-2</v>
      </c>
      <c r="L114" s="136">
        <f>IF(ISNUMBER(J114), $B118 * K114, "")</f>
        <v>4680.5349182763748</v>
      </c>
      <c r="M114" s="39">
        <v>6955</v>
      </c>
      <c r="N114" s="73">
        <f t="shared" ref="N114:N117" si="61">IF(ISNUMBER(M114), (M114 - $B114) / $B114, "")</f>
        <v>3.3432392273402674E-2</v>
      </c>
      <c r="O114" s="136">
        <f>IF(ISNUMBER(M114), $B118 * N114, "")</f>
        <v>5014.8588410104012</v>
      </c>
      <c r="Q114" s="267"/>
      <c r="R114" s="267"/>
      <c r="S114" s="267"/>
    </row>
    <row r="115" spans="1:19" ht="17.25" thickBot="1">
      <c r="A115" s="124" t="s">
        <v>158</v>
      </c>
      <c r="B115" s="125">
        <v>8815</v>
      </c>
      <c r="C115" s="73">
        <v>6.9781553400000002E-2</v>
      </c>
      <c r="D115" s="125">
        <v>8840</v>
      </c>
      <c r="E115" s="73">
        <f t="shared" si="58"/>
        <v>2.8360748723766306E-3</v>
      </c>
      <c r="F115" s="136">
        <f>IF(ISNUMBER(D115), $B118 * E115, "")</f>
        <v>425.41123085649457</v>
      </c>
      <c r="G115" s="39">
        <v>8945</v>
      </c>
      <c r="H115" s="73">
        <f t="shared" si="59"/>
        <v>1.4747589336358479E-2</v>
      </c>
      <c r="I115" s="202">
        <f>IF(ISNUMBER(G115), $B118 * H115, "")</f>
        <v>2212.1384004537717</v>
      </c>
      <c r="J115" s="125">
        <v>8970</v>
      </c>
      <c r="K115" s="73">
        <f t="shared" si="60"/>
        <v>1.7583664208735111E-2</v>
      </c>
      <c r="L115" s="136">
        <f>IF(ISNUMBER(J115), $B118 * K115, "")</f>
        <v>2637.5496313102667</v>
      </c>
      <c r="M115" s="39">
        <v>8860</v>
      </c>
      <c r="N115" s="73">
        <f t="shared" si="61"/>
        <v>5.1049347702779354E-3</v>
      </c>
      <c r="O115" s="136">
        <f>IF(ISNUMBER(M115), $B118 * N115, "")</f>
        <v>765.7402155416903</v>
      </c>
      <c r="Q115" s="267"/>
      <c r="R115" s="267"/>
      <c r="S115" s="267"/>
    </row>
    <row r="116" spans="1:19">
      <c r="A116" s="124" t="s">
        <v>184</v>
      </c>
      <c r="B116" s="125">
        <v>2545</v>
      </c>
      <c r="C116" s="73">
        <v>6.9327731099999998E-2</v>
      </c>
      <c r="D116" s="125">
        <v>2535</v>
      </c>
      <c r="E116" s="73">
        <f t="shared" si="58"/>
        <v>-3.929273084479371E-3</v>
      </c>
      <c r="F116" s="136">
        <f>IF(ISNUMBER(D116), $B118 * E116, "")</f>
        <v>-589.39096267190564</v>
      </c>
      <c r="G116" s="39">
        <v>2515</v>
      </c>
      <c r="H116" s="73">
        <f t="shared" si="59"/>
        <v>-1.1787819253438114E-2</v>
      </c>
      <c r="I116" s="202">
        <f>IF(ISNUMBER(G116), $B118 * H116, "")</f>
        <v>-1768.172888015717</v>
      </c>
      <c r="J116" s="125">
        <v>2520</v>
      </c>
      <c r="K116" s="73">
        <f t="shared" si="60"/>
        <v>-9.823182711198428E-3</v>
      </c>
      <c r="L116" s="136">
        <f>IF(ISNUMBER(J116), $B118 * K116, "")</f>
        <v>-1473.4774066797643</v>
      </c>
      <c r="M116" s="39">
        <v>2490</v>
      </c>
      <c r="N116" s="73">
        <f t="shared" si="61"/>
        <v>-2.1611001964636542E-2</v>
      </c>
      <c r="O116" s="136">
        <f>IF(ISNUMBER(M116), $B118 * N116, "")</f>
        <v>-3241.6502946954811</v>
      </c>
      <c r="Q116" s="289"/>
      <c r="R116" s="290"/>
      <c r="S116" s="291"/>
    </row>
    <row r="117" spans="1:19" ht="17.25" thickBot="1">
      <c r="A117" s="129" t="s">
        <v>146</v>
      </c>
      <c r="B117" s="130">
        <v>15480</v>
      </c>
      <c r="C117" s="75">
        <v>6.8322981399999996E-2</v>
      </c>
      <c r="D117" s="130">
        <v>15950</v>
      </c>
      <c r="E117" s="75">
        <f t="shared" si="58"/>
        <v>3.0361757105943153E-2</v>
      </c>
      <c r="F117" s="137">
        <f>IF(ISNUMBER(D117), $B118 * E117, "")</f>
        <v>4554.2635658914733</v>
      </c>
      <c r="G117" s="37">
        <v>16270</v>
      </c>
      <c r="H117" s="75">
        <f t="shared" si="59"/>
        <v>5.1033591731266148E-2</v>
      </c>
      <c r="I117" s="207">
        <f>IF(ISNUMBER(G117), $B118 * H117, "")</f>
        <v>7655.0387596899218</v>
      </c>
      <c r="J117" s="130">
        <v>16350</v>
      </c>
      <c r="K117" s="75">
        <f t="shared" si="60"/>
        <v>5.6201550387596902E-2</v>
      </c>
      <c r="L117" s="137">
        <f>IF(ISNUMBER(J117), $B118 * K117, "")</f>
        <v>8430.2325581395362</v>
      </c>
      <c r="M117" s="37">
        <v>16280</v>
      </c>
      <c r="N117" s="75">
        <f t="shared" si="61"/>
        <v>5.1679586563307491E-2</v>
      </c>
      <c r="O117" s="137">
        <f>IF(ISNUMBER(M117), $B118 * N117, "")</f>
        <v>7751.9379844961231</v>
      </c>
      <c r="Q117" s="292"/>
      <c r="R117" s="293"/>
      <c r="S117" s="294"/>
    </row>
    <row r="118" spans="1:19" ht="17.25" thickBot="1">
      <c r="A118" s="131" t="s">
        <v>301</v>
      </c>
      <c r="B118" s="300">
        <f>$B$37</f>
        <v>150000</v>
      </c>
      <c r="C118" s="301"/>
      <c r="D118" s="131" t="s">
        <v>302</v>
      </c>
      <c r="E118" s="228">
        <f>IF(COUNT(E98:E117), SUM(E98:E117) / COUNT(E98:E117), 0)</f>
        <v>2.3029387194016322E-2</v>
      </c>
      <c r="F118" s="208">
        <f>SUM(F98:F117)</f>
        <v>69088.161582048953</v>
      </c>
      <c r="G118" s="131" t="s">
        <v>302</v>
      </c>
      <c r="H118" s="228">
        <f>IF(COUNT(H98:H117), SUM(H98:H117) / COUNT(H98:H117), 0)</f>
        <v>2.6969305328333193E-2</v>
      </c>
      <c r="I118" s="208">
        <f>SUM(I98:I117)</f>
        <v>80907.915984999592</v>
      </c>
      <c r="J118" s="131" t="s">
        <v>302</v>
      </c>
      <c r="K118" s="228">
        <f>IF(COUNT(K98:K117), SUM(K98:K117) / COUNT(K98:K117), 0)</f>
        <v>2.7621792867193639E-2</v>
      </c>
      <c r="L118" s="208">
        <f>SUM(L98:L117)</f>
        <v>82865.378601580916</v>
      </c>
      <c r="M118" s="131" t="s">
        <v>302</v>
      </c>
      <c r="N118" s="228">
        <f>IF(COUNT(N98:N117), SUM(N98:N117) / COUNT(N98:N117), 0)</f>
        <v>2.816577438884783E-2</v>
      </c>
      <c r="O118" s="208">
        <f>SUM(O98:O117)</f>
        <v>84497.323166543458</v>
      </c>
      <c r="Q118" s="295"/>
      <c r="R118" s="296"/>
      <c r="S118" s="297"/>
    </row>
    <row r="120" spans="1:19" ht="17.25" thickBot="1"/>
    <row r="121" spans="1:19" ht="17.25" thickBot="1">
      <c r="A121" s="241" t="s">
        <v>288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225" t="s">
        <v>298</v>
      </c>
      <c r="B122" s="241" t="s">
        <v>36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62017000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-1.6680144000000001E-2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2021-05-14(금) 오전 00:00</v>
      </c>
      <c r="C123" s="305"/>
      <c r="D123" s="241" t="str">
        <f>TEXT($G$1, "[$-ko-KR]yyyy-mm-dd(ddd) ") &amp; "오후 14:00"</f>
        <v>2021-05-14(금) 오후 14:00</v>
      </c>
      <c r="E123" s="242"/>
      <c r="F123" s="243"/>
      <c r="G123" s="241" t="str">
        <f>TEXT($G$1, "[$-ko-KR]yyyy-mm-dd(ddd) ") &amp; "오후 19:00"</f>
        <v>2021-05-14(금) 오후 19:00</v>
      </c>
      <c r="H123" s="242"/>
      <c r="I123" s="243"/>
      <c r="J123" s="241" t="str">
        <f>TEXT($G$1, "[$-ko-KR]yyyy-mm-dd(ddd) ") &amp; "오후 21:00"</f>
        <v>2021-05-14(금) 오후 21:00</v>
      </c>
      <c r="K123" s="242"/>
      <c r="L123" s="243"/>
      <c r="M123" s="241" t="str">
        <f>TEXT($G$1+1, "[$-ko-KR]yyyy-mm-dd(ddd) ") &amp; "오전 00:00"</f>
        <v>2021-05-15(토) 오전 00:00</v>
      </c>
      <c r="N123" s="242"/>
      <c r="O123" s="243"/>
      <c r="Q123" s="262"/>
      <c r="R123" s="262"/>
      <c r="S123" s="262"/>
    </row>
    <row r="124" spans="1:19" ht="17.25" thickBot="1">
      <c r="A124" s="303"/>
      <c r="B124" s="120" t="s">
        <v>58</v>
      </c>
      <c r="C124" s="121" t="s">
        <v>59</v>
      </c>
      <c r="D124" s="120" t="s">
        <v>58</v>
      </c>
      <c r="E124" s="121" t="s">
        <v>299</v>
      </c>
      <c r="F124" s="232" t="s">
        <v>300</v>
      </c>
      <c r="G124" s="225" t="s">
        <v>58</v>
      </c>
      <c r="H124" s="226" t="s">
        <v>299</v>
      </c>
      <c r="I124" s="227" t="s">
        <v>300</v>
      </c>
      <c r="J124" s="121" t="s">
        <v>58</v>
      </c>
      <c r="K124" s="121" t="s">
        <v>299</v>
      </c>
      <c r="L124" s="230" t="s">
        <v>300</v>
      </c>
      <c r="M124" s="120" t="s">
        <v>58</v>
      </c>
      <c r="N124" s="121" t="s">
        <v>299</v>
      </c>
      <c r="O124" s="231" t="s">
        <v>300</v>
      </c>
      <c r="Q124" s="267"/>
      <c r="R124" s="267"/>
      <c r="S124" s="267"/>
    </row>
    <row r="125" spans="1:19" ht="17.25" thickBot="1">
      <c r="A125" s="122" t="s">
        <v>220</v>
      </c>
      <c r="B125" s="123">
        <v>16.899999999999999</v>
      </c>
      <c r="C125" s="72">
        <v>8.3333333300000006E-2</v>
      </c>
      <c r="D125" s="123">
        <v>18.399999999999999</v>
      </c>
      <c r="E125" s="72">
        <f>IF(ISNUMBER(D125), (D125 - $B125) / $B125, "")</f>
        <v>8.8757396449704151E-2</v>
      </c>
      <c r="F125" s="140">
        <f>IF(ISNUMBER(D125), $B145 * E125, "")</f>
        <v>13313.609467455623</v>
      </c>
      <c r="G125" s="38">
        <v>18</v>
      </c>
      <c r="H125" s="72">
        <f>IF(ISNUMBER(G125), (G125 - $B125) / $B125, "")</f>
        <v>6.5088757396449801E-2</v>
      </c>
      <c r="I125" s="201">
        <f>IF(ISNUMBER(G125), $B145 * H125, "")</f>
        <v>9763.3136094674701</v>
      </c>
      <c r="J125" s="123">
        <v>18</v>
      </c>
      <c r="K125" s="72">
        <f>IF(ISNUMBER(J125), (J125 - $B125) / $B125, "")</f>
        <v>6.5088757396449801E-2</v>
      </c>
      <c r="L125" s="140">
        <f>IF(ISNUMBER(J125), $B145 * K125, "")</f>
        <v>9763.3136094674701</v>
      </c>
      <c r="M125" s="38">
        <v>17.899999999999999</v>
      </c>
      <c r="N125" s="72">
        <f>IF(ISNUMBER(M125), (M125 - $B125) / $B125, "")</f>
        <v>5.9171597633136098E-2</v>
      </c>
      <c r="O125" s="140">
        <f>IF(ISNUMBER(M125), $B145 * N125, "")</f>
        <v>8875.7396449704156</v>
      </c>
      <c r="Q125" s="262"/>
      <c r="R125" s="262"/>
      <c r="S125" s="262"/>
    </row>
    <row r="126" spans="1:19" ht="17.25" thickBot="1">
      <c r="A126" s="124" t="s">
        <v>268</v>
      </c>
      <c r="B126" s="125">
        <v>77.900000000000006</v>
      </c>
      <c r="C126" s="73">
        <v>5.41271989E-2</v>
      </c>
      <c r="D126" s="125">
        <v>79.3</v>
      </c>
      <c r="E126" s="73">
        <f t="shared" ref="E126:E129" si="62">IF(ISNUMBER(D126), (D126 - $B126) / $B126, "")</f>
        <v>1.797175866495496E-2</v>
      </c>
      <c r="F126" s="136">
        <f>IF(ISNUMBER(D126), $B145 * E126, "")</f>
        <v>2695.7637997432439</v>
      </c>
      <c r="G126" s="39">
        <v>78.900000000000006</v>
      </c>
      <c r="H126" s="73">
        <f t="shared" ref="H126:H129" si="63">IF(ISNUMBER(G126), (G126 - $B126) / $B126, "")</f>
        <v>1.2836970474967907E-2</v>
      </c>
      <c r="I126" s="202">
        <f>IF(ISNUMBER(G126), $B145 * H126, "")</f>
        <v>1925.545571245186</v>
      </c>
      <c r="J126" s="125">
        <v>80.8</v>
      </c>
      <c r="K126" s="73">
        <f t="shared" ref="K126:K129" si="64">IF(ISNUMBER(J126), (J126 - $B126) / $B126, "")</f>
        <v>3.7227214377406823E-2</v>
      </c>
      <c r="L126" s="136">
        <f>IF(ISNUMBER(J126), $B145 * K126, "")</f>
        <v>5584.0821566110235</v>
      </c>
      <c r="M126" s="39">
        <v>79.5</v>
      </c>
      <c r="N126" s="73">
        <f t="shared" ref="N126:N129" si="65">IF(ISNUMBER(M126), (M126 - $B126) / $B126, "")</f>
        <v>2.0539152759948578E-2</v>
      </c>
      <c r="O126" s="136">
        <f>IF(ISNUMBER(M126), $B145 * N126, "")</f>
        <v>3080.8729139922866</v>
      </c>
      <c r="Q126" s="262"/>
      <c r="R126" s="262"/>
      <c r="S126" s="262"/>
    </row>
    <row r="127" spans="1:19" ht="17.25" thickBot="1">
      <c r="A127" s="124" t="s">
        <v>126</v>
      </c>
      <c r="B127" s="125">
        <v>49</v>
      </c>
      <c r="C127" s="73">
        <v>5.3763440900000001E-2</v>
      </c>
      <c r="D127" s="125">
        <v>49.5</v>
      </c>
      <c r="E127" s="73">
        <f t="shared" si="62"/>
        <v>1.020408163265306E-2</v>
      </c>
      <c r="F127" s="136">
        <f>IF(ISNUMBER(D127), $B145 * E127, "")</f>
        <v>1530.612244897959</v>
      </c>
      <c r="G127" s="39">
        <v>49.9</v>
      </c>
      <c r="H127" s="73">
        <f t="shared" si="63"/>
        <v>1.8367346938775481E-2</v>
      </c>
      <c r="I127" s="202">
        <f>IF(ISNUMBER(G127), $B145 * H127, "")</f>
        <v>2755.1020408163222</v>
      </c>
      <c r="J127" s="125">
        <v>51.8</v>
      </c>
      <c r="K127" s="73">
        <f t="shared" si="64"/>
        <v>5.7142857142857086E-2</v>
      </c>
      <c r="L127" s="136">
        <f>IF(ISNUMBER(J127), $B145 * K127, "")</f>
        <v>8571.4285714285634</v>
      </c>
      <c r="M127" s="39">
        <v>52</v>
      </c>
      <c r="N127" s="73">
        <f t="shared" si="65"/>
        <v>6.1224489795918366E-2</v>
      </c>
      <c r="O127" s="136">
        <f>IF(ISNUMBER(M127), $B145 * N127, "")</f>
        <v>9183.6734693877552</v>
      </c>
      <c r="Q127" s="267"/>
      <c r="R127" s="267"/>
      <c r="S127" s="267"/>
    </row>
    <row r="128" spans="1:19" ht="17.25" thickBot="1">
      <c r="A128" s="124" t="s">
        <v>266</v>
      </c>
      <c r="B128" s="125">
        <v>83.1</v>
      </c>
      <c r="C128" s="73">
        <v>4.7919293799999998E-2</v>
      </c>
      <c r="D128" s="125">
        <v>84.5</v>
      </c>
      <c r="E128" s="73">
        <f t="shared" si="62"/>
        <v>1.684717208182919E-2</v>
      </c>
      <c r="F128" s="136">
        <f>IF(ISNUMBER(D128), $B145 * E128, "")</f>
        <v>2527.0758122743787</v>
      </c>
      <c r="G128" s="39">
        <v>85.7</v>
      </c>
      <c r="H128" s="73">
        <f t="shared" si="63"/>
        <v>3.1287605294825618E-2</v>
      </c>
      <c r="I128" s="202">
        <f>IF(ISNUMBER(G128), $B145 * H128, "")</f>
        <v>4693.1407942238429</v>
      </c>
      <c r="J128" s="125">
        <v>84.4</v>
      </c>
      <c r="K128" s="73">
        <f t="shared" si="64"/>
        <v>1.5643802647412892E-2</v>
      </c>
      <c r="L128" s="136">
        <f>IF(ISNUMBER(J128), $B145 * K128, "")</f>
        <v>2346.5703971119337</v>
      </c>
      <c r="M128" s="39">
        <v>85.5</v>
      </c>
      <c r="N128" s="73">
        <f t="shared" si="65"/>
        <v>2.888086642599285E-2</v>
      </c>
      <c r="O128" s="136">
        <f>IF(ISNUMBER(M128), $B145 * N128, "")</f>
        <v>4332.1299638989276</v>
      </c>
      <c r="Q128" s="267"/>
      <c r="R128" s="267"/>
      <c r="S128" s="267"/>
    </row>
    <row r="129" spans="1:19" ht="17.25" thickBot="1">
      <c r="A129" s="126" t="s">
        <v>186</v>
      </c>
      <c r="B129" s="127">
        <v>21</v>
      </c>
      <c r="C129" s="74">
        <v>4.4776119400000002E-2</v>
      </c>
      <c r="D129" s="127">
        <v>24.7</v>
      </c>
      <c r="E129" s="74">
        <f t="shared" si="62"/>
        <v>0.17619047619047615</v>
      </c>
      <c r="F129" s="203">
        <f>IF(ISNUMBER(D129), $B145 * E129, "")</f>
        <v>26428.571428571424</v>
      </c>
      <c r="G129" s="44">
        <v>23.1</v>
      </c>
      <c r="H129" s="74">
        <f t="shared" si="63"/>
        <v>0.10000000000000006</v>
      </c>
      <c r="I129" s="204">
        <f>IF(ISNUMBER(G129), $B145 * H129, "")</f>
        <v>15000.000000000009</v>
      </c>
      <c r="J129" s="127">
        <v>22.9</v>
      </c>
      <c r="K129" s="74">
        <f t="shared" si="64"/>
        <v>9.0476190476190405E-2</v>
      </c>
      <c r="L129" s="203">
        <f>IF(ISNUMBER(J129), $B145 * K129, "")</f>
        <v>13571.428571428562</v>
      </c>
      <c r="M129" s="44">
        <v>23.4</v>
      </c>
      <c r="N129" s="74">
        <f t="shared" si="65"/>
        <v>0.11428571428571421</v>
      </c>
      <c r="O129" s="203">
        <f>IF(ISNUMBER(M129), $B145 * N129, "")</f>
        <v>17142.85714285713</v>
      </c>
      <c r="Q129" s="267"/>
      <c r="R129" s="267"/>
      <c r="S129" s="267"/>
    </row>
    <row r="130" spans="1:19" ht="17.25" thickBot="1">
      <c r="A130" s="124" t="s">
        <v>65</v>
      </c>
      <c r="B130" s="128">
        <v>62.8</v>
      </c>
      <c r="C130" s="76">
        <v>4.3189368800000003E-2</v>
      </c>
      <c r="D130" s="128">
        <v>63.7</v>
      </c>
      <c r="E130" s="76">
        <f>IF(ISNUMBER(D130), (D130 - $B130) / $B130, "")</f>
        <v>1.4331210191082893E-2</v>
      </c>
      <c r="F130" s="205">
        <f>IF(ISNUMBER(D130), $B145 * E130, "")</f>
        <v>2149.6815286624342</v>
      </c>
      <c r="G130" s="45">
        <v>65.7</v>
      </c>
      <c r="H130" s="76">
        <f>IF(ISNUMBER(G130), (G130 - $B130) / $B130, "")</f>
        <v>4.617834394904468E-2</v>
      </c>
      <c r="I130" s="206">
        <f>IF(ISNUMBER(G130), $B145 * H130, "")</f>
        <v>6926.7515923567016</v>
      </c>
      <c r="J130" s="128">
        <v>65.2</v>
      </c>
      <c r="K130" s="76">
        <f>IF(ISNUMBER(J130), (J130 - $B130) / $B130, "")</f>
        <v>3.8216560509554236E-2</v>
      </c>
      <c r="L130" s="205">
        <f>IF(ISNUMBER(J130), $B145 * K130, "")</f>
        <v>5732.4840764331357</v>
      </c>
      <c r="M130" s="45">
        <v>64.400000000000006</v>
      </c>
      <c r="N130" s="76">
        <f>IF(ISNUMBER(M130), (M130 - $B130) / $B130, "")</f>
        <v>2.5477707006369563E-2</v>
      </c>
      <c r="O130" s="205">
        <f>IF(ISNUMBER(M130), $B145 * N130, "")</f>
        <v>3821.6560509554347</v>
      </c>
      <c r="Q130" s="267"/>
      <c r="R130" s="267"/>
      <c r="S130" s="267"/>
    </row>
    <row r="131" spans="1:19" ht="17.25" thickBot="1">
      <c r="A131" s="124" t="s">
        <v>152</v>
      </c>
      <c r="B131" s="125">
        <v>38.799999999999997</v>
      </c>
      <c r="C131" s="73">
        <v>4.0214477200000001E-2</v>
      </c>
      <c r="D131" s="125">
        <v>38.9</v>
      </c>
      <c r="E131" s="73">
        <f t="shared" ref="E131:E134" si="66">IF(ISNUMBER(D131), (D131 - $B131) / $B131, "")</f>
        <v>2.5773195876289028E-3</v>
      </c>
      <c r="F131" s="136">
        <f>IF(ISNUMBER(D131), $B145 * E131, "")</f>
        <v>386.59793814433544</v>
      </c>
      <c r="G131" s="39">
        <v>39.700000000000003</v>
      </c>
      <c r="H131" s="73">
        <f t="shared" ref="H131:H134" si="67">IF(ISNUMBER(G131), (G131 - $B131) / $B131, "")</f>
        <v>2.319587628865994E-2</v>
      </c>
      <c r="I131" s="202">
        <f>IF(ISNUMBER(G131), $B145 * H131, "")</f>
        <v>3479.3814432989911</v>
      </c>
      <c r="J131" s="125">
        <v>39.6</v>
      </c>
      <c r="K131" s="73">
        <f t="shared" ref="K131:K134" si="68">IF(ISNUMBER(J131), (J131 - $B131) / $B131, "")</f>
        <v>2.0618556701031038E-2</v>
      </c>
      <c r="L131" s="136">
        <f>IF(ISNUMBER(J131), $B145 * K131, "")</f>
        <v>3092.7835051546558</v>
      </c>
      <c r="M131" s="39">
        <v>39.9</v>
      </c>
      <c r="N131" s="73">
        <f t="shared" ref="N131:N134" si="69">IF(ISNUMBER(M131), (M131 - $B131) / $B131, "")</f>
        <v>2.8350515463917564E-2</v>
      </c>
      <c r="O131" s="136">
        <f>IF(ISNUMBER(M131), $B145 * N131, "")</f>
        <v>4252.5773195876345</v>
      </c>
      <c r="Q131" s="267"/>
      <c r="R131" s="267"/>
      <c r="S131" s="267"/>
    </row>
    <row r="132" spans="1:19" ht="17.25" thickBot="1">
      <c r="A132" s="124" t="s">
        <v>72</v>
      </c>
      <c r="B132" s="125">
        <v>31.5</v>
      </c>
      <c r="C132" s="73">
        <v>3.9603960399999999E-2</v>
      </c>
      <c r="D132" s="125">
        <v>31.8</v>
      </c>
      <c r="E132" s="73">
        <f t="shared" si="66"/>
        <v>9.5238095238095472E-3</v>
      </c>
      <c r="F132" s="136">
        <f>IF(ISNUMBER(D132), $B145 * E132, "")</f>
        <v>1428.5714285714321</v>
      </c>
      <c r="G132" s="39">
        <v>32.299999999999997</v>
      </c>
      <c r="H132" s="73">
        <f t="shared" si="67"/>
        <v>2.5396825396825307E-2</v>
      </c>
      <c r="I132" s="202">
        <f>IF(ISNUMBER(G132), $B145 * H132, "")</f>
        <v>3809.523809523796</v>
      </c>
      <c r="J132" s="125">
        <v>32.1</v>
      </c>
      <c r="K132" s="73">
        <f t="shared" si="68"/>
        <v>1.9047619047619094E-2</v>
      </c>
      <c r="L132" s="136">
        <f>IF(ISNUMBER(J132), $B145 * K132, "")</f>
        <v>2857.1428571428642</v>
      </c>
      <c r="M132" s="39">
        <v>31.7</v>
      </c>
      <c r="N132" s="73">
        <f t="shared" si="69"/>
        <v>6.3492063492063266E-3</v>
      </c>
      <c r="O132" s="136">
        <f>IF(ISNUMBER(M132), $B145 * N132, "")</f>
        <v>952.380952380949</v>
      </c>
      <c r="Q132" s="267"/>
      <c r="R132" s="267"/>
      <c r="S132" s="267"/>
    </row>
    <row r="133" spans="1:19" ht="17.25" thickBot="1">
      <c r="A133" s="124" t="s">
        <v>254</v>
      </c>
      <c r="B133" s="125">
        <v>72.900000000000006</v>
      </c>
      <c r="C133" s="73">
        <v>3.6984352800000002E-2</v>
      </c>
      <c r="D133" s="125">
        <v>71.599999999999994</v>
      </c>
      <c r="E133" s="73">
        <f t="shared" si="66"/>
        <v>-1.7832647462277248E-2</v>
      </c>
      <c r="F133" s="136">
        <f>IF(ISNUMBER(D133), $B145 * E133, "")</f>
        <v>-2674.8971193415873</v>
      </c>
      <c r="G133" s="39">
        <v>72.599999999999994</v>
      </c>
      <c r="H133" s="73">
        <f t="shared" si="67"/>
        <v>-4.1152263374487153E-3</v>
      </c>
      <c r="I133" s="202">
        <f>IF(ISNUMBER(G133), $B145 * H133, "")</f>
        <v>-617.28395061730726</v>
      </c>
      <c r="J133" s="125">
        <v>73.3</v>
      </c>
      <c r="K133" s="73">
        <f t="shared" si="68"/>
        <v>5.4869684499312954E-3</v>
      </c>
      <c r="L133" s="136">
        <f>IF(ISNUMBER(J133), $B145 * K133, "")</f>
        <v>823.04526748969431</v>
      </c>
      <c r="M133" s="39">
        <v>72.900000000000006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222</v>
      </c>
      <c r="B134" s="130">
        <v>15.7</v>
      </c>
      <c r="C134" s="75">
        <v>3.2894736799999998E-2</v>
      </c>
      <c r="D134" s="130">
        <v>16</v>
      </c>
      <c r="E134" s="75">
        <f t="shared" si="66"/>
        <v>1.9108280254777118E-2</v>
      </c>
      <c r="F134" s="137">
        <f>IF(ISNUMBER(D134), $B145 * E134, "")</f>
        <v>2866.2420382165678</v>
      </c>
      <c r="G134" s="37">
        <v>16</v>
      </c>
      <c r="H134" s="75">
        <f t="shared" si="67"/>
        <v>1.9108280254777118E-2</v>
      </c>
      <c r="I134" s="207">
        <f>IF(ISNUMBER(G134), $B145 * H134, "")</f>
        <v>2866.2420382165678</v>
      </c>
      <c r="J134" s="130">
        <v>16</v>
      </c>
      <c r="K134" s="75">
        <f t="shared" si="68"/>
        <v>1.9108280254777118E-2</v>
      </c>
      <c r="L134" s="137">
        <f>IF(ISNUMBER(J134), $B145 * K134, "")</f>
        <v>2866.2420382165678</v>
      </c>
      <c r="M134" s="37">
        <v>16.100000000000001</v>
      </c>
      <c r="N134" s="75">
        <f t="shared" si="69"/>
        <v>2.5477707006369563E-2</v>
      </c>
      <c r="O134" s="137">
        <f>IF(ISNUMBER(M134), $B145 * N134, "")</f>
        <v>3821.6560509554347</v>
      </c>
      <c r="Q134" s="276"/>
      <c r="R134" s="277"/>
      <c r="S134" s="278"/>
    </row>
    <row r="135" spans="1:19">
      <c r="A135" s="122" t="s">
        <v>100</v>
      </c>
      <c r="B135" s="123">
        <v>7.39</v>
      </c>
      <c r="C135" s="72">
        <v>3.0683403099999999E-2</v>
      </c>
      <c r="D135" s="123">
        <v>7.43</v>
      </c>
      <c r="E135" s="72">
        <f>IF(ISNUMBER(D135), (D135 - $B135) / $B135, "")</f>
        <v>5.4127198917456069E-3</v>
      </c>
      <c r="F135" s="140">
        <f>IF(ISNUMBER(D135), $B145 * E135, "")</f>
        <v>811.90798376184102</v>
      </c>
      <c r="G135" s="38">
        <v>7.52</v>
      </c>
      <c r="H135" s="72">
        <f>IF(ISNUMBER(G135), (G135 - $B135) / $B135, "")</f>
        <v>1.7591339648173193E-2</v>
      </c>
      <c r="I135" s="201">
        <f>IF(ISNUMBER(G135), $B145 * H135, "")</f>
        <v>2638.7009472259788</v>
      </c>
      <c r="J135" s="123">
        <v>7.56</v>
      </c>
      <c r="K135" s="72">
        <f>IF(ISNUMBER(J135), (J135 - $B135) / $B135, "")</f>
        <v>2.3004059539918801E-2</v>
      </c>
      <c r="L135" s="140">
        <f>IF(ISNUMBER(J135), $B145 * K135, "")</f>
        <v>3450.6089309878203</v>
      </c>
      <c r="M135" s="38">
        <v>7.53</v>
      </c>
      <c r="N135" s="72">
        <f>IF(ISNUMBER(M135), (M135 - $B135) / $B135, "")</f>
        <v>1.8944519621109684E-2</v>
      </c>
      <c r="O135" s="140">
        <f>IF(ISNUMBER(M135), $B145 * N135, "")</f>
        <v>2841.6779431664527</v>
      </c>
      <c r="Q135" s="279"/>
      <c r="R135" s="280"/>
      <c r="S135" s="281"/>
    </row>
    <row r="136" spans="1:19" ht="17.25" thickBot="1">
      <c r="A136" s="124" t="s">
        <v>198</v>
      </c>
      <c r="B136" s="125">
        <v>23.8</v>
      </c>
      <c r="C136" s="73">
        <v>3.0303030299999999E-2</v>
      </c>
      <c r="D136" s="125">
        <v>24</v>
      </c>
      <c r="E136" s="73">
        <f t="shared" ref="E136:E139" si="70">IF(ISNUMBER(D136), (D136 - $B136) / $B136, "")</f>
        <v>8.4033613445377853E-3</v>
      </c>
      <c r="F136" s="136">
        <f>IF(ISNUMBER(D136), $B145 * E136, "")</f>
        <v>1260.5042016806678</v>
      </c>
      <c r="G136" s="39">
        <v>24.2</v>
      </c>
      <c r="H136" s="73">
        <f t="shared" ref="H136:H139" si="71">IF(ISNUMBER(G136), (G136 - $B136) / $B136, "")</f>
        <v>1.6806722689075571E-2</v>
      </c>
      <c r="I136" s="202">
        <f>IF(ISNUMBER(G136), $B145 * H136, "")</f>
        <v>2521.0084033613357</v>
      </c>
      <c r="J136" s="125">
        <v>24.2</v>
      </c>
      <c r="K136" s="73">
        <f t="shared" ref="K136:K139" si="72">IF(ISNUMBER(J136), (J136 - $B136) / $B136, "")</f>
        <v>1.6806722689075571E-2</v>
      </c>
      <c r="L136" s="136">
        <f>IF(ISNUMBER(J136), $B145 * K136, "")</f>
        <v>2521.0084033613357</v>
      </c>
      <c r="M136" s="39">
        <v>24.1</v>
      </c>
      <c r="N136" s="73">
        <f t="shared" ref="N136:N139" si="73">IF(ISNUMBER(M136), (M136 - $B136) / $B136, "")</f>
        <v>1.2605042016806753E-2</v>
      </c>
      <c r="O136" s="136">
        <f>IF(ISNUMBER(M136), $B145 * N136, "")</f>
        <v>1890.7563025210129</v>
      </c>
      <c r="Q136" s="282"/>
      <c r="R136" s="283"/>
      <c r="S136" s="284"/>
    </row>
    <row r="137" spans="1:19" ht="17.25" thickBot="1">
      <c r="A137" s="124" t="s">
        <v>196</v>
      </c>
      <c r="B137" s="125">
        <v>17.399999999999999</v>
      </c>
      <c r="C137" s="73">
        <v>2.95857988E-2</v>
      </c>
      <c r="D137" s="125">
        <v>17.899999999999999</v>
      </c>
      <c r="E137" s="73">
        <f t="shared" si="70"/>
        <v>2.8735632183908049E-2</v>
      </c>
      <c r="F137" s="136">
        <f>IF(ISNUMBER(D137), $B145 * E137, "")</f>
        <v>4310.3448275862074</v>
      </c>
      <c r="G137" s="39">
        <v>17.8</v>
      </c>
      <c r="H137" s="73">
        <f t="shared" si="71"/>
        <v>2.2988505747126561E-2</v>
      </c>
      <c r="I137" s="202">
        <f>IF(ISNUMBER(G137), $B145 * H137, "")</f>
        <v>3448.2758620689842</v>
      </c>
      <c r="J137" s="125">
        <v>17.7</v>
      </c>
      <c r="K137" s="73">
        <f t="shared" si="72"/>
        <v>1.7241379310344869E-2</v>
      </c>
      <c r="L137" s="136">
        <f>IF(ISNUMBER(J137), $B145 * K137, "")</f>
        <v>2586.2068965517306</v>
      </c>
      <c r="M137" s="39">
        <v>17.8</v>
      </c>
      <c r="N137" s="73">
        <f t="shared" si="73"/>
        <v>2.2988505747126561E-2</v>
      </c>
      <c r="O137" s="136">
        <f>IF(ISNUMBER(M137), $B145 * N137, "")</f>
        <v>3448.2758620689842</v>
      </c>
      <c r="Q137" s="267"/>
      <c r="R137" s="267"/>
      <c r="S137" s="267"/>
    </row>
    <row r="138" spans="1:19" ht="17.25" thickBot="1">
      <c r="A138" s="124" t="s">
        <v>218</v>
      </c>
      <c r="B138" s="125">
        <v>23</v>
      </c>
      <c r="C138" s="73">
        <v>2.6785714299999999E-2</v>
      </c>
      <c r="D138" s="125">
        <v>23.6</v>
      </c>
      <c r="E138" s="73">
        <f t="shared" si="70"/>
        <v>2.6086956521739191E-2</v>
      </c>
      <c r="F138" s="136">
        <f>IF(ISNUMBER(D138), $B145 * E138, "")</f>
        <v>3913.0434782608786</v>
      </c>
      <c r="G138" s="39">
        <v>23.7</v>
      </c>
      <c r="H138" s="73">
        <f t="shared" si="71"/>
        <v>3.0434782608695622E-2</v>
      </c>
      <c r="I138" s="202">
        <f>IF(ISNUMBER(G138), $B145 * H138, "")</f>
        <v>4565.2173913043434</v>
      </c>
      <c r="J138" s="125">
        <v>23.3</v>
      </c>
      <c r="K138" s="73">
        <f t="shared" si="72"/>
        <v>1.3043478260869596E-2</v>
      </c>
      <c r="L138" s="136">
        <f>IF(ISNUMBER(J138), $B145 * K138, "")</f>
        <v>1956.5217391304393</v>
      </c>
      <c r="M138" s="39">
        <v>23.6</v>
      </c>
      <c r="N138" s="73">
        <f t="shared" si="73"/>
        <v>2.6086956521739191E-2</v>
      </c>
      <c r="O138" s="136">
        <f>IF(ISNUMBER(M138), $B145 * N138, "")</f>
        <v>3913.0434782608786</v>
      </c>
      <c r="Q138" s="262"/>
      <c r="R138" s="262"/>
      <c r="S138" s="262"/>
    </row>
    <row r="139" spans="1:19" ht="17.25" thickBot="1">
      <c r="A139" s="126" t="s">
        <v>154</v>
      </c>
      <c r="B139" s="127">
        <v>17.5</v>
      </c>
      <c r="C139" s="74">
        <v>2.33918129E-2</v>
      </c>
      <c r="D139" s="127">
        <v>17.899999999999999</v>
      </c>
      <c r="E139" s="74">
        <f t="shared" si="70"/>
        <v>2.2857142857142777E-2</v>
      </c>
      <c r="F139" s="203">
        <f>IF(ISNUMBER(D139), $B145 * E139, "")</f>
        <v>3428.5714285714166</v>
      </c>
      <c r="G139" s="44">
        <v>17.8</v>
      </c>
      <c r="H139" s="74">
        <f t="shared" si="71"/>
        <v>1.7142857142857182E-2</v>
      </c>
      <c r="I139" s="204">
        <f>IF(ISNUMBER(G139), $B145 * H139, "")</f>
        <v>2571.4285714285775</v>
      </c>
      <c r="J139" s="127">
        <v>17.899999999999999</v>
      </c>
      <c r="K139" s="74">
        <f t="shared" si="72"/>
        <v>2.2857142857142777E-2</v>
      </c>
      <c r="L139" s="203">
        <f>IF(ISNUMBER(J139), $B145 * K139, "")</f>
        <v>3428.5714285714166</v>
      </c>
      <c r="M139" s="44">
        <v>17.8</v>
      </c>
      <c r="N139" s="74">
        <f t="shared" si="73"/>
        <v>1.7142857142857182E-2</v>
      </c>
      <c r="O139" s="203">
        <f>IF(ISNUMBER(M139), $B145 * N139, "")</f>
        <v>2571.4285714285775</v>
      </c>
      <c r="Q139" s="262"/>
      <c r="R139" s="262"/>
      <c r="S139" s="262"/>
    </row>
    <row r="140" spans="1:19" ht="17.25" thickBot="1">
      <c r="A140" s="124" t="s">
        <v>214</v>
      </c>
      <c r="B140" s="128">
        <v>19.5</v>
      </c>
      <c r="C140" s="76">
        <v>2.0942408400000001E-2</v>
      </c>
      <c r="D140" s="128">
        <v>19.2</v>
      </c>
      <c r="E140" s="76">
        <f>IF(ISNUMBER(D140), (D140 - $B140) / $B140, "")</f>
        <v>-1.5384615384615422E-2</v>
      </c>
      <c r="F140" s="205">
        <f>IF(ISNUMBER(D140), $B145 * E140, "")</f>
        <v>-2307.6923076923131</v>
      </c>
      <c r="G140" s="45">
        <v>19.3</v>
      </c>
      <c r="H140" s="76">
        <f>IF(ISNUMBER(G140), (G140 - $B140) / $B140, "")</f>
        <v>-1.025641025641022E-2</v>
      </c>
      <c r="I140" s="206">
        <f>IF(ISNUMBER(G140), $B145 * H140, "")</f>
        <v>-1538.4615384615331</v>
      </c>
      <c r="J140" s="128">
        <v>19.399999999999999</v>
      </c>
      <c r="K140" s="76">
        <f>IF(ISNUMBER(J140), (J140 - $B140) / $B140, "")</f>
        <v>-5.1282051282052011E-3</v>
      </c>
      <c r="L140" s="205">
        <f>IF(ISNUMBER(J140), $B145 * K140, "")</f>
        <v>-769.2307692307802</v>
      </c>
      <c r="M140" s="45">
        <v>19.5</v>
      </c>
      <c r="N140" s="76">
        <f>IF(ISNUMBER(M140), (M140 - $B140) / $B140, "")</f>
        <v>0</v>
      </c>
      <c r="O140" s="205">
        <f>IF(ISNUMBER(M140), $B145 * N140, "")</f>
        <v>0</v>
      </c>
      <c r="Q140" s="267"/>
      <c r="R140" s="267"/>
      <c r="S140" s="267"/>
    </row>
    <row r="141" spans="1:19" ht="17.25" thickBot="1">
      <c r="A141" s="124" t="s">
        <v>228</v>
      </c>
      <c r="B141" s="125">
        <v>15.8</v>
      </c>
      <c r="C141" s="73">
        <v>1.9354838700000002E-2</v>
      </c>
      <c r="D141" s="125">
        <v>15.9</v>
      </c>
      <c r="E141" s="73">
        <f t="shared" ref="E141:E144" si="74">IF(ISNUMBER(D141), (D141 - $B141) / $B141, "")</f>
        <v>6.3291139240506103E-3</v>
      </c>
      <c r="F141" s="136">
        <f>IF(ISNUMBER(D141), $B145 * E141, "")</f>
        <v>949.36708860759154</v>
      </c>
      <c r="G141" s="39">
        <v>15.9</v>
      </c>
      <c r="H141" s="73">
        <f t="shared" ref="H141:H144" si="75">IF(ISNUMBER(G141), (G141 - $B141) / $B141, "")</f>
        <v>6.3291139240506103E-3</v>
      </c>
      <c r="I141" s="202">
        <f>IF(ISNUMBER(G141), $B145 * H141, "")</f>
        <v>949.36708860759154</v>
      </c>
      <c r="J141" s="125">
        <v>15.9</v>
      </c>
      <c r="K141" s="73">
        <f t="shared" ref="K141:K144" si="76">IF(ISNUMBER(J141), (J141 - $B141) / $B141, "")</f>
        <v>6.3291139240506103E-3</v>
      </c>
      <c r="L141" s="136">
        <f>IF(ISNUMBER(J141), $B145 * K141, "")</f>
        <v>949.36708860759154</v>
      </c>
      <c r="M141" s="39">
        <v>16</v>
      </c>
      <c r="N141" s="73">
        <f t="shared" ref="N141:N144" si="77">IF(ISNUMBER(M141), (M141 - $B141) / $B141, "")</f>
        <v>1.2658227848101221E-2</v>
      </c>
      <c r="O141" s="136">
        <f>IF(ISNUMBER(M141), $B145 * N141, "")</f>
        <v>1898.7341772151831</v>
      </c>
      <c r="Q141" s="267"/>
      <c r="R141" s="267"/>
      <c r="S141" s="267"/>
    </row>
    <row r="142" spans="1:19" ht="17.25" thickBot="1">
      <c r="A142" s="124" t="s">
        <v>236</v>
      </c>
      <c r="B142" s="125">
        <v>72.2</v>
      </c>
      <c r="C142" s="73">
        <v>-2.82637954E-2</v>
      </c>
      <c r="D142" s="125">
        <v>69</v>
      </c>
      <c r="E142" s="73">
        <f t="shared" si="74"/>
        <v>-4.4321329639889231E-2</v>
      </c>
      <c r="F142" s="136">
        <f>IF(ISNUMBER(D142), $B145 * E142, "")</f>
        <v>-6648.199445983385</v>
      </c>
      <c r="G142" s="39">
        <v>68.900000000000006</v>
      </c>
      <c r="H142" s="73">
        <f t="shared" si="75"/>
        <v>-4.5706371191135693E-2</v>
      </c>
      <c r="I142" s="202">
        <f>IF(ISNUMBER(G142), $B145 * H142, "")</f>
        <v>-6855.9556786703542</v>
      </c>
      <c r="J142" s="125">
        <v>69.099999999999994</v>
      </c>
      <c r="K142" s="73">
        <f t="shared" si="76"/>
        <v>-4.2936288088642777E-2</v>
      </c>
      <c r="L142" s="136">
        <f>IF(ISNUMBER(J142), $B145 * K142, "")</f>
        <v>-6440.4432132964166</v>
      </c>
      <c r="M142" s="39">
        <v>69.099999999999994</v>
      </c>
      <c r="N142" s="73">
        <f t="shared" si="77"/>
        <v>-4.2936288088642777E-2</v>
      </c>
      <c r="O142" s="136">
        <f>IF(ISNUMBER(M142), $B145 * N142, "")</f>
        <v>-6440.4432132964166</v>
      </c>
      <c r="Q142" s="267"/>
      <c r="R142" s="267"/>
      <c r="S142" s="267"/>
    </row>
    <row r="143" spans="1:19">
      <c r="A143" s="124" t="s">
        <v>172</v>
      </c>
      <c r="B143" s="125">
        <v>23.8</v>
      </c>
      <c r="C143" s="73">
        <v>-8.4615384599999996E-2</v>
      </c>
      <c r="D143" s="125">
        <v>23</v>
      </c>
      <c r="E143" s="73">
        <f t="shared" si="74"/>
        <v>-3.3613445378151287E-2</v>
      </c>
      <c r="F143" s="136">
        <f>IF(ISNUMBER(D143), $B145 * E143, "")</f>
        <v>-5042.0168067226932</v>
      </c>
      <c r="G143" s="39">
        <v>23.1</v>
      </c>
      <c r="H143" s="73">
        <f t="shared" si="75"/>
        <v>-2.9411764705882321E-2</v>
      </c>
      <c r="I143" s="202">
        <f>IF(ISNUMBER(G143), $B145 * H143, "")</f>
        <v>-4411.7647058823486</v>
      </c>
      <c r="J143" s="125">
        <v>23.1</v>
      </c>
      <c r="K143" s="73">
        <f t="shared" si="76"/>
        <v>-2.9411764705882321E-2</v>
      </c>
      <c r="L143" s="136">
        <f>IF(ISNUMBER(J143), $B145 * K143, "")</f>
        <v>-4411.7647058823486</v>
      </c>
      <c r="M143" s="39">
        <v>23</v>
      </c>
      <c r="N143" s="73">
        <f t="shared" si="77"/>
        <v>-3.3613445378151287E-2</v>
      </c>
      <c r="O143" s="136">
        <f>IF(ISNUMBER(M143), $B145 * N143, "")</f>
        <v>-5042.0168067226932</v>
      </c>
      <c r="Q143" s="289"/>
      <c r="R143" s="290"/>
      <c r="S143" s="291"/>
    </row>
    <row r="144" spans="1:19" ht="17.25" thickBot="1">
      <c r="A144" s="129" t="s">
        <v>405</v>
      </c>
      <c r="B144" s="130">
        <v>422</v>
      </c>
      <c r="C144" s="75">
        <v>4.4600000000000001E-2</v>
      </c>
      <c r="D144" s="130">
        <v>427</v>
      </c>
      <c r="E144" s="75">
        <f t="shared" si="74"/>
        <v>1.1848341232227487E-2</v>
      </c>
      <c r="F144" s="137">
        <f>IF(ISNUMBER(D144), $B145 * E144, "")</f>
        <v>1777.251184834123</v>
      </c>
      <c r="G144" s="37">
        <v>433</v>
      </c>
      <c r="H144" s="75">
        <f t="shared" si="75"/>
        <v>2.6066350710900472E-2</v>
      </c>
      <c r="I144" s="207">
        <f>IF(ISNUMBER(G144), $B145 * H144, "")</f>
        <v>3909.9526066350709</v>
      </c>
      <c r="J144" s="130">
        <v>430</v>
      </c>
      <c r="K144" s="75">
        <f t="shared" si="76"/>
        <v>1.8957345971563982E-2</v>
      </c>
      <c r="L144" s="137">
        <f>IF(ISNUMBER(J144), $B145 * K144, "")</f>
        <v>2843.6018957345973</v>
      </c>
      <c r="M144" s="37">
        <v>431</v>
      </c>
      <c r="N144" s="75">
        <f t="shared" si="77"/>
        <v>2.132701421800948E-2</v>
      </c>
      <c r="O144" s="137">
        <f>IF(ISNUMBER(M144), $B145 * N144, "")</f>
        <v>3199.0521327014221</v>
      </c>
      <c r="Q144" s="292"/>
      <c r="R144" s="293"/>
      <c r="S144" s="294"/>
    </row>
    <row r="145" spans="1:19" ht="17.25" thickBot="1">
      <c r="A145" s="131" t="s">
        <v>301</v>
      </c>
      <c r="B145" s="300">
        <f>$B$37</f>
        <v>150000</v>
      </c>
      <c r="C145" s="301"/>
      <c r="D145" s="131" t="s">
        <v>302</v>
      </c>
      <c r="E145" s="228">
        <f>IF(COUNT(E125:E144), SUM(E125:E144) / COUNT(E125:E144), 0)</f>
        <v>1.7701636733366718E-2</v>
      </c>
      <c r="F145" s="208">
        <f>SUM(F125:F144)</f>
        <v>53104.910200100145</v>
      </c>
      <c r="G145" s="131" t="s">
        <v>302</v>
      </c>
      <c r="H145" s="228">
        <f>IF(COUNT(H125:H144), SUM(H125:H144) / COUNT(H125:H144), 0)</f>
        <v>1.9466495298716413E-2</v>
      </c>
      <c r="I145" s="208">
        <f>SUM(I125:I144)</f>
        <v>58399.485896149228</v>
      </c>
      <c r="J145" s="131" t="s">
        <v>302</v>
      </c>
      <c r="K145" s="228">
        <f>IF(COUNT(K125:K144), SUM(K125:K144) / COUNT(K125:K144), 0)</f>
        <v>2.0440989581673286E-2</v>
      </c>
      <c r="L145" s="208">
        <f>SUM(L125:L144)</f>
        <v>61322.968745019854</v>
      </c>
      <c r="M145" s="131" t="s">
        <v>302</v>
      </c>
      <c r="N145" s="228">
        <f>IF(COUNT(N125:N144), SUM(N125:N144) / COUNT(N125:N144), 0)</f>
        <v>2.1248017318776465E-2</v>
      </c>
      <c r="O145" s="208">
        <f>SUM(O125:O144)</f>
        <v>63744.051956329371</v>
      </c>
      <c r="Q145" s="295"/>
      <c r="R145" s="296"/>
      <c r="S145" s="297"/>
    </row>
    <row r="147" spans="1:19" ht="17.25" thickBot="1"/>
    <row r="148" spans="1:19" ht="17.25" thickBot="1">
      <c r="A148" s="241" t="s">
        <v>289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225" t="s">
        <v>298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62017000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-1.6680144000000001E-2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2021-05-14(금) 오전 00:00</v>
      </c>
      <c r="C150" s="305"/>
      <c r="D150" s="241" t="str">
        <f>TEXT($G$1, "[$-ko-KR]yyyy-mm-dd(ddd) ") &amp; "오후 14:00"</f>
        <v>2021-05-14(금) 오후 14:00</v>
      </c>
      <c r="E150" s="242"/>
      <c r="F150" s="243"/>
      <c r="G150" s="241" t="str">
        <f>TEXT($G$1, "[$-ko-KR]yyyy-mm-dd(ddd) ") &amp; "오후 19:00"</f>
        <v>2021-05-14(금) 오후 19:00</v>
      </c>
      <c r="H150" s="242"/>
      <c r="I150" s="243"/>
      <c r="J150" s="241" t="str">
        <f>TEXT($G$1, "[$-ko-KR]yyyy-mm-dd(ddd) ") &amp; "오후 21:00"</f>
        <v>2021-05-14(금) 오후 21:00</v>
      </c>
      <c r="K150" s="242"/>
      <c r="L150" s="243"/>
      <c r="M150" s="241" t="str">
        <f>TEXT($G$1+1, "[$-ko-KR]yyyy-mm-dd(ddd) ") &amp; "오전 00:00"</f>
        <v>2021-05-15(토) 오전 00:00</v>
      </c>
      <c r="N150" s="242"/>
      <c r="O150" s="243"/>
      <c r="Q150" s="262"/>
      <c r="R150" s="262"/>
      <c r="S150" s="262"/>
    </row>
    <row r="151" spans="1:19" ht="17.25" thickBot="1">
      <c r="A151" s="303"/>
      <c r="B151" s="120" t="s">
        <v>58</v>
      </c>
      <c r="C151" s="121" t="s">
        <v>59</v>
      </c>
      <c r="D151" s="120" t="s">
        <v>58</v>
      </c>
      <c r="E151" s="121" t="s">
        <v>299</v>
      </c>
      <c r="F151" s="232" t="s">
        <v>300</v>
      </c>
      <c r="G151" s="225" t="s">
        <v>58</v>
      </c>
      <c r="H151" s="226" t="s">
        <v>299</v>
      </c>
      <c r="I151" s="227" t="s">
        <v>300</v>
      </c>
      <c r="J151" s="121" t="s">
        <v>58</v>
      </c>
      <c r="K151" s="121" t="s">
        <v>299</v>
      </c>
      <c r="L151" s="230" t="s">
        <v>300</v>
      </c>
      <c r="M151" s="120" t="s">
        <v>58</v>
      </c>
      <c r="N151" s="121" t="s">
        <v>299</v>
      </c>
      <c r="O151" s="231" t="s">
        <v>300</v>
      </c>
      <c r="Q151" s="267"/>
      <c r="R151" s="267"/>
      <c r="S151" s="267"/>
    </row>
    <row r="152" spans="1:19" ht="17.25" thickBot="1">
      <c r="A152" s="122" t="s">
        <v>202</v>
      </c>
      <c r="B152" s="123">
        <v>165</v>
      </c>
      <c r="C152" s="72">
        <v>4.4303797499999999E-2</v>
      </c>
      <c r="D152" s="123">
        <v>166</v>
      </c>
      <c r="E152" s="72">
        <f>IF(ISNUMBER(D152), (D152 - $B152) / $B152, "")</f>
        <v>6.0606060606060606E-3</v>
      </c>
      <c r="F152" s="140">
        <f>IF(ISNUMBER(D152), $B172 * E152, "")</f>
        <v>909.09090909090912</v>
      </c>
      <c r="G152" s="38">
        <v>168</v>
      </c>
      <c r="H152" s="72">
        <f>IF(ISNUMBER(G152), (G152 - $B152) / $B152, "")</f>
        <v>1.8181818181818181E-2</v>
      </c>
      <c r="I152" s="201">
        <f>IF(ISNUMBER(G152), $B172 * H152, "")</f>
        <v>2727.272727272727</v>
      </c>
      <c r="J152" s="123">
        <v>168</v>
      </c>
      <c r="K152" s="72">
        <f>IF(ISNUMBER(J152), (J152 - $B152) / $B152, "")</f>
        <v>1.8181818181818181E-2</v>
      </c>
      <c r="L152" s="140">
        <f>IF(ISNUMBER(J152), $B172 * K152, "")</f>
        <v>2727.272727272727</v>
      </c>
      <c r="M152" s="38">
        <v>166</v>
      </c>
      <c r="N152" s="72">
        <f>IF(ISNUMBER(M152), (M152 - $B152) / $B152, "")</f>
        <v>6.0606060606060606E-3</v>
      </c>
      <c r="O152" s="140">
        <f>IF(ISNUMBER(M152), $B172 * N152, "")</f>
        <v>909.09090909090912</v>
      </c>
      <c r="Q152" s="262"/>
      <c r="R152" s="262"/>
      <c r="S152" s="262"/>
    </row>
    <row r="153" spans="1:19" ht="17.25" thickBot="1">
      <c r="A153" s="124" t="s">
        <v>264</v>
      </c>
      <c r="B153" s="125">
        <v>147</v>
      </c>
      <c r="C153" s="73">
        <v>4.2553191499999997E-2</v>
      </c>
      <c r="D153" s="125">
        <v>147</v>
      </c>
      <c r="E153" s="73">
        <f t="shared" ref="E153:E156" si="78">IF(ISNUMBER(D153), (D153 - $B153) / $B153, "")</f>
        <v>0</v>
      </c>
      <c r="F153" s="136">
        <f>IF(ISNUMBER(D153), $B172 * E153, "")</f>
        <v>0</v>
      </c>
      <c r="G153" s="39">
        <v>149</v>
      </c>
      <c r="H153" s="73">
        <f t="shared" ref="H153:H156" si="79">IF(ISNUMBER(G153), (G153 - $B153) / $B153, "")</f>
        <v>1.3605442176870748E-2</v>
      </c>
      <c r="I153" s="202">
        <f>IF(ISNUMBER(G153), $B172 * H153, "")</f>
        <v>2040.8163265306121</v>
      </c>
      <c r="J153" s="125">
        <v>148</v>
      </c>
      <c r="K153" s="73">
        <f t="shared" ref="K153:K156" si="80">IF(ISNUMBER(J153), (J153 - $B153) / $B153, "")</f>
        <v>6.8027210884353739E-3</v>
      </c>
      <c r="L153" s="136">
        <f>IF(ISNUMBER(J153), $B172 * K153, "")</f>
        <v>1020.408163265306</v>
      </c>
      <c r="M153" s="39">
        <v>149</v>
      </c>
      <c r="N153" s="73">
        <f t="shared" ref="N153:N156" si="81">IF(ISNUMBER(M153), (M153 - $B153) / $B153, "")</f>
        <v>1.3605442176870748E-2</v>
      </c>
      <c r="O153" s="136">
        <f>IF(ISNUMBER(M153), $B172 * N153, "")</f>
        <v>2040.8163265306121</v>
      </c>
      <c r="Q153" s="262"/>
      <c r="R153" s="262"/>
      <c r="S153" s="262"/>
    </row>
    <row r="154" spans="1:19" ht="17.25" thickBot="1">
      <c r="A154" s="124" t="s">
        <v>148</v>
      </c>
      <c r="B154" s="125">
        <v>175</v>
      </c>
      <c r="C154" s="73">
        <v>4.16666667E-2</v>
      </c>
      <c r="D154" s="125">
        <v>171</v>
      </c>
      <c r="E154" s="73">
        <f t="shared" si="78"/>
        <v>-2.2857142857142857E-2</v>
      </c>
      <c r="F154" s="136">
        <f>IF(ISNUMBER(D154), $B172 * E154, "")</f>
        <v>-3428.5714285714284</v>
      </c>
      <c r="G154" s="39">
        <v>175</v>
      </c>
      <c r="H154" s="73">
        <f t="shared" si="79"/>
        <v>0</v>
      </c>
      <c r="I154" s="202">
        <f>IF(ISNUMBER(G154), $B172 * H154, "")</f>
        <v>0</v>
      </c>
      <c r="J154" s="125">
        <v>175</v>
      </c>
      <c r="K154" s="73">
        <f t="shared" si="80"/>
        <v>0</v>
      </c>
      <c r="L154" s="136">
        <f>IF(ISNUMBER(J154), $B172 * K154, "")</f>
        <v>0</v>
      </c>
      <c r="M154" s="39">
        <v>174</v>
      </c>
      <c r="N154" s="73">
        <f t="shared" si="81"/>
        <v>-5.7142857142857143E-3</v>
      </c>
      <c r="O154" s="136">
        <f>IF(ISNUMBER(M154), $B172 * N154, "")</f>
        <v>-857.14285714285711</v>
      </c>
      <c r="Q154" s="267"/>
      <c r="R154" s="267"/>
      <c r="S154" s="267"/>
    </row>
    <row r="155" spans="1:19" ht="17.25" thickBot="1">
      <c r="A155" s="124" t="s">
        <v>57</v>
      </c>
      <c r="B155" s="125">
        <v>385</v>
      </c>
      <c r="C155" s="73">
        <v>4.05405405E-2</v>
      </c>
      <c r="D155" s="125">
        <v>387</v>
      </c>
      <c r="E155" s="73">
        <f t="shared" si="78"/>
        <v>5.1948051948051948E-3</v>
      </c>
      <c r="F155" s="136">
        <f>IF(ISNUMBER(D155), $B172 * E155, "")</f>
        <v>779.22077922077926</v>
      </c>
      <c r="G155" s="39">
        <v>394</v>
      </c>
      <c r="H155" s="73">
        <f t="shared" si="79"/>
        <v>2.3376623376623377E-2</v>
      </c>
      <c r="I155" s="202">
        <f>IF(ISNUMBER(G155), $B172 * H155, "")</f>
        <v>3506.4935064935066</v>
      </c>
      <c r="J155" s="125">
        <v>394</v>
      </c>
      <c r="K155" s="73">
        <f t="shared" si="80"/>
        <v>2.3376623376623377E-2</v>
      </c>
      <c r="L155" s="136">
        <f>IF(ISNUMBER(J155), $B172 * K155, "")</f>
        <v>3506.4935064935066</v>
      </c>
      <c r="M155" s="39">
        <v>395</v>
      </c>
      <c r="N155" s="73">
        <f t="shared" si="81"/>
        <v>2.5974025974025976E-2</v>
      </c>
      <c r="O155" s="136">
        <f>IF(ISNUMBER(M155), $B172 * N155, "")</f>
        <v>3896.1038961038962</v>
      </c>
      <c r="Q155" s="267"/>
      <c r="R155" s="267"/>
      <c r="S155" s="267"/>
    </row>
    <row r="156" spans="1:19" ht="17.25" thickBot="1">
      <c r="A156" s="126" t="s">
        <v>210</v>
      </c>
      <c r="B156" s="127">
        <v>164</v>
      </c>
      <c r="C156" s="74">
        <v>3.7974683500000002E-2</v>
      </c>
      <c r="D156" s="127">
        <v>163</v>
      </c>
      <c r="E156" s="74">
        <f t="shared" si="78"/>
        <v>-6.0975609756097563E-3</v>
      </c>
      <c r="F156" s="203">
        <f>IF(ISNUMBER(D156), $B172 * E156, "")</f>
        <v>-914.63414634146341</v>
      </c>
      <c r="G156" s="44">
        <v>166</v>
      </c>
      <c r="H156" s="74">
        <f t="shared" si="79"/>
        <v>1.2195121951219513E-2</v>
      </c>
      <c r="I156" s="204">
        <f>IF(ISNUMBER(G156), $B172 * H156, "")</f>
        <v>1829.2682926829268</v>
      </c>
      <c r="J156" s="127">
        <v>165</v>
      </c>
      <c r="K156" s="74">
        <f t="shared" si="80"/>
        <v>6.0975609756097563E-3</v>
      </c>
      <c r="L156" s="203">
        <f>IF(ISNUMBER(J156), $B172 * K156, "")</f>
        <v>914.63414634146341</v>
      </c>
      <c r="M156" s="44">
        <v>165</v>
      </c>
      <c r="N156" s="74">
        <f t="shared" si="81"/>
        <v>6.0975609756097563E-3</v>
      </c>
      <c r="O156" s="203">
        <f>IF(ISNUMBER(M156), $B172 * N156, "")</f>
        <v>914.63414634146341</v>
      </c>
      <c r="Q156" s="267"/>
      <c r="R156" s="267"/>
      <c r="S156" s="267"/>
    </row>
    <row r="157" spans="1:19" ht="17.25" thickBot="1">
      <c r="A157" s="124" t="s">
        <v>170</v>
      </c>
      <c r="B157" s="128">
        <v>467</v>
      </c>
      <c r="C157" s="76">
        <v>3.5476718400000003E-2</v>
      </c>
      <c r="D157" s="128">
        <v>488</v>
      </c>
      <c r="E157" s="76">
        <f>IF(ISNUMBER(D157), (D157 - $B157) / $B157, "")</f>
        <v>4.4967880085653104E-2</v>
      </c>
      <c r="F157" s="205">
        <f>IF(ISNUMBER(D157), $B172 * E157, "")</f>
        <v>6745.1820128479658</v>
      </c>
      <c r="G157" s="45">
        <v>494</v>
      </c>
      <c r="H157" s="76">
        <f>IF(ISNUMBER(G157), (G157 - $B157) / $B157, "")</f>
        <v>5.7815845824411134E-2</v>
      </c>
      <c r="I157" s="206">
        <f>IF(ISNUMBER(G157), $B172 * H157, "")</f>
        <v>8672.3768736616694</v>
      </c>
      <c r="J157" s="128">
        <v>499</v>
      </c>
      <c r="K157" s="76">
        <f>IF(ISNUMBER(J157), (J157 - $B157) / $B157, "")</f>
        <v>6.852248394004283E-2</v>
      </c>
      <c r="L157" s="205">
        <f>IF(ISNUMBER(J157), $B172 * K157, "")</f>
        <v>10278.372591006424</v>
      </c>
      <c r="M157" s="45">
        <v>499</v>
      </c>
      <c r="N157" s="76">
        <f>IF(ISNUMBER(M157), (M157 - $B157) / $B157, "")</f>
        <v>6.852248394004283E-2</v>
      </c>
      <c r="O157" s="205">
        <f>IF(ISNUMBER(M157), $B172 * N157, "")</f>
        <v>10278.372591006424</v>
      </c>
      <c r="Q157" s="267"/>
      <c r="R157" s="267"/>
      <c r="S157" s="267"/>
    </row>
    <row r="158" spans="1:19" ht="17.25" thickBot="1">
      <c r="A158" s="124" t="s">
        <v>278</v>
      </c>
      <c r="B158" s="125">
        <v>138</v>
      </c>
      <c r="C158" s="73">
        <v>2.9850746300000001E-2</v>
      </c>
      <c r="D158" s="125">
        <v>138</v>
      </c>
      <c r="E158" s="73">
        <f t="shared" ref="E158:E161" si="82">IF(ISNUMBER(D158), (D158 - $B158) / $B158, "")</f>
        <v>0</v>
      </c>
      <c r="F158" s="136">
        <f>IF(ISNUMBER(D158), $B172 * E158, "")</f>
        <v>0</v>
      </c>
      <c r="G158" s="39">
        <v>140</v>
      </c>
      <c r="H158" s="73">
        <f t="shared" ref="H158:H161" si="83">IF(ISNUMBER(G158), (G158 - $B158) / $B158, "")</f>
        <v>1.4492753623188406E-2</v>
      </c>
      <c r="I158" s="202">
        <f>IF(ISNUMBER(G158), $B172 * H158, "")</f>
        <v>2173.913043478261</v>
      </c>
      <c r="J158" s="125">
        <v>140</v>
      </c>
      <c r="K158" s="73">
        <f t="shared" ref="K158:K161" si="84">IF(ISNUMBER(J158), (J158 - $B158) / $B158, "")</f>
        <v>1.4492753623188406E-2</v>
      </c>
      <c r="L158" s="136">
        <f>IF(ISNUMBER(J158), $B172 * K158, "")</f>
        <v>2173.913043478261</v>
      </c>
      <c r="M158" s="39">
        <v>140</v>
      </c>
      <c r="N158" s="73">
        <f t="shared" ref="N158:N161" si="85">IF(ISNUMBER(M158), (M158 - $B158) / $B158, "")</f>
        <v>1.4492753623188406E-2</v>
      </c>
      <c r="O158" s="136">
        <f>IF(ISNUMBER(M158), $B172 * N158, "")</f>
        <v>2173.913043478261</v>
      </c>
      <c r="Q158" s="267"/>
      <c r="R158" s="267"/>
      <c r="S158" s="267"/>
    </row>
    <row r="159" spans="1:19" ht="17.25" thickBot="1">
      <c r="A159" s="124" t="s">
        <v>250</v>
      </c>
      <c r="B159" s="125">
        <v>174</v>
      </c>
      <c r="C159" s="73">
        <v>2.95857988E-2</v>
      </c>
      <c r="D159" s="125">
        <v>176</v>
      </c>
      <c r="E159" s="73">
        <f t="shared" si="82"/>
        <v>1.1494252873563218E-2</v>
      </c>
      <c r="F159" s="136">
        <f>IF(ISNUMBER(D159), $B172 * E159, "")</f>
        <v>1724.1379310344828</v>
      </c>
      <c r="G159" s="39">
        <v>178</v>
      </c>
      <c r="H159" s="73">
        <f t="shared" si="83"/>
        <v>2.2988505747126436E-2</v>
      </c>
      <c r="I159" s="202">
        <f>IF(ISNUMBER(G159), $B172 * H159, "")</f>
        <v>3448.2758620689656</v>
      </c>
      <c r="J159" s="125">
        <v>180</v>
      </c>
      <c r="K159" s="73">
        <f t="shared" si="84"/>
        <v>3.4482758620689655E-2</v>
      </c>
      <c r="L159" s="136">
        <f>IF(ISNUMBER(J159), $B172 * K159, "")</f>
        <v>5172.4137931034484</v>
      </c>
      <c r="M159" s="39">
        <v>179</v>
      </c>
      <c r="N159" s="73">
        <f t="shared" si="85"/>
        <v>2.8735632183908046E-2</v>
      </c>
      <c r="O159" s="136">
        <f>IF(ISNUMBER(M159), $B172 * N159, "")</f>
        <v>4310.3448275862065</v>
      </c>
      <c r="Q159" s="267"/>
      <c r="R159" s="267"/>
      <c r="S159" s="267"/>
    </row>
    <row r="160" spans="1:19" ht="17.25" thickBot="1">
      <c r="A160" s="124" t="s">
        <v>232</v>
      </c>
      <c r="B160" s="125">
        <v>144</v>
      </c>
      <c r="C160" s="73">
        <v>2.85714286E-2</v>
      </c>
      <c r="D160" s="125">
        <v>149</v>
      </c>
      <c r="E160" s="73">
        <f t="shared" si="82"/>
        <v>3.4722222222222224E-2</v>
      </c>
      <c r="F160" s="136">
        <f>IF(ISNUMBER(D160), $B172 * E160, "")</f>
        <v>5208.3333333333339</v>
      </c>
      <c r="G160" s="39">
        <v>151</v>
      </c>
      <c r="H160" s="73">
        <f t="shared" si="83"/>
        <v>4.8611111111111112E-2</v>
      </c>
      <c r="I160" s="202">
        <f>IF(ISNUMBER(G160), $B172 * H160, "")</f>
        <v>7291.666666666667</v>
      </c>
      <c r="J160" s="125">
        <v>150</v>
      </c>
      <c r="K160" s="73">
        <f t="shared" si="84"/>
        <v>4.1666666666666664E-2</v>
      </c>
      <c r="L160" s="136">
        <f>IF(ISNUMBER(J160), $B172 * K160, "")</f>
        <v>6250</v>
      </c>
      <c r="M160" s="39">
        <v>150</v>
      </c>
      <c r="N160" s="73">
        <f t="shared" si="85"/>
        <v>4.1666666666666664E-2</v>
      </c>
      <c r="O160" s="136">
        <f>IF(ISNUMBER(M160), $B172 * N160, "")</f>
        <v>6250</v>
      </c>
      <c r="Q160" s="33"/>
      <c r="R160" s="33"/>
    </row>
    <row r="161" spans="1:19" ht="17.25" thickBot="1">
      <c r="A161" s="129" t="s">
        <v>284</v>
      </c>
      <c r="B161" s="130">
        <v>402</v>
      </c>
      <c r="C161" s="75">
        <v>2.81329923E-2</v>
      </c>
      <c r="D161" s="130">
        <v>400</v>
      </c>
      <c r="E161" s="75">
        <f t="shared" si="82"/>
        <v>-4.9751243781094526E-3</v>
      </c>
      <c r="F161" s="137">
        <f>IF(ISNUMBER(D161), $B172 * E161, "")</f>
        <v>-746.26865671641792</v>
      </c>
      <c r="G161" s="37">
        <v>405</v>
      </c>
      <c r="H161" s="75">
        <f t="shared" si="83"/>
        <v>7.462686567164179E-3</v>
      </c>
      <c r="I161" s="207">
        <f>IF(ISNUMBER(G161), $B172 * H161, "")</f>
        <v>1119.4029850746269</v>
      </c>
      <c r="J161" s="130">
        <v>406</v>
      </c>
      <c r="K161" s="75">
        <f t="shared" si="84"/>
        <v>9.9502487562189053E-3</v>
      </c>
      <c r="L161" s="137">
        <f>IF(ISNUMBER(J161), $B172 * K161, "")</f>
        <v>1492.5373134328358</v>
      </c>
      <c r="M161" s="37">
        <v>422</v>
      </c>
      <c r="N161" s="75">
        <f t="shared" si="85"/>
        <v>4.975124378109453E-2</v>
      </c>
      <c r="O161" s="137">
        <f>IF(ISNUMBER(M161), $B172 * N161, "")</f>
        <v>7462.6865671641799</v>
      </c>
      <c r="Q161" s="276"/>
      <c r="R161" s="277"/>
      <c r="S161" s="278"/>
    </row>
    <row r="162" spans="1:19">
      <c r="A162" s="122" t="s">
        <v>282</v>
      </c>
      <c r="B162" s="123">
        <v>149</v>
      </c>
      <c r="C162" s="72">
        <v>2.75862069E-2</v>
      </c>
      <c r="D162" s="123">
        <v>148</v>
      </c>
      <c r="E162" s="72">
        <f>IF(ISNUMBER(D162), (D162 - $B162) / $B162, "")</f>
        <v>-6.7114093959731542E-3</v>
      </c>
      <c r="F162" s="140">
        <f>IF(ISNUMBER(D162), $B172 * E162, "")</f>
        <v>-1006.7114093959731</v>
      </c>
      <c r="G162" s="38">
        <v>150</v>
      </c>
      <c r="H162" s="72">
        <f>IF(ISNUMBER(G162), (G162 - $B162) / $B162, "")</f>
        <v>6.7114093959731542E-3</v>
      </c>
      <c r="I162" s="201">
        <f>IF(ISNUMBER(G162), $B172 * H162, "")</f>
        <v>1006.7114093959731</v>
      </c>
      <c r="J162" s="123">
        <v>150</v>
      </c>
      <c r="K162" s="72">
        <f>IF(ISNUMBER(J162), (J162 - $B162) / $B162, "")</f>
        <v>6.7114093959731542E-3</v>
      </c>
      <c r="L162" s="140">
        <f>IF(ISNUMBER(J162), $B172 * K162, "")</f>
        <v>1006.7114093959731</v>
      </c>
      <c r="M162" s="38">
        <v>149</v>
      </c>
      <c r="N162" s="72">
        <f>IF(ISNUMBER(M162), (M162 - $B162) / $B162, "")</f>
        <v>0</v>
      </c>
      <c r="O162" s="140">
        <f>IF(ISNUMBER(M162), $B172 * N162, "")</f>
        <v>0</v>
      </c>
      <c r="Q162" s="279"/>
      <c r="R162" s="280"/>
      <c r="S162" s="281"/>
    </row>
    <row r="163" spans="1:19" ht="17.25" thickBot="1">
      <c r="A163" s="124" t="s">
        <v>112</v>
      </c>
      <c r="B163" s="125">
        <v>227</v>
      </c>
      <c r="C163" s="73">
        <v>2.7149321300000001E-2</v>
      </c>
      <c r="D163" s="125">
        <v>232</v>
      </c>
      <c r="E163" s="73">
        <f t="shared" ref="E163:E166" si="86">IF(ISNUMBER(D163), (D163 - $B163) / $B163, "")</f>
        <v>2.2026431718061675E-2</v>
      </c>
      <c r="F163" s="136">
        <f>IF(ISNUMBER(D163), $B172 * E163, "")</f>
        <v>3303.9647577092514</v>
      </c>
      <c r="G163" s="39">
        <v>231</v>
      </c>
      <c r="H163" s="73">
        <f t="shared" ref="H163:H166" si="87">IF(ISNUMBER(G163), (G163 - $B163) / $B163, "")</f>
        <v>1.7621145374449341E-2</v>
      </c>
      <c r="I163" s="202">
        <f>IF(ISNUMBER(G163), $B172 * H163, "")</f>
        <v>2643.171806167401</v>
      </c>
      <c r="J163" s="125">
        <v>232</v>
      </c>
      <c r="K163" s="73">
        <f t="shared" ref="K163:K166" si="88">IF(ISNUMBER(J163), (J163 - $B163) / $B163, "")</f>
        <v>2.2026431718061675E-2</v>
      </c>
      <c r="L163" s="136">
        <f>IF(ISNUMBER(J163), $B172 * K163, "")</f>
        <v>3303.9647577092514</v>
      </c>
      <c r="M163" s="39">
        <v>230</v>
      </c>
      <c r="N163" s="73">
        <f t="shared" ref="N163:N166" si="89">IF(ISNUMBER(M163), (M163 - $B163) / $B163, "")</f>
        <v>1.3215859030837005E-2</v>
      </c>
      <c r="O163" s="136">
        <f>IF(ISNUMBER(M163), $B172 * N163, "")</f>
        <v>1982.3788546255507</v>
      </c>
      <c r="Q163" s="282"/>
      <c r="R163" s="283"/>
      <c r="S163" s="284"/>
    </row>
    <row r="164" spans="1:19" ht="17.25" thickBot="1">
      <c r="A164" s="124" t="s">
        <v>51</v>
      </c>
      <c r="B164" s="125">
        <v>755</v>
      </c>
      <c r="C164" s="73">
        <v>2.58152174E-2</v>
      </c>
      <c r="D164" s="125">
        <v>851</v>
      </c>
      <c r="E164" s="73">
        <f t="shared" si="86"/>
        <v>0.1271523178807947</v>
      </c>
      <c r="F164" s="136">
        <f>IF(ISNUMBER(D164), $B172 * E164, "")</f>
        <v>19072.847682119205</v>
      </c>
      <c r="G164" s="39">
        <v>845</v>
      </c>
      <c r="H164" s="73">
        <f t="shared" si="87"/>
        <v>0.11920529801324503</v>
      </c>
      <c r="I164" s="202">
        <f>IF(ISNUMBER(G164), $B172 * H164, "")</f>
        <v>17880.794701986753</v>
      </c>
      <c r="J164" s="125">
        <v>829</v>
      </c>
      <c r="K164" s="73">
        <f t="shared" si="88"/>
        <v>9.8013245033112581E-2</v>
      </c>
      <c r="L164" s="136">
        <f>IF(ISNUMBER(J164), $B172 * K164, "")</f>
        <v>14701.986754966887</v>
      </c>
      <c r="M164" s="39">
        <v>818</v>
      </c>
      <c r="N164" s="73">
        <f t="shared" si="89"/>
        <v>8.3443708609271527E-2</v>
      </c>
      <c r="O164" s="136">
        <f>IF(ISNUMBER(M164), $B172 * N164, "")</f>
        <v>12516.556291390729</v>
      </c>
      <c r="Q164" s="267"/>
      <c r="R164" s="267"/>
      <c r="S164" s="267"/>
    </row>
    <row r="165" spans="1:19" ht="17.25" thickBot="1">
      <c r="A165" s="124" t="s">
        <v>212</v>
      </c>
      <c r="B165" s="125">
        <v>123</v>
      </c>
      <c r="C165" s="73">
        <v>2.5000000000000001E-2</v>
      </c>
      <c r="D165" s="125">
        <v>124</v>
      </c>
      <c r="E165" s="73">
        <f t="shared" si="86"/>
        <v>8.130081300813009E-3</v>
      </c>
      <c r="F165" s="136">
        <f>IF(ISNUMBER(D165), $B172 * E165, "")</f>
        <v>1219.5121951219514</v>
      </c>
      <c r="G165" s="39">
        <v>126</v>
      </c>
      <c r="H165" s="73">
        <f t="shared" si="87"/>
        <v>2.4390243902439025E-2</v>
      </c>
      <c r="I165" s="202">
        <f>IF(ISNUMBER(G165), $B172 * H165, "")</f>
        <v>3658.5365853658536</v>
      </c>
      <c r="J165" s="125">
        <v>126</v>
      </c>
      <c r="K165" s="73">
        <f t="shared" si="88"/>
        <v>2.4390243902439025E-2</v>
      </c>
      <c r="L165" s="136">
        <f>IF(ISNUMBER(J165), $B172 * K165, "")</f>
        <v>3658.5365853658536</v>
      </c>
      <c r="M165" s="39">
        <v>127</v>
      </c>
      <c r="N165" s="73">
        <f t="shared" si="89"/>
        <v>3.2520325203252036E-2</v>
      </c>
      <c r="O165" s="136">
        <f>IF(ISNUMBER(M165), $B172 * N165, "")</f>
        <v>4878.0487804878057</v>
      </c>
      <c r="Q165" s="262"/>
      <c r="R165" s="262"/>
      <c r="S165" s="262"/>
    </row>
    <row r="166" spans="1:19" ht="17.25" thickBot="1">
      <c r="A166" s="126" t="s">
        <v>168</v>
      </c>
      <c r="B166" s="127">
        <v>194</v>
      </c>
      <c r="C166" s="74">
        <v>2.10526316E-2</v>
      </c>
      <c r="D166" s="127">
        <v>197</v>
      </c>
      <c r="E166" s="74">
        <f t="shared" si="86"/>
        <v>1.5463917525773196E-2</v>
      </c>
      <c r="F166" s="203">
        <f>IF(ISNUMBER(D166), $B172 * E166, "")</f>
        <v>2319.5876288659792</v>
      </c>
      <c r="G166" s="44">
        <v>199</v>
      </c>
      <c r="H166" s="74">
        <f t="shared" si="87"/>
        <v>2.5773195876288658E-2</v>
      </c>
      <c r="I166" s="204">
        <f>IF(ISNUMBER(G166), $B172 * H166, "")</f>
        <v>3865.9793814432987</v>
      </c>
      <c r="J166" s="127">
        <v>201</v>
      </c>
      <c r="K166" s="74">
        <f t="shared" si="88"/>
        <v>3.608247422680412E-2</v>
      </c>
      <c r="L166" s="203">
        <f>IF(ISNUMBER(J166), $B172 * K166, "")</f>
        <v>5412.3711340206182</v>
      </c>
      <c r="M166" s="44">
        <v>201</v>
      </c>
      <c r="N166" s="74">
        <f t="shared" si="89"/>
        <v>3.608247422680412E-2</v>
      </c>
      <c r="O166" s="203">
        <f>IF(ISNUMBER(M166), $B172 * N166, "")</f>
        <v>5412.3711340206182</v>
      </c>
      <c r="Q166" s="262"/>
      <c r="R166" s="262"/>
      <c r="S166" s="262"/>
    </row>
    <row r="167" spans="1:19" ht="17.25" thickBot="1">
      <c r="A167" s="124" t="s">
        <v>252</v>
      </c>
      <c r="B167" s="128">
        <v>445</v>
      </c>
      <c r="C167" s="76">
        <v>2.0642201799999999E-2</v>
      </c>
      <c r="D167" s="128">
        <v>440</v>
      </c>
      <c r="E167" s="76">
        <f>IF(ISNUMBER(D167), (D167 - $B167) / $B167, "")</f>
        <v>-1.1235955056179775E-2</v>
      </c>
      <c r="F167" s="205">
        <f>IF(ISNUMBER(D167), $B172 * E167, "")</f>
        <v>-1685.3932584269662</v>
      </c>
      <c r="G167" s="45">
        <v>447</v>
      </c>
      <c r="H167" s="76">
        <f>IF(ISNUMBER(G167), (G167 - $B167) / $B167, "")</f>
        <v>4.4943820224719105E-3</v>
      </c>
      <c r="I167" s="206">
        <f>IF(ISNUMBER(G167), $B172 * H167, "")</f>
        <v>674.15730337078662</v>
      </c>
      <c r="J167" s="128">
        <v>450</v>
      </c>
      <c r="K167" s="76">
        <f>IF(ISNUMBER(J167), (J167 - $B167) / $B167, "")</f>
        <v>1.1235955056179775E-2</v>
      </c>
      <c r="L167" s="205">
        <f>IF(ISNUMBER(J167), $B172 * K167, "")</f>
        <v>1685.3932584269662</v>
      </c>
      <c r="M167" s="45">
        <v>446</v>
      </c>
      <c r="N167" s="76">
        <f>IF(ISNUMBER(M167), (M167 - $B167) / $B167, "")</f>
        <v>2.2471910112359553E-3</v>
      </c>
      <c r="O167" s="205">
        <f>IF(ISNUMBER(M167), $B172 * N167, "")</f>
        <v>337.07865168539331</v>
      </c>
      <c r="Q167" s="267"/>
      <c r="R167" s="267"/>
      <c r="S167" s="267"/>
    </row>
    <row r="168" spans="1:19" ht="17.25" thickBot="1">
      <c r="A168" s="124" t="s">
        <v>200</v>
      </c>
      <c r="B168" s="125">
        <v>300</v>
      </c>
      <c r="C168" s="73">
        <v>2.0408163300000001E-2</v>
      </c>
      <c r="D168" s="125">
        <v>302</v>
      </c>
      <c r="E168" s="73">
        <f t="shared" ref="E168:E171" si="90">IF(ISNUMBER(D168), (D168 - $B168) / $B168, "")</f>
        <v>6.6666666666666671E-3</v>
      </c>
      <c r="F168" s="136">
        <f>IF(ISNUMBER(D168), $B172 * E168, "")</f>
        <v>1000.0000000000001</v>
      </c>
      <c r="G168" s="39">
        <v>305</v>
      </c>
      <c r="H168" s="73">
        <f t="shared" ref="H168:H171" si="91">IF(ISNUMBER(G168), (G168 - $B168) / $B168, "")</f>
        <v>1.6666666666666666E-2</v>
      </c>
      <c r="I168" s="202">
        <f>IF(ISNUMBER(G168), $B172 * H168, "")</f>
        <v>2500</v>
      </c>
      <c r="J168" s="125">
        <v>305</v>
      </c>
      <c r="K168" s="73">
        <f t="shared" ref="K168:K171" si="92">IF(ISNUMBER(J168), (J168 - $B168) / $B168, "")</f>
        <v>1.6666666666666666E-2</v>
      </c>
      <c r="L168" s="136">
        <f>IF(ISNUMBER(J168), $B172 * K168, "")</f>
        <v>2500</v>
      </c>
      <c r="M168" s="39">
        <v>305</v>
      </c>
      <c r="N168" s="73">
        <f t="shared" ref="N168:N171" si="93">IF(ISNUMBER(M168), (M168 - $B168) / $B168, "")</f>
        <v>1.6666666666666666E-2</v>
      </c>
      <c r="O168" s="136">
        <f>IF(ISNUMBER(M168), $B172 * N168, "")</f>
        <v>2500</v>
      </c>
      <c r="Q168" s="267"/>
      <c r="R168" s="267"/>
      <c r="S168" s="267"/>
    </row>
    <row r="169" spans="1:19" ht="17.25" thickBot="1">
      <c r="A169" s="124" t="s">
        <v>156</v>
      </c>
      <c r="B169" s="125">
        <v>151</v>
      </c>
      <c r="C169" s="73">
        <v>2.02702703E-2</v>
      </c>
      <c r="D169" s="125">
        <v>153</v>
      </c>
      <c r="E169" s="73">
        <f t="shared" si="90"/>
        <v>1.3245033112582781E-2</v>
      </c>
      <c r="F169" s="136">
        <f>IF(ISNUMBER(D169), $B172 * E169, "")</f>
        <v>1986.7549668874171</v>
      </c>
      <c r="G169" s="39">
        <v>156</v>
      </c>
      <c r="H169" s="73">
        <f t="shared" si="91"/>
        <v>3.3112582781456956E-2</v>
      </c>
      <c r="I169" s="202">
        <f>IF(ISNUMBER(G169), $B172 * H169, "")</f>
        <v>4966.8874172185433</v>
      </c>
      <c r="J169" s="125">
        <v>155</v>
      </c>
      <c r="K169" s="73">
        <f t="shared" si="92"/>
        <v>2.6490066225165563E-2</v>
      </c>
      <c r="L169" s="136">
        <f>IF(ISNUMBER(J169), $B172 * K169, "")</f>
        <v>3973.5099337748343</v>
      </c>
      <c r="M169" s="39">
        <v>155</v>
      </c>
      <c r="N169" s="73">
        <f t="shared" si="93"/>
        <v>2.6490066225165563E-2</v>
      </c>
      <c r="O169" s="136">
        <f>IF(ISNUMBER(M169), $B172 * N169, "")</f>
        <v>3973.5099337748343</v>
      </c>
      <c r="Q169" s="267"/>
      <c r="R169" s="267"/>
      <c r="S169" s="267"/>
    </row>
    <row r="170" spans="1:19">
      <c r="A170" s="124" t="s">
        <v>208</v>
      </c>
      <c r="B170" s="125">
        <v>448</v>
      </c>
      <c r="C170" s="73">
        <v>-6.2761506300000006E-2</v>
      </c>
      <c r="D170" s="125">
        <v>445</v>
      </c>
      <c r="E170" s="73">
        <f t="shared" si="90"/>
        <v>-6.6964285714285711E-3</v>
      </c>
      <c r="F170" s="136">
        <f>IF(ISNUMBER(D170), $B172 * E170, "")</f>
        <v>-1004.4642857142857</v>
      </c>
      <c r="G170" s="39">
        <v>446</v>
      </c>
      <c r="H170" s="73">
        <f t="shared" si="91"/>
        <v>-4.464285714285714E-3</v>
      </c>
      <c r="I170" s="202">
        <f>IF(ISNUMBER(G170), $B172 * H170, "")</f>
        <v>-669.64285714285711</v>
      </c>
      <c r="J170" s="125">
        <v>449</v>
      </c>
      <c r="K170" s="73">
        <f t="shared" si="92"/>
        <v>2.232142857142857E-3</v>
      </c>
      <c r="L170" s="136">
        <f>IF(ISNUMBER(J170), $B172 * K170, "")</f>
        <v>334.82142857142856</v>
      </c>
      <c r="M170" s="39">
        <v>450</v>
      </c>
      <c r="N170" s="73">
        <f t="shared" si="93"/>
        <v>4.464285714285714E-3</v>
      </c>
      <c r="O170" s="136">
        <f>IF(ISNUMBER(M170), $B172 * N170, "")</f>
        <v>669.64285714285711</v>
      </c>
      <c r="Q170" s="289"/>
      <c r="R170" s="290"/>
      <c r="S170" s="291"/>
    </row>
    <row r="171" spans="1:19" ht="17.25" thickBot="1">
      <c r="A171" s="129" t="s">
        <v>182</v>
      </c>
      <c r="B171" s="130">
        <v>553</v>
      </c>
      <c r="C171" s="75">
        <v>-0.1439628483</v>
      </c>
      <c r="D171" s="130">
        <v>521</v>
      </c>
      <c r="E171" s="75">
        <f t="shared" si="90"/>
        <v>-5.7866184448462928E-2</v>
      </c>
      <c r="F171" s="137">
        <f>IF(ISNUMBER(D171), $B172 * E171, "")</f>
        <v>-8679.9276672694396</v>
      </c>
      <c r="G171" s="37">
        <v>522</v>
      </c>
      <c r="H171" s="75">
        <f t="shared" si="91"/>
        <v>-5.6057866184448461E-2</v>
      </c>
      <c r="I171" s="207">
        <f>IF(ISNUMBER(G171), $B172 * H171, "")</f>
        <v>-8408.67992766727</v>
      </c>
      <c r="J171" s="130">
        <v>523</v>
      </c>
      <c r="K171" s="75">
        <f t="shared" si="92"/>
        <v>-5.4249547920433995E-2</v>
      </c>
      <c r="L171" s="137">
        <f>IF(ISNUMBER(J171), $B172 * K171, "")</f>
        <v>-8137.4321880650996</v>
      </c>
      <c r="M171" s="37">
        <v>523</v>
      </c>
      <c r="N171" s="75">
        <f t="shared" si="93"/>
        <v>-5.4249547920433995E-2</v>
      </c>
      <c r="O171" s="137">
        <f>IF(ISNUMBER(M171), $B172 * N171, "")</f>
        <v>-8137.4321880650996</v>
      </c>
      <c r="Q171" s="292"/>
      <c r="R171" s="293"/>
      <c r="S171" s="294"/>
    </row>
    <row r="172" spans="1:19" ht="17.25" thickBot="1">
      <c r="A172" s="131" t="s">
        <v>301</v>
      </c>
      <c r="B172" s="300">
        <f>$B$37</f>
        <v>150000</v>
      </c>
      <c r="C172" s="301"/>
      <c r="D172" s="131" t="s">
        <v>302</v>
      </c>
      <c r="E172" s="228">
        <f>IF(COUNT(E152:E171), SUM(E152:E171) / COUNT(E152:E171), 0)</f>
        <v>8.934220447931766E-3</v>
      </c>
      <c r="F172" s="208">
        <f>SUM(F152:F171)</f>
        <v>26802.661343795306</v>
      </c>
      <c r="G172" s="131" t="s">
        <v>302</v>
      </c>
      <c r="H172" s="228">
        <f>IF(COUNT(H152:H171), SUM(H152:H171) / COUNT(H152:H171), 0)</f>
        <v>2.0309134034689487E-2</v>
      </c>
      <c r="I172" s="208">
        <f>SUM(I152:I171)</f>
        <v>60927.402104068446</v>
      </c>
      <c r="J172" s="131" t="s">
        <v>302</v>
      </c>
      <c r="K172" s="228">
        <f>IF(COUNT(K152:K171), SUM(K152:K171) / COUNT(K152:K171), 0)</f>
        <v>2.0658636119520228E-2</v>
      </c>
      <c r="L172" s="208">
        <f>SUM(L152:L171)</f>
        <v>61975.9083585607</v>
      </c>
      <c r="M172" s="131" t="s">
        <v>302</v>
      </c>
      <c r="N172" s="228">
        <f>IF(COUNT(N152:N171), SUM(N152:N171) / COUNT(N152:N171), 0)</f>
        <v>2.0503657921740592E-2</v>
      </c>
      <c r="O172" s="208">
        <f>SUM(O152:O171)</f>
        <v>61510.973765221788</v>
      </c>
      <c r="Q172" s="295"/>
      <c r="R172" s="296"/>
      <c r="S172" s="297"/>
    </row>
    <row r="174" spans="1:19" ht="17.25" thickBot="1"/>
    <row r="175" spans="1:19" ht="17.25" thickBot="1">
      <c r="A175" s="241" t="s">
        <v>285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225" t="s">
        <v>298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62017000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-1.6680144000000001E-2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2021-05-14(금) 오전 00:00</v>
      </c>
      <c r="C177" s="305"/>
      <c r="D177" s="241" t="str">
        <f>TEXT($G$1, "[$-ko-KR]yyyy-mm-dd(ddd) ") &amp; "오후 14:00"</f>
        <v>2021-05-14(금) 오후 14:00</v>
      </c>
      <c r="E177" s="242"/>
      <c r="F177" s="243"/>
      <c r="G177" s="241" t="str">
        <f>TEXT($G$1, "[$-ko-KR]yyyy-mm-dd(ddd) ") &amp; "오후 19:00"</f>
        <v>2021-05-14(금) 오후 19:00</v>
      </c>
      <c r="H177" s="242"/>
      <c r="I177" s="243"/>
      <c r="J177" s="241" t="str">
        <f>TEXT($G$1, "[$-ko-KR]yyyy-mm-dd(ddd) ") &amp; "오후 21:00"</f>
        <v>2021-05-14(금) 오후 21:00</v>
      </c>
      <c r="K177" s="242"/>
      <c r="L177" s="243"/>
      <c r="M177" s="241" t="str">
        <f>TEXT($G$1+1, "[$-ko-KR]yyyy-mm-dd(ddd) ") &amp; "오전 00:00"</f>
        <v>2021-05-15(토) 오전 00:00</v>
      </c>
      <c r="N177" s="242"/>
      <c r="O177" s="243"/>
      <c r="Q177" s="262"/>
      <c r="R177" s="262"/>
      <c r="S177" s="262"/>
    </row>
    <row r="178" spans="1:19" ht="17.25" thickBot="1">
      <c r="A178" s="303"/>
      <c r="B178" s="120" t="s">
        <v>58</v>
      </c>
      <c r="C178" s="121" t="s">
        <v>59</v>
      </c>
      <c r="D178" s="120" t="s">
        <v>58</v>
      </c>
      <c r="E178" s="121" t="s">
        <v>299</v>
      </c>
      <c r="F178" s="232" t="s">
        <v>300</v>
      </c>
      <c r="G178" s="225" t="s">
        <v>58</v>
      </c>
      <c r="H178" s="226" t="s">
        <v>299</v>
      </c>
      <c r="I178" s="227" t="s">
        <v>300</v>
      </c>
      <c r="J178" s="121" t="s">
        <v>58</v>
      </c>
      <c r="K178" s="121" t="s">
        <v>299</v>
      </c>
      <c r="L178" s="230" t="s">
        <v>300</v>
      </c>
      <c r="M178" s="120" t="s">
        <v>58</v>
      </c>
      <c r="N178" s="121" t="s">
        <v>299</v>
      </c>
      <c r="O178" s="231" t="s">
        <v>300</v>
      </c>
      <c r="Q178" s="267"/>
      <c r="R178" s="267"/>
      <c r="S178" s="267"/>
    </row>
    <row r="179" spans="1:19" ht="17.25" thickBot="1">
      <c r="A179" s="122" t="s">
        <v>200</v>
      </c>
      <c r="B179" s="123">
        <v>300</v>
      </c>
      <c r="C179" s="72">
        <v>2.0408163300000001E-2</v>
      </c>
      <c r="D179" s="123">
        <v>302</v>
      </c>
      <c r="E179" s="72">
        <f>IF(ISNUMBER(D179), (D179 - $B179) / $B179, "")</f>
        <v>6.6666666666666671E-3</v>
      </c>
      <c r="F179" s="140">
        <f>IF(ISNUMBER(D179), $B199 * E179, "")</f>
        <v>1000.0000000000001</v>
      </c>
      <c r="G179" s="38">
        <v>305</v>
      </c>
      <c r="H179" s="72">
        <f>IF(ISNUMBER(G179), (G179 - $B179) / $B179, "")</f>
        <v>1.6666666666666666E-2</v>
      </c>
      <c r="I179" s="201">
        <f>IF(ISNUMBER(G179), $B199 * H179, "")</f>
        <v>2500</v>
      </c>
      <c r="J179" s="123">
        <v>305</v>
      </c>
      <c r="K179" s="72">
        <f>IF(ISNUMBER(J179), (J179 - $B179) / $B179, "")</f>
        <v>1.6666666666666666E-2</v>
      </c>
      <c r="L179" s="140">
        <f>IF(ISNUMBER(J179), $B199 * K179, "")</f>
        <v>2500</v>
      </c>
      <c r="M179" s="38">
        <v>305</v>
      </c>
      <c r="N179" s="72">
        <f>IF(ISNUMBER(M179), (M179 - $B179) / $B179, "")</f>
        <v>1.6666666666666666E-2</v>
      </c>
      <c r="O179" s="140">
        <f>IF(ISNUMBER(M179), $B199 * N179, "")</f>
        <v>2500</v>
      </c>
      <c r="Q179" s="262"/>
      <c r="R179" s="262"/>
      <c r="S179" s="262"/>
    </row>
    <row r="180" spans="1:19" ht="17.25" thickBot="1">
      <c r="A180" s="124" t="s">
        <v>156</v>
      </c>
      <c r="B180" s="125">
        <v>151</v>
      </c>
      <c r="C180" s="73">
        <v>2.02702703E-2</v>
      </c>
      <c r="D180" s="125">
        <v>153</v>
      </c>
      <c r="E180" s="73">
        <f t="shared" ref="E180:E183" si="94">IF(ISNUMBER(D180), (D180 - $B180) / $B180, "")</f>
        <v>1.3245033112582781E-2</v>
      </c>
      <c r="F180" s="136">
        <f>IF(ISNUMBER(D180), $B199 * E180, "")</f>
        <v>1986.7549668874171</v>
      </c>
      <c r="G180" s="39">
        <v>156</v>
      </c>
      <c r="H180" s="73">
        <f t="shared" ref="H180:H183" si="95">IF(ISNUMBER(G180), (G180 - $B180) / $B180, "")</f>
        <v>3.3112582781456956E-2</v>
      </c>
      <c r="I180" s="202">
        <f>IF(ISNUMBER(G180), $B199 * H180, "")</f>
        <v>4966.8874172185433</v>
      </c>
      <c r="J180" s="125">
        <v>155</v>
      </c>
      <c r="K180" s="73">
        <f t="shared" ref="K180:K183" si="96">IF(ISNUMBER(J180), (J180 - $B180) / $B180, "")</f>
        <v>2.6490066225165563E-2</v>
      </c>
      <c r="L180" s="136">
        <f>IF(ISNUMBER(J180), $B199 * K180, "")</f>
        <v>3973.5099337748343</v>
      </c>
      <c r="M180" s="39">
        <v>155</v>
      </c>
      <c r="N180" s="73">
        <f t="shared" ref="N180:N183" si="97">IF(ISNUMBER(M180), (M180 - $B180) / $B180, "")</f>
        <v>2.6490066225165563E-2</v>
      </c>
      <c r="O180" s="136">
        <f>IF(ISNUMBER(M180), $B199 * N180, "")</f>
        <v>3973.5099337748343</v>
      </c>
      <c r="Q180" s="262"/>
      <c r="R180" s="262"/>
      <c r="S180" s="262"/>
    </row>
    <row r="181" spans="1:19" ht="17.25" thickBot="1">
      <c r="A181" s="124" t="s">
        <v>94</v>
      </c>
      <c r="B181" s="125">
        <v>116500</v>
      </c>
      <c r="C181" s="73">
        <v>1.9693654299999998E-2</v>
      </c>
      <c r="D181" s="125">
        <v>117200</v>
      </c>
      <c r="E181" s="73">
        <f t="shared" si="94"/>
        <v>6.0085836909871248E-3</v>
      </c>
      <c r="F181" s="136">
        <f>IF(ISNUMBER(D181), $B199 * E181, "")</f>
        <v>901.28755364806875</v>
      </c>
      <c r="G181" s="39">
        <v>124800</v>
      </c>
      <c r="H181" s="73">
        <f t="shared" si="95"/>
        <v>7.1244635193133052E-2</v>
      </c>
      <c r="I181" s="202">
        <f>IF(ISNUMBER(G181), $B199 * H181, "")</f>
        <v>10686.695278969957</v>
      </c>
      <c r="J181" s="125">
        <v>125150</v>
      </c>
      <c r="K181" s="73">
        <f t="shared" si="96"/>
        <v>7.4248927038626608E-2</v>
      </c>
      <c r="L181" s="136">
        <f>IF(ISNUMBER(J181), $B199 * K181, "")</f>
        <v>11137.339055793991</v>
      </c>
      <c r="M181" s="39">
        <v>124950</v>
      </c>
      <c r="N181" s="73">
        <f t="shared" si="97"/>
        <v>7.2532188841201717E-2</v>
      </c>
      <c r="O181" s="136">
        <f>IF(ISNUMBER(M181), $B199 * N181, "")</f>
        <v>10879.828326180257</v>
      </c>
      <c r="Q181" s="267"/>
      <c r="R181" s="267"/>
      <c r="S181" s="267"/>
    </row>
    <row r="182" spans="1:19" ht="17.25" thickBot="1">
      <c r="A182" s="124" t="s">
        <v>228</v>
      </c>
      <c r="B182" s="125">
        <v>15.8</v>
      </c>
      <c r="C182" s="73">
        <v>1.9354838700000002E-2</v>
      </c>
      <c r="D182" s="125">
        <v>15.9</v>
      </c>
      <c r="E182" s="73">
        <f t="shared" si="94"/>
        <v>6.3291139240506103E-3</v>
      </c>
      <c r="F182" s="136">
        <f>IF(ISNUMBER(D182), $B199 * E182, "")</f>
        <v>949.36708860759154</v>
      </c>
      <c r="G182" s="39">
        <v>15.9</v>
      </c>
      <c r="H182" s="73">
        <f t="shared" si="95"/>
        <v>6.3291139240506103E-3</v>
      </c>
      <c r="I182" s="202">
        <f>IF(ISNUMBER(G182), $B199 * H182, "")</f>
        <v>949.36708860759154</v>
      </c>
      <c r="J182" s="125">
        <v>15.9</v>
      </c>
      <c r="K182" s="73">
        <f t="shared" si="96"/>
        <v>6.3291139240506103E-3</v>
      </c>
      <c r="L182" s="136">
        <f>IF(ISNUMBER(J182), $B199 * K182, "")</f>
        <v>949.36708860759154</v>
      </c>
      <c r="M182" s="39">
        <v>16</v>
      </c>
      <c r="N182" s="73">
        <f t="shared" si="97"/>
        <v>1.2658227848101221E-2</v>
      </c>
      <c r="O182" s="136">
        <f>IF(ISNUMBER(M182), $B199 * N182, "")</f>
        <v>1898.7341772151831</v>
      </c>
      <c r="Q182" s="267"/>
      <c r="R182" s="267"/>
      <c r="S182" s="267"/>
    </row>
    <row r="183" spans="1:19" ht="17.25" thickBot="1">
      <c r="A183" s="126" t="s">
        <v>280</v>
      </c>
      <c r="B183" s="127">
        <v>1505</v>
      </c>
      <c r="C183" s="74">
        <v>1.6891891900000001E-2</v>
      </c>
      <c r="D183" s="127">
        <v>1505</v>
      </c>
      <c r="E183" s="74">
        <f t="shared" si="94"/>
        <v>0</v>
      </c>
      <c r="F183" s="203">
        <f>IF(ISNUMBER(D183), $B199 * E183, "")</f>
        <v>0</v>
      </c>
      <c r="G183" s="44">
        <v>1510</v>
      </c>
      <c r="H183" s="74">
        <f t="shared" si="95"/>
        <v>3.3222591362126247E-3</v>
      </c>
      <c r="I183" s="204">
        <f>IF(ISNUMBER(G183), $B199 * H183, "")</f>
        <v>498.33887043189372</v>
      </c>
      <c r="J183" s="127">
        <v>1515</v>
      </c>
      <c r="K183" s="74">
        <f t="shared" si="96"/>
        <v>6.6445182724252493E-3</v>
      </c>
      <c r="L183" s="203">
        <f>IF(ISNUMBER(J183), $B199 * K183, "")</f>
        <v>996.67774086378745</v>
      </c>
      <c r="M183" s="44">
        <v>1520</v>
      </c>
      <c r="N183" s="74">
        <f t="shared" si="97"/>
        <v>9.9667774086378731E-3</v>
      </c>
      <c r="O183" s="203">
        <f>IF(ISNUMBER(M183), $B199 * N183, "")</f>
        <v>1495.0166112956811</v>
      </c>
      <c r="Q183" s="267"/>
      <c r="R183" s="267"/>
      <c r="S183" s="267"/>
    </row>
    <row r="184" spans="1:19" ht="17.25" thickBot="1">
      <c r="A184" s="124" t="s">
        <v>274</v>
      </c>
      <c r="B184" s="128">
        <v>7400</v>
      </c>
      <c r="C184" s="76">
        <v>1.64835165E-2</v>
      </c>
      <c r="D184" s="128">
        <v>7565</v>
      </c>
      <c r="E184" s="76">
        <f>IF(ISNUMBER(D184), (D184 - $B184) / $B184, "")</f>
        <v>2.2297297297297299E-2</v>
      </c>
      <c r="F184" s="205">
        <f>IF(ISNUMBER(D184), $B199 * E184, "")</f>
        <v>3344.5945945945946</v>
      </c>
      <c r="G184" s="45">
        <v>7580</v>
      </c>
      <c r="H184" s="76">
        <f>IF(ISNUMBER(G184), (G184 - $B184) / $B184, "")</f>
        <v>2.4324324324324326E-2</v>
      </c>
      <c r="I184" s="206">
        <f>IF(ISNUMBER(G184), $B199 * H184, "")</f>
        <v>3648.6486486486488</v>
      </c>
      <c r="J184" s="128">
        <v>7645</v>
      </c>
      <c r="K184" s="76">
        <f>IF(ISNUMBER(J184), (J184 - $B184) / $B184, "")</f>
        <v>3.310810810810811E-2</v>
      </c>
      <c r="L184" s="205">
        <f>IF(ISNUMBER(J184), $B199 * K184, "")</f>
        <v>4966.2162162162167</v>
      </c>
      <c r="M184" s="45">
        <v>7675</v>
      </c>
      <c r="N184" s="76">
        <f>IF(ISNUMBER(M184), (M184 - $B184) / $B184, "")</f>
        <v>3.7162162162162164E-2</v>
      </c>
      <c r="O184" s="205">
        <f>IF(ISNUMBER(M184), $B199 * N184, "")</f>
        <v>5574.3243243243251</v>
      </c>
      <c r="Q184" s="267"/>
      <c r="R184" s="267"/>
      <c r="S184" s="267"/>
    </row>
    <row r="185" spans="1:19" ht="17.25" thickBot="1">
      <c r="A185" s="124" t="s">
        <v>124</v>
      </c>
      <c r="B185" s="125">
        <v>5600</v>
      </c>
      <c r="C185" s="73">
        <v>1.44927536E-2</v>
      </c>
      <c r="D185" s="125">
        <v>5765</v>
      </c>
      <c r="E185" s="73">
        <f t="shared" ref="E185:E188" si="98">IF(ISNUMBER(D185), (D185 - $B185) / $B185, "")</f>
        <v>2.9464285714285714E-2</v>
      </c>
      <c r="F185" s="136">
        <f>IF(ISNUMBER(D185), $B199 * E185, "")</f>
        <v>4419.6428571428569</v>
      </c>
      <c r="G185" s="39">
        <v>5785</v>
      </c>
      <c r="H185" s="73">
        <f t="shared" ref="H185:H188" si="99">IF(ISNUMBER(G185), (G185 - $B185) / $B185, "")</f>
        <v>3.3035714285714286E-2</v>
      </c>
      <c r="I185" s="202">
        <f>IF(ISNUMBER(G185), $B199 * H185, "")</f>
        <v>4955.3571428571431</v>
      </c>
      <c r="J185" s="125">
        <v>5825</v>
      </c>
      <c r="K185" s="73">
        <f t="shared" ref="K185:K188" si="100">IF(ISNUMBER(J185), (J185 - $B185) / $B185, "")</f>
        <v>4.0178571428571432E-2</v>
      </c>
      <c r="L185" s="136">
        <f>IF(ISNUMBER(J185), $B199 * K185, "")</f>
        <v>6026.7857142857147</v>
      </c>
      <c r="M185" s="39">
        <v>5870</v>
      </c>
      <c r="N185" s="73">
        <f t="shared" ref="N185:N188" si="101">IF(ISNUMBER(M185), (M185 - $B185) / $B185, "")</f>
        <v>4.8214285714285716E-2</v>
      </c>
      <c r="O185" s="136">
        <f>IF(ISNUMBER(M185), $B199 * N185, "")</f>
        <v>7232.1428571428578</v>
      </c>
      <c r="Q185" s="267"/>
      <c r="R185" s="267"/>
      <c r="S185" s="267"/>
    </row>
    <row r="186" spans="1:19" ht="17.25" thickBot="1">
      <c r="A186" s="124" t="s">
        <v>188</v>
      </c>
      <c r="B186" s="125">
        <v>25390</v>
      </c>
      <c r="C186" s="73">
        <v>1.2764260100000001E-2</v>
      </c>
      <c r="D186" s="125">
        <v>25810</v>
      </c>
      <c r="E186" s="73">
        <f t="shared" si="98"/>
        <v>1.654194564789287E-2</v>
      </c>
      <c r="F186" s="136">
        <f>IF(ISNUMBER(D186), $B199 * E186, "")</f>
        <v>2481.2918471839307</v>
      </c>
      <c r="G186" s="39">
        <v>26280</v>
      </c>
      <c r="H186" s="73">
        <f t="shared" si="99"/>
        <v>3.5053170539582512E-2</v>
      </c>
      <c r="I186" s="202">
        <f>IF(ISNUMBER(G186), $B199 * H186, "")</f>
        <v>5257.9755809373764</v>
      </c>
      <c r="J186" s="125">
        <v>26970</v>
      </c>
      <c r="K186" s="73">
        <f t="shared" si="100"/>
        <v>6.2229224103977944E-2</v>
      </c>
      <c r="L186" s="136">
        <f>IF(ISNUMBER(J186), $B199 * K186, "")</f>
        <v>9334.383615596691</v>
      </c>
      <c r="M186" s="39">
        <v>26720</v>
      </c>
      <c r="N186" s="73">
        <f t="shared" si="101"/>
        <v>5.2382827884994092E-2</v>
      </c>
      <c r="O186" s="136">
        <f>IF(ISNUMBER(M186), $B199 * N186, "")</f>
        <v>7857.4241827491142</v>
      </c>
      <c r="Q186" s="267"/>
      <c r="R186" s="267"/>
      <c r="S186" s="267"/>
    </row>
    <row r="187" spans="1:19" ht="17.25" thickBot="1">
      <c r="A187" s="124" t="s">
        <v>248</v>
      </c>
      <c r="B187" s="125">
        <v>3105</v>
      </c>
      <c r="C187" s="73">
        <v>1.1400651499999999E-2</v>
      </c>
      <c r="D187" s="125">
        <v>3075</v>
      </c>
      <c r="E187" s="73">
        <f t="shared" si="98"/>
        <v>-9.6618357487922701E-3</v>
      </c>
      <c r="F187" s="136">
        <f>IF(ISNUMBER(D187), $B199 * E187, "")</f>
        <v>-1449.2753623188405</v>
      </c>
      <c r="G187" s="39">
        <v>3140</v>
      </c>
      <c r="H187" s="73">
        <f t="shared" si="99"/>
        <v>1.1272141706924315E-2</v>
      </c>
      <c r="I187" s="202">
        <f>IF(ISNUMBER(G187), $B199 * H187, "")</f>
        <v>1690.8212560386473</v>
      </c>
      <c r="J187" s="125">
        <v>3175</v>
      </c>
      <c r="K187" s="73">
        <f t="shared" si="100"/>
        <v>2.2544283413848631E-2</v>
      </c>
      <c r="L187" s="136">
        <f>IF(ISNUMBER(J187), $B199 * K187, "")</f>
        <v>3381.6425120772947</v>
      </c>
      <c r="M187" s="39">
        <v>3170</v>
      </c>
      <c r="N187" s="73">
        <f t="shared" si="101"/>
        <v>2.0933977455716585E-2</v>
      </c>
      <c r="O187" s="136">
        <f>IF(ISNUMBER(M187), $B199 * N187, "")</f>
        <v>3140.0966183574878</v>
      </c>
      <c r="Q187" s="33"/>
      <c r="R187" s="33"/>
    </row>
    <row r="188" spans="1:19" ht="17.25" thickBot="1">
      <c r="A188" s="129" t="s">
        <v>224</v>
      </c>
      <c r="B188" s="130">
        <v>1835</v>
      </c>
      <c r="C188" s="75">
        <v>1.10192837E-2</v>
      </c>
      <c r="D188" s="130">
        <v>1985</v>
      </c>
      <c r="E188" s="75">
        <f t="shared" si="98"/>
        <v>8.1743869209809264E-2</v>
      </c>
      <c r="F188" s="137">
        <f>IF(ISNUMBER(D188), $B199 * E188, "")</f>
        <v>12261.580381471389</v>
      </c>
      <c r="G188" s="37">
        <v>1985</v>
      </c>
      <c r="H188" s="75">
        <f t="shared" si="99"/>
        <v>8.1743869209809264E-2</v>
      </c>
      <c r="I188" s="207">
        <f>IF(ISNUMBER(G188), $B199 * H188, "")</f>
        <v>12261.580381471389</v>
      </c>
      <c r="J188" s="130">
        <v>1950</v>
      </c>
      <c r="K188" s="75">
        <f t="shared" si="100"/>
        <v>6.2670299727520432E-2</v>
      </c>
      <c r="L188" s="137">
        <f>IF(ISNUMBER(J188), $B199 * K188, "")</f>
        <v>9400.5449591280649</v>
      </c>
      <c r="M188" s="37">
        <v>1930</v>
      </c>
      <c r="N188" s="75">
        <f t="shared" si="101"/>
        <v>5.1771117166212535E-2</v>
      </c>
      <c r="O188" s="137">
        <f>IF(ISNUMBER(M188), $B199 * N188, "")</f>
        <v>7765.6675749318802</v>
      </c>
      <c r="Q188" s="276"/>
      <c r="R188" s="277"/>
      <c r="S188" s="278"/>
    </row>
    <row r="189" spans="1:19">
      <c r="A189" s="122" t="s">
        <v>49</v>
      </c>
      <c r="B189" s="123">
        <v>62867000</v>
      </c>
      <c r="C189" s="72">
        <v>9.7980949999999997E-3</v>
      </c>
      <c r="D189" s="123">
        <v>61741000</v>
      </c>
      <c r="E189" s="72">
        <f>IF(ISNUMBER(D189), (D189 - $B189) / $B189, "")</f>
        <v>-1.7910827620214103E-2</v>
      </c>
      <c r="F189" s="140">
        <f>IF(ISNUMBER(D189), $B199 * E189, "")</f>
        <v>-2686.6241430321156</v>
      </c>
      <c r="G189" s="38">
        <v>62033000</v>
      </c>
      <c r="H189" s="72">
        <f>IF(ISNUMBER(G189), (G189 - $B189) / $B189, "")</f>
        <v>-1.3266101452272257E-2</v>
      </c>
      <c r="I189" s="201">
        <f>IF(ISNUMBER(G189), $B199 * H189, "")</f>
        <v>-1989.9152178408385</v>
      </c>
      <c r="J189" s="123">
        <v>62105000</v>
      </c>
      <c r="K189" s="72">
        <f>IF(ISNUMBER(J189), (J189 - $B189) / $B189, "")</f>
        <v>-1.212082650675235E-2</v>
      </c>
      <c r="L189" s="140">
        <f>IF(ISNUMBER(J189), $B199 * K189, "")</f>
        <v>-1818.1239760128524</v>
      </c>
      <c r="M189" s="38">
        <v>62017000</v>
      </c>
      <c r="N189" s="72">
        <f>IF(ISNUMBER(M189), (M189 - $B189) / $B189, "")</f>
        <v>-1.3520606995721126E-2</v>
      </c>
      <c r="O189" s="140">
        <f>IF(ISNUMBER(M189), $B199 * N189, "")</f>
        <v>-2028.0910493581689</v>
      </c>
      <c r="Q189" s="279"/>
      <c r="R189" s="280"/>
      <c r="S189" s="281"/>
    </row>
    <row r="190" spans="1:19" ht="17.25" thickBot="1">
      <c r="A190" s="124" t="s">
        <v>164</v>
      </c>
      <c r="B190" s="125">
        <v>39660</v>
      </c>
      <c r="C190" s="73">
        <v>7.3660147000000004E-3</v>
      </c>
      <c r="D190" s="125">
        <v>39230</v>
      </c>
      <c r="E190" s="73">
        <f t="shared" ref="E190:E193" si="102">IF(ISNUMBER(D190), (D190 - $B190) / $B190, "")</f>
        <v>-1.0842158345940494E-2</v>
      </c>
      <c r="F190" s="136">
        <f>IF(ISNUMBER(D190), $B199 * E190, "")</f>
        <v>-1626.3237518910742</v>
      </c>
      <c r="G190" s="39">
        <v>40120</v>
      </c>
      <c r="H190" s="73">
        <f t="shared" ref="H190:H193" si="103">IF(ISNUMBER(G190), (G190 - $B190) / $B190, "")</f>
        <v>1.1598587997982855E-2</v>
      </c>
      <c r="I190" s="202">
        <f>IF(ISNUMBER(G190), $B199 * H190, "")</f>
        <v>1739.7881996974281</v>
      </c>
      <c r="J190" s="125">
        <v>40510</v>
      </c>
      <c r="K190" s="73">
        <f t="shared" ref="K190:K193" si="104">IF(ISNUMBER(J190), (J190 - $B190) / $B190, "")</f>
        <v>2.1432173474533536E-2</v>
      </c>
      <c r="L190" s="136">
        <f>IF(ISNUMBER(J190), $B199 * K190, "")</f>
        <v>3214.8260211800302</v>
      </c>
      <c r="M190" s="39">
        <v>40770</v>
      </c>
      <c r="N190" s="73">
        <f t="shared" ref="N190:N193" si="105">IF(ISNUMBER(M190), (M190 - $B190) / $B190, "")</f>
        <v>2.7987897125567322E-2</v>
      </c>
      <c r="O190" s="136">
        <f>IF(ISNUMBER(M190), $B199 * N190, "")</f>
        <v>4198.1845688350986</v>
      </c>
      <c r="Q190" s="282"/>
      <c r="R190" s="283"/>
      <c r="S190" s="284"/>
    </row>
    <row r="191" spans="1:19" ht="17.25" thickBot="1">
      <c r="A191" s="124" t="s">
        <v>96</v>
      </c>
      <c r="B191" s="125">
        <v>4781000</v>
      </c>
      <c r="C191" s="73">
        <v>7.1624184000000004E-3</v>
      </c>
      <c r="D191" s="125">
        <v>4791000</v>
      </c>
      <c r="E191" s="73">
        <f t="shared" si="102"/>
        <v>2.0916126333403052E-3</v>
      </c>
      <c r="F191" s="136">
        <f>IF(ISNUMBER(D191), $B199 * E191, "")</f>
        <v>313.7418950010458</v>
      </c>
      <c r="G191" s="39">
        <v>4848000</v>
      </c>
      <c r="H191" s="73">
        <f t="shared" si="103"/>
        <v>1.4013804643380047E-2</v>
      </c>
      <c r="I191" s="202">
        <f>IF(ISNUMBER(G191), $B199 * H191, "")</f>
        <v>2102.0706965070071</v>
      </c>
      <c r="J191" s="125">
        <v>4925000</v>
      </c>
      <c r="K191" s="73">
        <f t="shared" si="104"/>
        <v>3.0119221920100397E-2</v>
      </c>
      <c r="L191" s="136">
        <f>IF(ISNUMBER(J191), $B199 * K191, "")</f>
        <v>4517.8832880150594</v>
      </c>
      <c r="M191" s="39">
        <v>4977000</v>
      </c>
      <c r="N191" s="73">
        <f t="shared" si="105"/>
        <v>4.0995607613469986E-2</v>
      </c>
      <c r="O191" s="136">
        <f>IF(ISNUMBER(M191), $B199 * N191, "")</f>
        <v>6149.3411420204984</v>
      </c>
      <c r="Q191" s="267"/>
      <c r="R191" s="267"/>
      <c r="S191" s="267"/>
    </row>
    <row r="192" spans="1:19" ht="17.25" thickBot="1">
      <c r="A192" s="124" t="s">
        <v>242</v>
      </c>
      <c r="B192" s="125">
        <v>8720</v>
      </c>
      <c r="C192" s="73">
        <v>6.9284065000000004E-3</v>
      </c>
      <c r="D192" s="125">
        <v>8640</v>
      </c>
      <c r="E192" s="73">
        <f t="shared" si="102"/>
        <v>-9.1743119266055051E-3</v>
      </c>
      <c r="F192" s="136">
        <f>IF(ISNUMBER(D192), $B199 * E192, "")</f>
        <v>-1376.1467889908258</v>
      </c>
      <c r="G192" s="39">
        <v>8780</v>
      </c>
      <c r="H192" s="73">
        <f t="shared" si="103"/>
        <v>6.8807339449541288E-3</v>
      </c>
      <c r="I192" s="202">
        <f>IF(ISNUMBER(G192), $B199 * H192, "")</f>
        <v>1032.1100917431193</v>
      </c>
      <c r="J192" s="125">
        <v>8925</v>
      </c>
      <c r="K192" s="73">
        <f t="shared" si="104"/>
        <v>2.3509174311926607E-2</v>
      </c>
      <c r="L192" s="136">
        <f>IF(ISNUMBER(J192), $B199 * K192, "")</f>
        <v>3526.3761467889908</v>
      </c>
      <c r="M192" s="39">
        <v>9115</v>
      </c>
      <c r="N192" s="73">
        <f t="shared" si="105"/>
        <v>4.5298165137614678E-2</v>
      </c>
      <c r="O192" s="136">
        <f>IF(ISNUMBER(M192), $B199 * N192, "")</f>
        <v>6794.7247706422013</v>
      </c>
      <c r="Q192" s="262"/>
      <c r="R192" s="262"/>
      <c r="S192" s="262"/>
    </row>
    <row r="193" spans="1:19" ht="17.25" thickBot="1">
      <c r="A193" s="126" t="s">
        <v>276</v>
      </c>
      <c r="B193" s="127">
        <v>4320</v>
      </c>
      <c r="C193" s="74">
        <v>4.6511627999999998E-3</v>
      </c>
      <c r="D193" s="127">
        <v>4270</v>
      </c>
      <c r="E193" s="74">
        <f t="shared" si="102"/>
        <v>-1.1574074074074073E-2</v>
      </c>
      <c r="F193" s="203">
        <f>IF(ISNUMBER(D193), $B199 * E193, "")</f>
        <v>-1736.1111111111111</v>
      </c>
      <c r="G193" s="44">
        <v>4330</v>
      </c>
      <c r="H193" s="74">
        <f t="shared" si="103"/>
        <v>2.3148148148148147E-3</v>
      </c>
      <c r="I193" s="204">
        <f>IF(ISNUMBER(G193), $B199 * H193, "")</f>
        <v>347.22222222222223</v>
      </c>
      <c r="J193" s="127">
        <v>4370</v>
      </c>
      <c r="K193" s="74">
        <f t="shared" si="104"/>
        <v>1.1574074074074073E-2</v>
      </c>
      <c r="L193" s="203">
        <f>IF(ISNUMBER(J193), $B199 * K193, "")</f>
        <v>1736.1111111111111</v>
      </c>
      <c r="M193" s="44">
        <v>4365</v>
      </c>
      <c r="N193" s="74">
        <f t="shared" si="105"/>
        <v>1.0416666666666666E-2</v>
      </c>
      <c r="O193" s="203">
        <f>IF(ISNUMBER(M193), $B199 * N193, "")</f>
        <v>1562.5</v>
      </c>
      <c r="Q193" s="262"/>
      <c r="R193" s="262"/>
      <c r="S193" s="262"/>
    </row>
    <row r="194" spans="1:19" ht="17.25" thickBot="1">
      <c r="A194" s="124" t="s">
        <v>86</v>
      </c>
      <c r="B194" s="128">
        <v>13250</v>
      </c>
      <c r="C194" s="76">
        <v>7.5528699999999999E-4</v>
      </c>
      <c r="D194" s="128">
        <v>13610</v>
      </c>
      <c r="E194" s="76">
        <f>IF(ISNUMBER(D194), (D194 - $B194) / $B194, "")</f>
        <v>2.7169811320754716E-2</v>
      </c>
      <c r="F194" s="205">
        <f>IF(ISNUMBER(D194), $B199 * E194, "")</f>
        <v>4075.4716981132074</v>
      </c>
      <c r="G194" s="45">
        <v>13580</v>
      </c>
      <c r="H194" s="76">
        <f>IF(ISNUMBER(G194), (G194 - $B194) / $B194, "")</f>
        <v>2.4905660377358491E-2</v>
      </c>
      <c r="I194" s="206">
        <f>IF(ISNUMBER(G194), $B199 * H194, "")</f>
        <v>3735.8490566037735</v>
      </c>
      <c r="J194" s="128">
        <v>13780</v>
      </c>
      <c r="K194" s="76">
        <f>IF(ISNUMBER(J194), (J194 - $B194) / $B194, "")</f>
        <v>0.04</v>
      </c>
      <c r="L194" s="205">
        <f>IF(ISNUMBER(J194), $B199 * K194, "")</f>
        <v>6000</v>
      </c>
      <c r="M194" s="45">
        <v>13770</v>
      </c>
      <c r="N194" s="76">
        <f>IF(ISNUMBER(M194), (M194 - $B194) / $B194, "")</f>
        <v>3.9245283018867927E-2</v>
      </c>
      <c r="O194" s="205">
        <f>IF(ISNUMBER(M194), $B199 * N194, "")</f>
        <v>5886.7924528301892</v>
      </c>
      <c r="Q194" s="267"/>
      <c r="R194" s="267"/>
      <c r="S194" s="267"/>
    </row>
    <row r="195" spans="1:19" ht="17.25" thickBot="1">
      <c r="A195" s="124" t="s">
        <v>236</v>
      </c>
      <c r="B195" s="125">
        <v>72.2</v>
      </c>
      <c r="C195" s="73">
        <v>-2.82637954E-2</v>
      </c>
      <c r="D195" s="125">
        <v>69</v>
      </c>
      <c r="E195" s="73">
        <f t="shared" ref="E195:E198" si="106">IF(ISNUMBER(D195), (D195 - $B195) / $B195, "")</f>
        <v>-4.4321329639889231E-2</v>
      </c>
      <c r="F195" s="136">
        <f>IF(ISNUMBER(D195), $B199 * E195, "")</f>
        <v>-6648.199445983385</v>
      </c>
      <c r="G195" s="39">
        <v>68.900000000000006</v>
      </c>
      <c r="H195" s="73">
        <f t="shared" ref="H195:H198" si="107">IF(ISNUMBER(G195), (G195 - $B195) / $B195, "")</f>
        <v>-4.5706371191135693E-2</v>
      </c>
      <c r="I195" s="202">
        <f>IF(ISNUMBER(G195), $B199 * H195, "")</f>
        <v>-6855.9556786703542</v>
      </c>
      <c r="J195" s="125">
        <v>69.099999999999994</v>
      </c>
      <c r="K195" s="73">
        <f t="shared" ref="K195:K198" si="108">IF(ISNUMBER(J195), (J195 - $B195) / $B195, "")</f>
        <v>-4.2936288088642777E-2</v>
      </c>
      <c r="L195" s="136">
        <f>IF(ISNUMBER(J195), $B199 * K195, "")</f>
        <v>-6440.4432132964166</v>
      </c>
      <c r="M195" s="39">
        <v>69.099999999999994</v>
      </c>
      <c r="N195" s="73">
        <f t="shared" ref="N195:N198" si="109">IF(ISNUMBER(M195), (M195 - $B195) / $B195, "")</f>
        <v>-4.2936288088642777E-2</v>
      </c>
      <c r="O195" s="136">
        <f>IF(ISNUMBER(M195), $B199 * N195, "")</f>
        <v>-6440.4432132964166</v>
      </c>
      <c r="Q195" s="267"/>
      <c r="R195" s="267"/>
      <c r="S195" s="267"/>
    </row>
    <row r="196" spans="1:19" ht="17.25" thickBot="1">
      <c r="A196" s="124" t="s">
        <v>208</v>
      </c>
      <c r="B196" s="125">
        <v>448</v>
      </c>
      <c r="C196" s="73">
        <v>-6.2761506300000006E-2</v>
      </c>
      <c r="D196" s="125">
        <v>445</v>
      </c>
      <c r="E196" s="73">
        <f t="shared" si="106"/>
        <v>-6.6964285714285711E-3</v>
      </c>
      <c r="F196" s="136">
        <f>IF(ISNUMBER(D196), $B199 * E196, "")</f>
        <v>-1004.4642857142857</v>
      </c>
      <c r="G196" s="39">
        <v>446</v>
      </c>
      <c r="H196" s="73">
        <f t="shared" si="107"/>
        <v>-4.464285714285714E-3</v>
      </c>
      <c r="I196" s="202">
        <f>IF(ISNUMBER(G196), $B199 * H196, "")</f>
        <v>-669.64285714285711</v>
      </c>
      <c r="J196" s="125">
        <v>449</v>
      </c>
      <c r="K196" s="73">
        <f t="shared" si="108"/>
        <v>2.232142857142857E-3</v>
      </c>
      <c r="L196" s="136">
        <f>IF(ISNUMBER(J196), $B199 * K196, "")</f>
        <v>334.82142857142856</v>
      </c>
      <c r="M196" s="39">
        <v>450</v>
      </c>
      <c r="N196" s="73">
        <f t="shared" si="109"/>
        <v>4.464285714285714E-3</v>
      </c>
      <c r="O196" s="136">
        <f>IF(ISNUMBER(M196), $B199 * N196, "")</f>
        <v>669.64285714285711</v>
      </c>
      <c r="Q196" s="267"/>
      <c r="R196" s="267"/>
      <c r="S196" s="267"/>
    </row>
    <row r="197" spans="1:19">
      <c r="A197" s="124" t="s">
        <v>172</v>
      </c>
      <c r="B197" s="125">
        <v>23.8</v>
      </c>
      <c r="C197" s="73">
        <v>-8.4615384599999996E-2</v>
      </c>
      <c r="D197" s="125">
        <v>23</v>
      </c>
      <c r="E197" s="73">
        <f t="shared" si="106"/>
        <v>-3.3613445378151287E-2</v>
      </c>
      <c r="F197" s="136">
        <f>IF(ISNUMBER(D197), $B199 * E197, "")</f>
        <v>-5042.0168067226932</v>
      </c>
      <c r="G197" s="39">
        <v>23.1</v>
      </c>
      <c r="H197" s="73">
        <f t="shared" si="107"/>
        <v>-2.9411764705882321E-2</v>
      </c>
      <c r="I197" s="202">
        <f>IF(ISNUMBER(G197), $B199 * H197, "")</f>
        <v>-4411.7647058823486</v>
      </c>
      <c r="J197" s="125">
        <v>23.1</v>
      </c>
      <c r="K197" s="73">
        <f t="shared" si="108"/>
        <v>-2.9411764705882321E-2</v>
      </c>
      <c r="L197" s="136">
        <f>IF(ISNUMBER(J197), $B199 * K197, "")</f>
        <v>-4411.7647058823486</v>
      </c>
      <c r="M197" s="39">
        <v>23</v>
      </c>
      <c r="N197" s="73">
        <f t="shared" si="109"/>
        <v>-3.3613445378151287E-2</v>
      </c>
      <c r="O197" s="136">
        <f>IF(ISNUMBER(M197), $B199 * N197, "")</f>
        <v>-5042.0168067226932</v>
      </c>
      <c r="Q197" s="289"/>
      <c r="R197" s="290"/>
      <c r="S197" s="291"/>
    </row>
    <row r="198" spans="1:19" ht="17.25" thickBot="1">
      <c r="A198" s="129" t="s">
        <v>182</v>
      </c>
      <c r="B198" s="130">
        <v>553</v>
      </c>
      <c r="C198" s="75">
        <v>-0.1439628483</v>
      </c>
      <c r="D198" s="130">
        <v>521</v>
      </c>
      <c r="E198" s="75">
        <f t="shared" si="106"/>
        <v>-5.7866184448462928E-2</v>
      </c>
      <c r="F198" s="137">
        <f>IF(ISNUMBER(D198), $B199 * E198, "")</f>
        <v>-8679.9276672694396</v>
      </c>
      <c r="G198" s="37">
        <v>522</v>
      </c>
      <c r="H198" s="75">
        <f t="shared" si="107"/>
        <v>-5.6057866184448461E-2</v>
      </c>
      <c r="I198" s="207">
        <f>IF(ISNUMBER(G198), $B199 * H198, "")</f>
        <v>-8408.67992766727</v>
      </c>
      <c r="J198" s="130">
        <v>523</v>
      </c>
      <c r="K198" s="75">
        <f t="shared" si="108"/>
        <v>-5.4249547920433995E-2</v>
      </c>
      <c r="L198" s="137">
        <f>IF(ISNUMBER(J198), $B199 * K198, "")</f>
        <v>-8137.4321880650996</v>
      </c>
      <c r="M198" s="37">
        <v>523</v>
      </c>
      <c r="N198" s="75">
        <f t="shared" si="109"/>
        <v>-5.4249547920433995E-2</v>
      </c>
      <c r="O198" s="137">
        <f>IF(ISNUMBER(M198), $B199 * N198, "")</f>
        <v>-8137.4321880650996</v>
      </c>
      <c r="Q198" s="292"/>
      <c r="R198" s="293"/>
      <c r="S198" s="294"/>
    </row>
    <row r="199" spans="1:19" ht="17.25" thickBot="1">
      <c r="A199" s="131" t="s">
        <v>301</v>
      </c>
      <c r="B199" s="300">
        <f>$B$37</f>
        <v>150000</v>
      </c>
      <c r="C199" s="301"/>
      <c r="D199" s="131" t="s">
        <v>302</v>
      </c>
      <c r="E199" s="228">
        <f>IF(COUNT(E179:E198), SUM(E179:E198) / COUNT(E179:E198), 0)</f>
        <v>4.9488117320544529E-4</v>
      </c>
      <c r="F199" s="208">
        <f>SUM(F179:F198)</f>
        <v>1484.6435196163311</v>
      </c>
      <c r="G199" s="131" t="s">
        <v>302</v>
      </c>
      <c r="H199" s="228">
        <f>IF(COUNT(H179:H198), SUM(H179:H198) / COUNT(H179:H198), 0)</f>
        <v>1.1345584514917026E-2</v>
      </c>
      <c r="I199" s="208">
        <f>SUM(I179:I198)</f>
        <v>34036.75354475106</v>
      </c>
      <c r="J199" s="131" t="s">
        <v>302</v>
      </c>
      <c r="K199" s="228">
        <f>IF(COUNT(K179:K198), SUM(K179:K198) / COUNT(K179:K198), 0)</f>
        <v>1.7062906916251362E-2</v>
      </c>
      <c r="L199" s="208">
        <f>SUM(L179:L198)</f>
        <v>51188.720748754095</v>
      </c>
      <c r="M199" s="131" t="s">
        <v>302</v>
      </c>
      <c r="N199" s="228">
        <f>IF(COUNT(N179:N198), SUM(N179:N198) / COUNT(N179:N198), 0)</f>
        <v>1.8643315713333362E-2</v>
      </c>
      <c r="O199" s="208">
        <f>SUM(O179:O198)</f>
        <v>55929.947140000091</v>
      </c>
      <c r="Q199" s="295"/>
      <c r="R199" s="296"/>
      <c r="S199" s="2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7" priority="157">
      <formula>AND($N17 &gt; 0, ISNUMBER($N17))</formula>
    </cfRule>
    <cfRule type="expression" dxfId="356" priority="158">
      <formula>AND($N17 = 0 * ISNUMBER($N17))</formula>
    </cfRule>
    <cfRule type="expression" dxfId="355" priority="159">
      <formula>AND($N17 &lt; 0, ISNUMBER($N17))</formula>
    </cfRule>
  </conditionalFormatting>
  <conditionalFormatting sqref="A17:F36">
    <cfRule type="expression" dxfId="354" priority="166">
      <formula>AND($E17 &gt; 0, ISNUMBER($E17))</formula>
    </cfRule>
    <cfRule type="expression" dxfId="353" priority="167">
      <formula>AND($E17 = 0 * ISNUMBER($E17))</formula>
    </cfRule>
    <cfRule type="expression" dxfId="352" priority="168">
      <formula>AND($E17 &lt; 0, ISNUMBER($E17))</formula>
    </cfRule>
  </conditionalFormatting>
  <conditionalFormatting sqref="A17:C36 G17:I36">
    <cfRule type="expression" dxfId="351" priority="163">
      <formula>AND($H17 &gt; 0, ISNUMBER($H17))</formula>
    </cfRule>
    <cfRule type="expression" dxfId="350" priority="164">
      <formula>AND($H17 = 0 * ISNUMBER($H17))</formula>
    </cfRule>
    <cfRule type="expression" dxfId="349" priority="165">
      <formula>AND($H17 &lt; 0, ISNUMBER($H17))</formula>
    </cfRule>
  </conditionalFormatting>
  <conditionalFormatting sqref="A17:C36 J17:L36">
    <cfRule type="expression" dxfId="348" priority="160">
      <formula>AND($K17 &gt; 0, ISNUMBER($K17))</formula>
    </cfRule>
    <cfRule type="expression" dxfId="347" priority="161">
      <formula>AND($K17 = 0 * ISNUMBER($K17))</formula>
    </cfRule>
    <cfRule type="expression" dxfId="346" priority="162">
      <formula>AND($K17 &lt; 0, ISNUMBER($K17))</formula>
    </cfRule>
  </conditionalFormatting>
  <conditionalFormatting sqref="D15:F16 E37:F37">
    <cfRule type="expression" dxfId="345" priority="154">
      <formula>$E$37 &gt; 0</formula>
    </cfRule>
    <cfRule type="expression" dxfId="344" priority="155">
      <formula>$E$37 = 0</formula>
    </cfRule>
    <cfRule type="expression" dxfId="343" priority="156">
      <formula>$E$37 &lt; 0</formula>
    </cfRule>
  </conditionalFormatting>
  <conditionalFormatting sqref="G15:I16 H37:I37">
    <cfRule type="expression" dxfId="342" priority="151">
      <formula>$H$37 &gt; 0</formula>
    </cfRule>
    <cfRule type="expression" dxfId="341" priority="152">
      <formula>$H$37 = 0</formula>
    </cfRule>
    <cfRule type="expression" dxfId="340" priority="153">
      <formula>$H$37 &lt; 0</formula>
    </cfRule>
  </conditionalFormatting>
  <conditionalFormatting sqref="J15:L16 K37:L37">
    <cfRule type="expression" dxfId="339" priority="148">
      <formula>$K$37 &gt; 0</formula>
    </cfRule>
    <cfRule type="expression" dxfId="338" priority="149">
      <formula>$K$37 = 0</formula>
    </cfRule>
    <cfRule type="expression" dxfId="337" priority="150">
      <formula>$K$37 &lt; 0</formula>
    </cfRule>
  </conditionalFormatting>
  <conditionalFormatting sqref="M15:O16 N37:O37">
    <cfRule type="expression" dxfId="336" priority="145">
      <formula>$N$37 &gt; 0</formula>
    </cfRule>
    <cfRule type="expression" dxfId="335" priority="146">
      <formula>$N$37 = 0</formula>
    </cfRule>
    <cfRule type="expression" dxfId="334" priority="147">
      <formula>$N$37 &lt; 0</formula>
    </cfRule>
  </conditionalFormatting>
  <conditionalFormatting sqref="A44:C63 M44:O63">
    <cfRule type="expression" dxfId="333" priority="133">
      <formula>AND($N44 &gt; 0, ISNUMBER($N44))</formula>
    </cfRule>
    <cfRule type="expression" dxfId="332" priority="134">
      <formula>AND($N44 = 0 * ISNUMBER($N44))</formula>
    </cfRule>
    <cfRule type="expression" dxfId="331" priority="135">
      <formula>AND($N44 &lt; 0, ISNUMBER($N44))</formula>
    </cfRule>
  </conditionalFormatting>
  <conditionalFormatting sqref="A44:F63">
    <cfRule type="expression" dxfId="330" priority="142">
      <formula>AND($E44 &gt; 0, ISNUMBER($E44))</formula>
    </cfRule>
    <cfRule type="expression" dxfId="329" priority="143">
      <formula>AND($E44 = 0 * ISNUMBER($E44))</formula>
    </cfRule>
    <cfRule type="expression" dxfId="328" priority="144">
      <formula>AND($E44 &lt; 0, ISNUMBER($E44))</formula>
    </cfRule>
  </conditionalFormatting>
  <conditionalFormatting sqref="A44:C63 G44:I63">
    <cfRule type="expression" dxfId="327" priority="139">
      <formula>AND($H44 &gt; 0, ISNUMBER($H44))</formula>
    </cfRule>
    <cfRule type="expression" dxfId="326" priority="140">
      <formula>AND($H44 = 0 * ISNUMBER($H44))</formula>
    </cfRule>
    <cfRule type="expression" dxfId="325" priority="141">
      <formula>AND($H44 &lt; 0, ISNUMBER($H44))</formula>
    </cfRule>
  </conditionalFormatting>
  <conditionalFormatting sqref="A44:C63 J44:L63">
    <cfRule type="expression" dxfId="324" priority="136">
      <formula>AND($K44 &gt; 0, ISNUMBER($K44))</formula>
    </cfRule>
    <cfRule type="expression" dxfId="323" priority="137">
      <formula>AND($K44 = 0 * ISNUMBER($K44))</formula>
    </cfRule>
    <cfRule type="expression" dxfId="322" priority="138">
      <formula>AND($K44 &lt; 0, ISNUMBER($K44))</formula>
    </cfRule>
  </conditionalFormatting>
  <conditionalFormatting sqref="D42:F43 E64:F64">
    <cfRule type="expression" dxfId="321" priority="130">
      <formula>$E$64 &gt; 0</formula>
    </cfRule>
    <cfRule type="expression" dxfId="320" priority="131">
      <formula>$E$64 = 0</formula>
    </cfRule>
    <cfRule type="expression" dxfId="319" priority="132">
      <formula>$E$64 &lt; 0</formula>
    </cfRule>
  </conditionalFormatting>
  <conditionalFormatting sqref="G42:I43 H64:I64">
    <cfRule type="expression" dxfId="318" priority="127">
      <formula>$H$64 &gt; 0</formula>
    </cfRule>
    <cfRule type="expression" dxfId="317" priority="128">
      <formula>$H$64 = 0</formula>
    </cfRule>
    <cfRule type="expression" dxfId="316" priority="129">
      <formula>$H$64 &lt; 0</formula>
    </cfRule>
  </conditionalFormatting>
  <conditionalFormatting sqref="J42:L43 K64:L64">
    <cfRule type="expression" dxfId="315" priority="124">
      <formula>$K$64 &gt; 0</formula>
    </cfRule>
    <cfRule type="expression" dxfId="314" priority="125">
      <formula>$K$64 = 0</formula>
    </cfRule>
    <cfRule type="expression" dxfId="313" priority="126">
      <formula>$K$64 &lt; 0</formula>
    </cfRule>
  </conditionalFormatting>
  <conditionalFormatting sqref="M42:O43 N64:O64">
    <cfRule type="expression" dxfId="312" priority="121">
      <formula>$N$64 &gt; 0</formula>
    </cfRule>
    <cfRule type="expression" dxfId="311" priority="122">
      <formula>$N$64 = 0</formula>
    </cfRule>
    <cfRule type="expression" dxfId="310" priority="123">
      <formula>$N$64 &lt; 0</formula>
    </cfRule>
  </conditionalFormatting>
  <conditionalFormatting sqref="A71:C90 M71:O90">
    <cfRule type="expression" dxfId="309" priority="109">
      <formula>AND($N71 &gt; 0, ISNUMBER($N71))</formula>
    </cfRule>
    <cfRule type="expression" dxfId="308" priority="110">
      <formula>AND($N71 = 0 * ISNUMBER($N71))</formula>
    </cfRule>
    <cfRule type="expression" dxfId="307" priority="111">
      <formula>AND($N71 &lt; 0, ISNUMBER($N71))</formula>
    </cfRule>
  </conditionalFormatting>
  <conditionalFormatting sqref="A71:F90">
    <cfRule type="expression" dxfId="306" priority="118">
      <formula>AND($E71 &gt; 0, ISNUMBER($E71))</formula>
    </cfRule>
    <cfRule type="expression" dxfId="305" priority="119">
      <formula>AND($E71 = 0 * ISNUMBER($E71))</formula>
    </cfRule>
    <cfRule type="expression" dxfId="304" priority="120">
      <formula>AND($E71 &lt; 0, ISNUMBER($E71))</formula>
    </cfRule>
  </conditionalFormatting>
  <conditionalFormatting sqref="A71:C90 G71:I90">
    <cfRule type="expression" dxfId="303" priority="115">
      <formula>AND($H71 &gt; 0, ISNUMBER($H71))</formula>
    </cfRule>
    <cfRule type="expression" dxfId="302" priority="116">
      <formula>AND($H71 = 0 * ISNUMBER($H71))</formula>
    </cfRule>
    <cfRule type="expression" dxfId="301" priority="117">
      <formula>AND($H71 &lt; 0, ISNUMBER($H71))</formula>
    </cfRule>
  </conditionalFormatting>
  <conditionalFormatting sqref="A71:C90 J71:L90">
    <cfRule type="expression" dxfId="300" priority="112">
      <formula>AND($K71 &gt; 0, ISNUMBER($K71))</formula>
    </cfRule>
    <cfRule type="expression" dxfId="299" priority="113">
      <formula>AND($K71 = 0 * ISNUMBER($K71))</formula>
    </cfRule>
    <cfRule type="expression" dxfId="298" priority="114">
      <formula>AND($K71 &lt; 0, ISNUMBER($K71))</formula>
    </cfRule>
  </conditionalFormatting>
  <conditionalFormatting sqref="D69:F70 E91:F91">
    <cfRule type="expression" dxfId="297" priority="106">
      <formula>$E$91 &gt; 0</formula>
    </cfRule>
    <cfRule type="expression" dxfId="296" priority="107">
      <formula>$E$91 = 0</formula>
    </cfRule>
    <cfRule type="expression" dxfId="295" priority="108">
      <formula>$E$91 &lt; 0</formula>
    </cfRule>
  </conditionalFormatting>
  <conditionalFormatting sqref="G69:I70 H91:I91">
    <cfRule type="expression" dxfId="294" priority="103">
      <formula>$H$91 &gt; 0</formula>
    </cfRule>
    <cfRule type="expression" dxfId="293" priority="104">
      <formula>$H$91 = 0</formula>
    </cfRule>
    <cfRule type="expression" dxfId="292" priority="105">
      <formula>$H$91 &lt; 0</formula>
    </cfRule>
  </conditionalFormatting>
  <conditionalFormatting sqref="J69:L70 K91:L91">
    <cfRule type="expression" dxfId="291" priority="100">
      <formula>$K$91 &gt; 0</formula>
    </cfRule>
    <cfRule type="expression" dxfId="290" priority="101">
      <formula>$K$91 = 0</formula>
    </cfRule>
    <cfRule type="expression" dxfId="289" priority="102">
      <formula>$K$91 &lt; 0</formula>
    </cfRule>
  </conditionalFormatting>
  <conditionalFormatting sqref="M69:O70 N91:O91">
    <cfRule type="expression" dxfId="288" priority="97">
      <formula>$N$91 &gt; 0</formula>
    </cfRule>
    <cfRule type="expression" dxfId="287" priority="98">
      <formula>$N$91 = 0</formula>
    </cfRule>
    <cfRule type="expression" dxfId="286" priority="99">
      <formula>$N$91 &lt; 0</formula>
    </cfRule>
  </conditionalFormatting>
  <conditionalFormatting sqref="A98:C117 M98:O117">
    <cfRule type="expression" dxfId="285" priority="85">
      <formula>AND($N98 &gt; 0, ISNUMBER($N98))</formula>
    </cfRule>
    <cfRule type="expression" dxfId="284" priority="86">
      <formula>AND($N98 = 0 * ISNUMBER($N98))</formula>
    </cfRule>
    <cfRule type="expression" dxfId="283" priority="87">
      <formula>AND($N98 &lt; 0, ISNUMBER($N98))</formula>
    </cfRule>
  </conditionalFormatting>
  <conditionalFormatting sqref="A98:F117">
    <cfRule type="expression" dxfId="282" priority="94">
      <formula>AND($E98 &gt; 0, ISNUMBER($E98))</formula>
    </cfRule>
    <cfRule type="expression" dxfId="281" priority="95">
      <formula>AND($E98 = 0 * ISNUMBER($E98))</formula>
    </cfRule>
    <cfRule type="expression" dxfId="280" priority="96">
      <formula>AND($E98 &lt; 0, ISNUMBER($E98))</formula>
    </cfRule>
  </conditionalFormatting>
  <conditionalFormatting sqref="A98:C117 G98:I117">
    <cfRule type="expression" dxfId="279" priority="91">
      <formula>AND($H98 &gt; 0, ISNUMBER($H98))</formula>
    </cfRule>
    <cfRule type="expression" dxfId="278" priority="92">
      <formula>AND($H98 = 0 * ISNUMBER($H98))</formula>
    </cfRule>
    <cfRule type="expression" dxfId="277" priority="93">
      <formula>AND($H98 &lt; 0, ISNUMBER($H98))</formula>
    </cfRule>
  </conditionalFormatting>
  <conditionalFormatting sqref="A98:C117 J98:L117">
    <cfRule type="expression" dxfId="276" priority="88">
      <formula>AND($K98 &gt; 0, ISNUMBER($K98))</formula>
    </cfRule>
    <cfRule type="expression" dxfId="275" priority="89">
      <formula>AND($K98 = 0 * ISNUMBER($K98))</formula>
    </cfRule>
    <cfRule type="expression" dxfId="274" priority="90">
      <formula>AND($K98 &lt; 0, ISNUMBER($K98))</formula>
    </cfRule>
  </conditionalFormatting>
  <conditionalFormatting sqref="D96:F97 E118:F118">
    <cfRule type="expression" dxfId="273" priority="82">
      <formula>$E$118 &gt; 0</formula>
    </cfRule>
    <cfRule type="expression" dxfId="272" priority="83">
      <formula>$E$118 = 0</formula>
    </cfRule>
    <cfRule type="expression" dxfId="271" priority="84">
      <formula>$E$118 &lt; 0</formula>
    </cfRule>
  </conditionalFormatting>
  <conditionalFormatting sqref="G96:I97 H118:I118">
    <cfRule type="expression" dxfId="270" priority="79">
      <formula>$H$118 &gt; 0</formula>
    </cfRule>
    <cfRule type="expression" dxfId="269" priority="80">
      <formula>$H$118 = 0</formula>
    </cfRule>
    <cfRule type="expression" dxfId="268" priority="81">
      <formula>$H$118 &lt; 0</formula>
    </cfRule>
  </conditionalFormatting>
  <conditionalFormatting sqref="J96:L97 K118:L118">
    <cfRule type="expression" dxfId="267" priority="76">
      <formula>$K$118 &gt; 0</formula>
    </cfRule>
    <cfRule type="expression" dxfId="266" priority="77">
      <formula>$K$118 = 0</formula>
    </cfRule>
    <cfRule type="expression" dxfId="265" priority="78">
      <formula>$K$118 &lt; 0</formula>
    </cfRule>
  </conditionalFormatting>
  <conditionalFormatting sqref="M96:O97 N118:O118">
    <cfRule type="expression" dxfId="264" priority="73">
      <formula>$N$118 &gt; 0</formula>
    </cfRule>
    <cfRule type="expression" dxfId="263" priority="74">
      <formula>$N$118 = 0</formula>
    </cfRule>
    <cfRule type="expression" dxfId="262" priority="75">
      <formula>$N$118 &lt; 0</formula>
    </cfRule>
  </conditionalFormatting>
  <conditionalFormatting sqref="A125:C144 M125:O144">
    <cfRule type="expression" dxfId="261" priority="61">
      <formula>AND($N125 &gt; 0, ISNUMBER($N125))</formula>
    </cfRule>
    <cfRule type="expression" dxfId="260" priority="62">
      <formula>AND($N125 = 0 * ISNUMBER($N125))</formula>
    </cfRule>
    <cfRule type="expression" dxfId="259" priority="63">
      <formula>AND($N125 &lt; 0, ISNUMBER($N125))</formula>
    </cfRule>
  </conditionalFormatting>
  <conditionalFormatting sqref="A125:F144">
    <cfRule type="expression" dxfId="258" priority="70">
      <formula>AND($E125 &gt; 0, ISNUMBER($E125))</formula>
    </cfRule>
    <cfRule type="expression" dxfId="257" priority="71">
      <formula>AND($E125 = 0 * ISNUMBER($E125))</formula>
    </cfRule>
    <cfRule type="expression" dxfId="256" priority="72">
      <formula>AND($E125 &lt; 0, ISNUMBER($E125))</formula>
    </cfRule>
  </conditionalFormatting>
  <conditionalFormatting sqref="A125:C144 G125:I144">
    <cfRule type="expression" dxfId="255" priority="67">
      <formula>AND($H125 &gt; 0, ISNUMBER($H125))</formula>
    </cfRule>
    <cfRule type="expression" dxfId="254" priority="68">
      <formula>AND($H125 = 0 * ISNUMBER($H125))</formula>
    </cfRule>
    <cfRule type="expression" dxfId="253" priority="69">
      <formula>AND($H125 &lt; 0, ISNUMBER($H125))</formula>
    </cfRule>
  </conditionalFormatting>
  <conditionalFormatting sqref="A125:C144 J125:L144">
    <cfRule type="expression" dxfId="252" priority="64">
      <formula>AND($K125 &gt; 0, ISNUMBER($K125))</formula>
    </cfRule>
    <cfRule type="expression" dxfId="251" priority="65">
      <formula>AND($K125 = 0 * ISNUMBER($K125))</formula>
    </cfRule>
    <cfRule type="expression" dxfId="250" priority="66">
      <formula>AND($K125 &lt; 0, ISNUMBER($K125))</formula>
    </cfRule>
  </conditionalFormatting>
  <conditionalFormatting sqref="D123:F124 E145:F145">
    <cfRule type="expression" dxfId="249" priority="58">
      <formula>$E$145 &gt; 0</formula>
    </cfRule>
    <cfRule type="expression" dxfId="248" priority="59">
      <formula>$E$145 = 0</formula>
    </cfRule>
    <cfRule type="expression" dxfId="247" priority="60">
      <formula>$E$145 &lt; 0</formula>
    </cfRule>
  </conditionalFormatting>
  <conditionalFormatting sqref="G123:I124 H145:I145">
    <cfRule type="expression" dxfId="246" priority="55">
      <formula>$H$145 &gt; 0</formula>
    </cfRule>
    <cfRule type="expression" dxfId="245" priority="56">
      <formula>$H$145 = 0</formula>
    </cfRule>
    <cfRule type="expression" dxfId="244" priority="57">
      <formula>$H$145 &lt; 0</formula>
    </cfRule>
  </conditionalFormatting>
  <conditionalFormatting sqref="J123:L124 K145:L145">
    <cfRule type="expression" dxfId="243" priority="52">
      <formula>$K$145 &gt; 0</formula>
    </cfRule>
    <cfRule type="expression" dxfId="242" priority="53">
      <formula>$K$145 = 0</formula>
    </cfRule>
    <cfRule type="expression" dxfId="241" priority="54">
      <formula>$K$145 &lt; 0</formula>
    </cfRule>
  </conditionalFormatting>
  <conditionalFormatting sqref="M123:O124 N145:O145">
    <cfRule type="expression" dxfId="240" priority="49">
      <formula>$N$145 &gt; 0</formula>
    </cfRule>
    <cfRule type="expression" dxfId="239" priority="50">
      <formula>$N$145 = 0</formula>
    </cfRule>
    <cfRule type="expression" dxfId="238" priority="51">
      <formula>$N$145 &lt; 0</formula>
    </cfRule>
  </conditionalFormatting>
  <conditionalFormatting sqref="A152:C171 M152:O171">
    <cfRule type="expression" dxfId="237" priority="37">
      <formula>AND($N152 &gt; 0, ISNUMBER($N152))</formula>
    </cfRule>
    <cfRule type="expression" dxfId="236" priority="38">
      <formula>AND($N152 = 0 * ISNUMBER($N152))</formula>
    </cfRule>
    <cfRule type="expression" dxfId="235" priority="39">
      <formula>AND($N152 &lt; 0, ISNUMBER($N152))</formula>
    </cfRule>
  </conditionalFormatting>
  <conditionalFormatting sqref="A152:F171">
    <cfRule type="expression" dxfId="234" priority="46">
      <formula>AND($E152 &gt; 0, ISNUMBER($E152))</formula>
    </cfRule>
    <cfRule type="expression" dxfId="233" priority="47">
      <formula>AND($E152 = 0 * ISNUMBER($E152))</formula>
    </cfRule>
    <cfRule type="expression" dxfId="232" priority="48">
      <formula>AND($E152 &lt; 0, ISNUMBER($E152))</formula>
    </cfRule>
  </conditionalFormatting>
  <conditionalFormatting sqref="A152:C171 G152:I171">
    <cfRule type="expression" dxfId="231" priority="43">
      <formula>AND($H152 &gt; 0, ISNUMBER($H152))</formula>
    </cfRule>
    <cfRule type="expression" dxfId="230" priority="44">
      <formula>AND($H152 = 0 * ISNUMBER($H152))</formula>
    </cfRule>
    <cfRule type="expression" dxfId="229" priority="45">
      <formula>AND($H152 &lt; 0, ISNUMBER($H152))</formula>
    </cfRule>
  </conditionalFormatting>
  <conditionalFormatting sqref="A152:C171 J152:L171">
    <cfRule type="expression" dxfId="228" priority="40">
      <formula>AND($K152 &gt; 0, ISNUMBER($K152))</formula>
    </cfRule>
    <cfRule type="expression" dxfId="227" priority="41">
      <formula>AND($K152 = 0 * ISNUMBER($K152))</formula>
    </cfRule>
    <cfRule type="expression" dxfId="226" priority="42">
      <formula>AND($K152 &lt; 0, ISNUMBER($K152))</formula>
    </cfRule>
  </conditionalFormatting>
  <conditionalFormatting sqref="D150:F151 E172:F172">
    <cfRule type="expression" dxfId="225" priority="34">
      <formula>$E$172 &gt; 0</formula>
    </cfRule>
    <cfRule type="expression" dxfId="224" priority="35">
      <formula>$E$172 = 0</formula>
    </cfRule>
    <cfRule type="expression" dxfId="223" priority="36">
      <formula>$E$172 &lt; 0</formula>
    </cfRule>
  </conditionalFormatting>
  <conditionalFormatting sqref="G150:I151 H172:I172">
    <cfRule type="expression" dxfId="222" priority="31">
      <formula>$H$172 &gt; 0</formula>
    </cfRule>
    <cfRule type="expression" dxfId="221" priority="32">
      <formula>$H$172 = 0</formula>
    </cfRule>
    <cfRule type="expression" dxfId="220" priority="33">
      <formula>$H$172 &lt; 0</formula>
    </cfRule>
  </conditionalFormatting>
  <conditionalFormatting sqref="J150:L151 K172:L172">
    <cfRule type="expression" dxfId="219" priority="28">
      <formula>$K$172 &gt; 0</formula>
    </cfRule>
    <cfRule type="expression" dxfId="218" priority="29">
      <formula>$K$172 = 0</formula>
    </cfRule>
    <cfRule type="expression" dxfId="217" priority="30">
      <formula>$K$172 &lt; 0</formula>
    </cfRule>
  </conditionalFormatting>
  <conditionalFormatting sqref="M150:O151 N172:O172">
    <cfRule type="expression" dxfId="216" priority="25">
      <formula>$N$172 &gt; 0</formula>
    </cfRule>
    <cfRule type="expression" dxfId="215" priority="26">
      <formula>$N$172 = 0</formula>
    </cfRule>
    <cfRule type="expression" dxfId="214" priority="27">
      <formula>$N$172 &lt; 0</formula>
    </cfRule>
  </conditionalFormatting>
  <conditionalFormatting sqref="A179:C198 M179:O198">
    <cfRule type="expression" dxfId="213" priority="13">
      <formula>AND($N179 &gt; 0, ISNUMBER($N179))</formula>
    </cfRule>
    <cfRule type="expression" dxfId="212" priority="14">
      <formula>AND($N179 = 0 * ISNUMBER($N179))</formula>
    </cfRule>
    <cfRule type="expression" dxfId="211" priority="15">
      <formula>AND($N179 &lt; 0, ISNUMBER($N179))</formula>
    </cfRule>
  </conditionalFormatting>
  <conditionalFormatting sqref="A179:F198">
    <cfRule type="expression" dxfId="210" priority="22">
      <formula>AND($E179 &gt; 0, ISNUMBER($E179))</formula>
    </cfRule>
    <cfRule type="expression" dxfId="209" priority="23">
      <formula>AND($E179 = 0 * ISNUMBER($E179))</formula>
    </cfRule>
    <cfRule type="expression" dxfId="208" priority="24">
      <formula>AND($E179 &lt; 0, ISNUMBER($E179))</formula>
    </cfRule>
  </conditionalFormatting>
  <conditionalFormatting sqref="A179:C198 G179:I198">
    <cfRule type="expression" dxfId="207" priority="19">
      <formula>AND($H179 &gt; 0, ISNUMBER($H179))</formula>
    </cfRule>
    <cfRule type="expression" dxfId="206" priority="20">
      <formula>AND($H179 = 0 * ISNUMBER($H179))</formula>
    </cfRule>
    <cfRule type="expression" dxfId="205" priority="21">
      <formula>AND($H179 &lt; 0, ISNUMBER($H179))</formula>
    </cfRule>
  </conditionalFormatting>
  <conditionalFormatting sqref="A179:C198 J179:L198">
    <cfRule type="expression" dxfId="204" priority="16">
      <formula>AND($K179 &gt; 0, ISNUMBER($K179))</formula>
    </cfRule>
    <cfRule type="expression" dxfId="203" priority="17">
      <formula>AND($K179 = 0 * ISNUMBER($K179))</formula>
    </cfRule>
    <cfRule type="expression" dxfId="202" priority="18">
      <formula>AND($K179 &lt; 0, ISNUMBER($K179))</formula>
    </cfRule>
  </conditionalFormatting>
  <conditionalFormatting sqref="D177:F178 E199:F199">
    <cfRule type="expression" dxfId="201" priority="10">
      <formula>$E$199 &gt; 0</formula>
    </cfRule>
    <cfRule type="expression" dxfId="200" priority="11">
      <formula>$E$199 = 0</formula>
    </cfRule>
    <cfRule type="expression" dxfId="199" priority="12">
      <formula>$E$199 &lt; 0</formula>
    </cfRule>
  </conditionalFormatting>
  <conditionalFormatting sqref="G177:I178 H199:I199">
    <cfRule type="expression" dxfId="198" priority="7">
      <formula>$H$199 &gt; 0</formula>
    </cfRule>
    <cfRule type="expression" dxfId="197" priority="8">
      <formula>$H$199 = 0</formula>
    </cfRule>
    <cfRule type="expression" dxfId="196" priority="9">
      <formula>$H$199 &lt; 0</formula>
    </cfRule>
  </conditionalFormatting>
  <conditionalFormatting sqref="J177:L178 K199:L199">
    <cfRule type="expression" dxfId="195" priority="4">
      <formula>$K$199 &gt; 0</formula>
    </cfRule>
    <cfRule type="expression" dxfId="194" priority="5">
      <formula>$K$199 = 0</formula>
    </cfRule>
    <cfRule type="expression" dxfId="193" priority="6">
      <formula>$K$199 &lt; 0</formula>
    </cfRule>
  </conditionalFormatting>
  <conditionalFormatting sqref="M177:O178 N199:O199">
    <cfRule type="expression" dxfId="192" priority="1">
      <formula>$N$199 &gt; 0</formula>
    </cfRule>
    <cfRule type="expression" dxfId="191" priority="2">
      <formula>$N$199 = 0</formula>
    </cfRule>
    <cfRule type="expression" dxfId="1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2E42-55C8-407D-B973-BF48B2D341A0}">
  <sheetPr codeName="Sheet21"/>
  <dimension ref="A1:S199"/>
  <sheetViews>
    <sheetView tabSelected="1" zoomScaleNormal="100" workbookViewId="0">
      <selection activeCell="B9" sqref="B9:F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41" t="s">
        <v>0</v>
      </c>
      <c r="B1" s="242"/>
      <c r="C1" s="242"/>
      <c r="D1" s="242"/>
      <c r="E1" s="242"/>
      <c r="F1" s="243"/>
      <c r="G1" s="244">
        <v>44331</v>
      </c>
      <c r="H1" s="245"/>
      <c r="I1" s="246"/>
      <c r="J1" s="241" t="s">
        <v>1</v>
      </c>
      <c r="K1" s="242"/>
      <c r="L1" s="242"/>
      <c r="M1" s="242"/>
      <c r="N1" s="242"/>
      <c r="O1" s="243"/>
      <c r="Q1" s="241" t="s">
        <v>2</v>
      </c>
      <c r="R1" s="243"/>
    </row>
    <row r="2" spans="1:19" ht="17.25" customHeight="1">
      <c r="A2" s="116" t="s">
        <v>3</v>
      </c>
      <c r="B2" s="315" t="s">
        <v>8</v>
      </c>
      <c r="C2" s="316"/>
      <c r="D2" s="316"/>
      <c r="E2" s="316"/>
      <c r="F2" s="317"/>
      <c r="G2" s="250" t="s">
        <v>46</v>
      </c>
      <c r="H2" s="251"/>
      <c r="I2" s="252"/>
      <c r="J2" s="116" t="s">
        <v>3</v>
      </c>
      <c r="K2" s="315" t="s">
        <v>376</v>
      </c>
      <c r="L2" s="316"/>
      <c r="M2" s="316"/>
      <c r="N2" s="316"/>
      <c r="O2" s="317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12" t="s">
        <v>384</v>
      </c>
      <c r="C3" s="313"/>
      <c r="D3" s="313"/>
      <c r="E3" s="313"/>
      <c r="F3" s="314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7"/>
      <c r="I3" s="258"/>
      <c r="J3" s="117" t="s">
        <v>7</v>
      </c>
      <c r="K3" s="312" t="s">
        <v>377</v>
      </c>
      <c r="L3" s="313"/>
      <c r="M3" s="313"/>
      <c r="N3" s="313"/>
      <c r="O3" s="314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12" t="s">
        <v>16</v>
      </c>
      <c r="C4" s="313"/>
      <c r="D4" s="313"/>
      <c r="E4" s="313"/>
      <c r="F4" s="314"/>
      <c r="G4" s="250" t="s">
        <v>44</v>
      </c>
      <c r="H4" s="251"/>
      <c r="I4" s="252"/>
      <c r="J4" s="117" t="s">
        <v>11</v>
      </c>
      <c r="K4" s="312" t="s">
        <v>378</v>
      </c>
      <c r="L4" s="313"/>
      <c r="M4" s="313"/>
      <c r="N4" s="313"/>
      <c r="O4" s="314"/>
      <c r="Q4" s="237" t="s">
        <v>14</v>
      </c>
      <c r="R4" s="198">
        <v>0.95833333333333337</v>
      </c>
    </row>
    <row r="5" spans="1:19" ht="17.25" customHeight="1" thickBot="1">
      <c r="A5" s="117" t="s">
        <v>15</v>
      </c>
      <c r="B5" s="312" t="s">
        <v>374</v>
      </c>
      <c r="C5" s="313"/>
      <c r="D5" s="313"/>
      <c r="E5" s="313"/>
      <c r="F5" s="314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7"/>
      <c r="I5" s="258"/>
      <c r="J5" s="117" t="s">
        <v>15</v>
      </c>
      <c r="K5" s="312" t="s">
        <v>379</v>
      </c>
      <c r="L5" s="313"/>
      <c r="M5" s="313"/>
      <c r="N5" s="313"/>
      <c r="O5" s="314"/>
    </row>
    <row r="6" spans="1:19">
      <c r="A6" s="117" t="s">
        <v>18</v>
      </c>
      <c r="B6" s="312"/>
      <c r="C6" s="313"/>
      <c r="D6" s="313"/>
      <c r="E6" s="313"/>
      <c r="F6" s="314"/>
      <c r="G6" s="250" t="s">
        <v>45</v>
      </c>
      <c r="H6" s="251"/>
      <c r="I6" s="252"/>
      <c r="J6" s="117" t="s">
        <v>18</v>
      </c>
      <c r="K6" s="312" t="s">
        <v>380</v>
      </c>
      <c r="L6" s="313"/>
      <c r="M6" s="313"/>
      <c r="N6" s="313"/>
      <c r="O6" s="314"/>
    </row>
    <row r="7" spans="1:19" ht="17.25" thickBot="1">
      <c r="A7" s="117" t="s">
        <v>21</v>
      </c>
      <c r="B7" s="312"/>
      <c r="C7" s="313"/>
      <c r="D7" s="313"/>
      <c r="E7" s="313"/>
      <c r="F7" s="314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7"/>
      <c r="I7" s="258"/>
      <c r="J7" s="117" t="s">
        <v>21</v>
      </c>
      <c r="K7" s="312" t="s">
        <v>381</v>
      </c>
      <c r="L7" s="313"/>
      <c r="M7" s="313"/>
      <c r="N7" s="313"/>
      <c r="O7" s="314"/>
    </row>
    <row r="8" spans="1:19" ht="17.25" thickBot="1">
      <c r="A8" s="117" t="s">
        <v>24</v>
      </c>
      <c r="B8" s="312"/>
      <c r="C8" s="313"/>
      <c r="D8" s="313"/>
      <c r="E8" s="313"/>
      <c r="F8" s="314"/>
      <c r="G8" s="250" t="s">
        <v>285</v>
      </c>
      <c r="H8" s="251"/>
      <c r="I8" s="252"/>
      <c r="J8" s="117" t="s">
        <v>24</v>
      </c>
      <c r="K8" s="312"/>
      <c r="L8" s="313"/>
      <c r="M8" s="313"/>
      <c r="N8" s="313"/>
      <c r="O8" s="314"/>
      <c r="Q8" s="241" t="s">
        <v>27</v>
      </c>
      <c r="R8" s="243"/>
    </row>
    <row r="9" spans="1:19" ht="17.25" thickBot="1">
      <c r="A9" s="117" t="s">
        <v>28</v>
      </c>
      <c r="B9" s="312"/>
      <c r="C9" s="313"/>
      <c r="D9" s="313"/>
      <c r="E9" s="313"/>
      <c r="F9" s="314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7"/>
      <c r="I9" s="258"/>
      <c r="J9" s="117" t="s">
        <v>28</v>
      </c>
      <c r="K9" s="312"/>
      <c r="L9" s="313"/>
      <c r="M9" s="313"/>
      <c r="N9" s="313"/>
      <c r="O9" s="314"/>
      <c r="Q9" s="120" t="s">
        <v>29</v>
      </c>
      <c r="R9" s="199">
        <v>10</v>
      </c>
    </row>
    <row r="10" spans="1:19">
      <c r="A10" s="117" t="s">
        <v>30</v>
      </c>
      <c r="B10" s="312"/>
      <c r="C10" s="313"/>
      <c r="D10" s="313"/>
      <c r="E10" s="313"/>
      <c r="F10" s="314"/>
      <c r="G10" s="250" t="s">
        <v>47</v>
      </c>
      <c r="H10" s="251"/>
      <c r="I10" s="252"/>
      <c r="J10" s="117" t="s">
        <v>30</v>
      </c>
      <c r="K10" s="312" t="s">
        <v>382</v>
      </c>
      <c r="L10" s="313"/>
      <c r="M10" s="313"/>
      <c r="N10" s="313"/>
      <c r="O10" s="314"/>
      <c r="Q10" s="120" t="s">
        <v>31</v>
      </c>
      <c r="R10" s="199">
        <v>100</v>
      </c>
    </row>
    <row r="11" spans="1:19" ht="17.25" thickBot="1">
      <c r="A11" s="118" t="s">
        <v>32</v>
      </c>
      <c r="B11" s="309" t="s">
        <v>383</v>
      </c>
      <c r="C11" s="310"/>
      <c r="D11" s="310"/>
      <c r="E11" s="310"/>
      <c r="F11" s="311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118" t="s">
        <v>32</v>
      </c>
      <c r="K11" s="309" t="s">
        <v>373</v>
      </c>
      <c r="L11" s="310"/>
      <c r="M11" s="310"/>
      <c r="N11" s="310"/>
      <c r="O11" s="311"/>
      <c r="Q11" s="237" t="s">
        <v>33</v>
      </c>
      <c r="R11" s="200">
        <v>1000</v>
      </c>
    </row>
    <row r="12" spans="1:19" ht="17.25" thickBot="1"/>
    <row r="13" spans="1:19" ht="17.25" customHeight="1" thickBot="1">
      <c r="A13" s="241" t="s">
        <v>34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3"/>
      <c r="Q13" s="262"/>
      <c r="R13" s="262"/>
      <c r="S13" s="262"/>
    </row>
    <row r="14" spans="1:19" ht="17.25" customHeight="1" thickBot="1">
      <c r="A14" s="233" t="s">
        <v>35</v>
      </c>
      <c r="B14" s="241" t="s">
        <v>36</v>
      </c>
      <c r="C14" s="243"/>
      <c r="D14" s="241" t="s">
        <v>37</v>
      </c>
      <c r="E14" s="242"/>
      <c r="F14" s="243"/>
      <c r="G14" s="268">
        <f>_xlfn.IFNA(VLOOKUP(B14, 현재가테이블!$B$2:$D$200, 2, FALSE), "-")</f>
        <v>62017000</v>
      </c>
      <c r="H14" s="269"/>
      <c r="I14" s="270"/>
      <c r="J14" s="241" t="s">
        <v>38</v>
      </c>
      <c r="K14" s="242"/>
      <c r="L14" s="243"/>
      <c r="M14" s="271">
        <f>_xlfn.IFNA(VLOOKUP(B14, 현재가테이블!$B$2:$D$200, 3, FALSE), "-")</f>
        <v>-1.6680144000000001E-2</v>
      </c>
      <c r="N14" s="272"/>
      <c r="O14" s="273"/>
      <c r="Q14" s="262"/>
      <c r="R14" s="262"/>
      <c r="S14" s="262"/>
    </row>
    <row r="15" spans="1:19" ht="17.25" customHeight="1" thickBot="1">
      <c r="A15" s="306" t="s">
        <v>39</v>
      </c>
      <c r="B15" s="307" t="str">
        <f>TEXT($G$1, "[$-ko-KR]yyyy-mm-dd(ddd) ") &amp; "오전 00:00"</f>
        <v>2021-05-15(토) 오전 00:00</v>
      </c>
      <c r="C15" s="308"/>
      <c r="D15" s="241" t="str">
        <f>TEXT($G$1, "[$-ko-KR]yyyy-mm-dd(ddd) ") &amp; "오후 14:00"</f>
        <v>2021-05-15(토) 오후 14:00</v>
      </c>
      <c r="E15" s="242"/>
      <c r="F15" s="243"/>
      <c r="G15" s="241" t="str">
        <f>TEXT($G$1, "[$-ko-KR]yyyy-mm-dd(ddd) ") &amp; "오후 19:00"</f>
        <v>2021-05-15(토) 오후 19:00</v>
      </c>
      <c r="H15" s="242"/>
      <c r="I15" s="243"/>
      <c r="J15" s="241" t="str">
        <f>TEXT($G$1, "[$-ko-KR]yyyy-mm-dd(ddd) ") &amp; "오후 21:00"</f>
        <v>2021-05-15(토) 오후 21:00</v>
      </c>
      <c r="K15" s="242"/>
      <c r="L15" s="243"/>
      <c r="M15" s="241" t="str">
        <f>TEXT($G$1+1, "[$-ko-KR]yyyy-mm-dd(ddd) ") &amp; "오전 00:00"</f>
        <v>2021-05-16(일) 오전 00:00</v>
      </c>
      <c r="N15" s="242"/>
      <c r="O15" s="243"/>
      <c r="Q15" s="262"/>
      <c r="R15" s="262"/>
      <c r="S15" s="262"/>
    </row>
    <row r="16" spans="1:19" ht="17.25" customHeight="1" thickBot="1">
      <c r="A16" s="306"/>
      <c r="B16" s="120" t="s">
        <v>37</v>
      </c>
      <c r="C16" s="121" t="s">
        <v>38</v>
      </c>
      <c r="D16" s="120" t="s">
        <v>37</v>
      </c>
      <c r="E16" s="121" t="s">
        <v>40</v>
      </c>
      <c r="F16" s="240" t="s">
        <v>41</v>
      </c>
      <c r="G16" s="233" t="s">
        <v>37</v>
      </c>
      <c r="H16" s="234" t="s">
        <v>40</v>
      </c>
      <c r="I16" s="235" t="s">
        <v>41</v>
      </c>
      <c r="J16" s="121" t="s">
        <v>37</v>
      </c>
      <c r="K16" s="121" t="s">
        <v>40</v>
      </c>
      <c r="L16" s="238" t="s">
        <v>41</v>
      </c>
      <c r="M16" s="120" t="s">
        <v>37</v>
      </c>
      <c r="N16" s="121" t="s">
        <v>40</v>
      </c>
      <c r="O16" s="239" t="s">
        <v>41</v>
      </c>
      <c r="Q16" s="267"/>
      <c r="R16" s="267"/>
      <c r="S16" s="267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144</v>
      </c>
      <c r="C17" s="72">
        <f>IF(NOT(ISBLANK(_xlfn.IFNA(VLOOKUP($A17, $A$40:$O$199, 3, FALSE), ))), _xlfn.IFNA(VLOOKUP($A17, $A$40:$O$199, 3, FALSE), ), "")</f>
        <v>6.9930069999999999E-3</v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4" t="s">
        <v>120</v>
      </c>
      <c r="B18" s="125">
        <f>IF(NOT(ISBLANK(_xlfn.IFNA(VLOOKUP($A18, $A$40:$O$199, 2, FALSE), ))), _xlfn.IFNA(VLOOKUP($A18, $A$40:$O$199, 2, FALSE), ), "")</f>
        <v>204</v>
      </c>
      <c r="C18" s="73">
        <f>IF(NOT(ISBLANK(_xlfn.IFNA(VLOOKUP($A18, $A$40:$O$199, 3, FALSE), ))), _xlfn.IFNA(VLOOKUP($A18, $A$40:$O$199, 3, FALSE), ), "")</f>
        <v>-9.7087379000000001E-3</v>
      </c>
      <c r="D18" s="125" t="str">
        <f>IF(NOT(ISBLANK(_xlfn.IFNA(VLOOKUP($A18, $A$40:$O$199, 4, FALSE), ))), _xlfn.IFNA(VLOOKUP($A18, $A$40:$O$199, 4, FALSE), ), "")</f>
        <v/>
      </c>
      <c r="E18" s="73" t="str">
        <f>IF(NOT(ISBLANK(_xlfn.IFNA(VLOOKUP($A18, $A$40:$O$199, 5, FALSE), ))), _xlfn.IFNA(VLOOKUP($A18, $A$40:$O$199, 5, FALSE), ), "")</f>
        <v/>
      </c>
      <c r="F18" s="136" t="str">
        <f>IF(NOT(ISBLANK(_xlfn.IFNA(VLOOKUP($A18, $A$40:$O$199, 6, FALSE), ))), _xlfn.IFNA(VLOOKUP($A18, $A$40:$O$199, 6, FALSE), ), "")</f>
        <v/>
      </c>
      <c r="G18" s="39" t="str">
        <f>IF(NOT(ISBLANK(_xlfn.IFNA(VLOOKUP($A18, $A$40:$O$199, 7, FALSE), ))), _xlfn.IFNA(VLOOKUP($A18, $A$40:$O$199, 7, FALSE), ), "")</f>
        <v/>
      </c>
      <c r="H18" s="73" t="str">
        <f>IF(NOT(ISBLANK(_xlfn.IFNA(VLOOKUP($A18, $A$40:$O$199, 8, FALSE), ))), _xlfn.IFNA(VLOOKUP($A18, $A$40:$O$199, 8, FALSE), ), "")</f>
        <v/>
      </c>
      <c r="I18" s="202" t="str">
        <f>IF(NOT(ISBLANK(_xlfn.IFNA(VLOOKUP($A18, $A$40:$O$199, 9, FALSE), ))), _xlfn.IFNA(VLOOKUP($A18, $A$40:$O$199, 9, FALSE), ), "")</f>
        <v/>
      </c>
      <c r="J18" s="125" t="str">
        <f>IF(NOT(ISBLANK(_xlfn.IFNA(VLOOKUP($A18, $A$40:$O$199, 10, FALSE), ))), _xlfn.IFNA(VLOOKUP($A18, $A$40:$O$199, 10, FALSE), ), "")</f>
        <v/>
      </c>
      <c r="K18" s="73" t="str">
        <f>IF(NOT(ISBLANK(_xlfn.IFNA(VLOOKUP($A18, $A$40:$O$199, 11, FALSE), ))), _xlfn.IFNA(VLOOKUP($A18, $A$40:$O$199, 11, FALSE), ), "")</f>
        <v/>
      </c>
      <c r="L18" s="136" t="str">
        <f>IF(NOT(ISBLANK(_xlfn.IFNA(VLOOKUP($A18, $A$40:$O$199, 12, FALSE), ))), _xlfn.IFNA(VLOOKUP($A18, $A$40:$O$199, 12, FALSE), ), "")</f>
        <v/>
      </c>
      <c r="M18" s="39" t="str">
        <f>IF(NOT(ISBLANK(_xlfn.IFNA(VLOOKUP($A18, $A$40:$O$199, 13, FALSE), ))), _xlfn.IFNA(VLOOKUP($A18, $A$40:$O$199, 13, FALSE), ), "")</f>
        <v/>
      </c>
      <c r="N18" s="73" t="str">
        <f>IF(NOT(ISBLANK(_xlfn.IFNA(VLOOKUP($A18, $A$40:$O$199, 14, FALSE), ))), _xlfn.IFNA(VLOOKUP($A18, $A$40:$O$199, 14, FALSE), ), "")</f>
        <v/>
      </c>
      <c r="O18" s="136" t="str">
        <f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4" t="s">
        <v>264</v>
      </c>
      <c r="B19" s="125">
        <f>IF(NOT(ISBLANK(_xlfn.IFNA(VLOOKUP($A19, $A$40:$O$199, 2, FALSE), ))), _xlfn.IFNA(VLOOKUP($A19, $A$40:$O$199, 2, FALSE), ), "")</f>
        <v>149</v>
      </c>
      <c r="C19" s="73">
        <f>IF(NOT(ISBLANK(_xlfn.IFNA(VLOOKUP($A19, $A$40:$O$199, 3, FALSE), ))), _xlfn.IFNA(VLOOKUP($A19, $A$40:$O$199, 3, FALSE), ), "")</f>
        <v>6.7567568000000003E-3</v>
      </c>
      <c r="D19" s="125" t="str">
        <f>IF(NOT(ISBLANK(_xlfn.IFNA(VLOOKUP($A19, $A$40:$O$199, 4, FALSE), ))), _xlfn.IFNA(VLOOKUP($A19, $A$40:$O$199, 4, FALSE), ), "")</f>
        <v/>
      </c>
      <c r="E19" s="73" t="str">
        <f>IF(NOT(ISBLANK(_xlfn.IFNA(VLOOKUP($A19, $A$40:$O$199, 5, FALSE), ))), _xlfn.IFNA(VLOOKUP($A19, $A$40:$O$199, 5, FALSE), ), "")</f>
        <v/>
      </c>
      <c r="F19" s="136" t="str">
        <f>IF(NOT(ISBLANK(_xlfn.IFNA(VLOOKUP($A19, $A$40:$O$199, 6, FALSE), ))), _xlfn.IFNA(VLOOKUP($A19, $A$40:$O$199, 6, FALSE), ), "")</f>
        <v/>
      </c>
      <c r="G19" s="39" t="str">
        <f>IF(NOT(ISBLANK(_xlfn.IFNA(VLOOKUP($A19, $A$40:$O$199, 7, FALSE), ))), _xlfn.IFNA(VLOOKUP($A19, $A$40:$O$199, 7, FALSE), ), "")</f>
        <v/>
      </c>
      <c r="H19" s="73" t="str">
        <f>IF(NOT(ISBLANK(_xlfn.IFNA(VLOOKUP($A19, $A$40:$O$199, 8, FALSE), ))), _xlfn.IFNA(VLOOKUP($A19, $A$40:$O$199, 8, FALSE), ), "")</f>
        <v/>
      </c>
      <c r="I19" s="202" t="str">
        <f>IF(NOT(ISBLANK(_xlfn.IFNA(VLOOKUP($A19, $A$40:$O$199, 9, FALSE), ))), _xlfn.IFNA(VLOOKUP($A19, $A$40:$O$199, 9, FALSE), ), "")</f>
        <v/>
      </c>
      <c r="J19" s="125" t="str">
        <f>IF(NOT(ISBLANK(_xlfn.IFNA(VLOOKUP($A19, $A$40:$O$199, 10, FALSE), ))), _xlfn.IFNA(VLOOKUP($A19, $A$40:$O$199, 10, FALSE), ), "")</f>
        <v/>
      </c>
      <c r="K19" s="73" t="str">
        <f>IF(NOT(ISBLANK(_xlfn.IFNA(VLOOKUP($A19, $A$40:$O$199, 11, FALSE), ))), _xlfn.IFNA(VLOOKUP($A19, $A$40:$O$199, 11, FALSE), ), "")</f>
        <v/>
      </c>
      <c r="L19" s="136" t="str">
        <f>IF(NOT(ISBLANK(_xlfn.IFNA(VLOOKUP($A19, $A$40:$O$199, 12, FALSE), ))), _xlfn.IFNA(VLOOKUP($A19, $A$40:$O$199, 12, FALSE), ), "")</f>
        <v/>
      </c>
      <c r="M19" s="39" t="str">
        <f>IF(NOT(ISBLANK(_xlfn.IFNA(VLOOKUP($A19, $A$40:$O$199, 13, FALSE), ))), _xlfn.IFNA(VLOOKUP($A19, $A$40:$O$199, 13, FALSE), ), "")</f>
        <v/>
      </c>
      <c r="N19" s="73" t="str">
        <f>IF(NOT(ISBLANK(_xlfn.IFNA(VLOOKUP($A19, $A$40:$O$199, 14, FALSE), ))), _xlfn.IFNA(VLOOKUP($A19, $A$40:$O$199, 14, FALSE), ), "")</f>
        <v/>
      </c>
      <c r="O19" s="136" t="str">
        <f>IF(NOT(ISBLANK(_xlfn.IFNA(VLOOKUP($A19, $A$40:$O$199, 15, FALSE), ))), _xlfn.IFNA(VLOOKUP($A19, $A$40:$O$199, 15, FALSE), ), "")</f>
        <v/>
      </c>
      <c r="Q19" s="267"/>
      <c r="R19" s="267"/>
      <c r="S19" s="267"/>
    </row>
    <row r="20" spans="1:19" ht="17.25" customHeight="1" thickBot="1">
      <c r="A20" s="124" t="s">
        <v>230</v>
      </c>
      <c r="B20" s="125">
        <f>IF(NOT(ISBLANK(_xlfn.IFNA(VLOOKUP($A20, $A$40:$O$199, 2, FALSE), ))), _xlfn.IFNA(VLOOKUP($A20, $A$40:$O$199, 2, FALSE), ), "")</f>
        <v>146</v>
      </c>
      <c r="C20" s="73">
        <f>IF(NOT(ISBLANK(_xlfn.IFNA(VLOOKUP($A20, $A$40:$O$199, 3, FALSE), ))), _xlfn.IFNA(VLOOKUP($A20, $A$40:$O$199, 3, FALSE), ), "")</f>
        <v>-6.8027210999999999E-3</v>
      </c>
      <c r="D20" s="125" t="str">
        <f>IF(NOT(ISBLANK(_xlfn.IFNA(VLOOKUP($A20, $A$40:$O$199, 4, FALSE), ))), _xlfn.IFNA(VLOOKUP($A20, $A$40:$O$199, 4, FALSE), ), "")</f>
        <v/>
      </c>
      <c r="E20" s="73" t="str">
        <f>IF(NOT(ISBLANK(_xlfn.IFNA(VLOOKUP($A20, $A$40:$O$199, 5, FALSE), ))), _xlfn.IFNA(VLOOKUP($A20, $A$40:$O$199, 5, FALSE), ), "")</f>
        <v/>
      </c>
      <c r="F20" s="136" t="str">
        <f>IF(NOT(ISBLANK(_xlfn.IFNA(VLOOKUP($A20, $A$40:$O$199, 6, FALSE), ))), _xlfn.IFNA(VLOOKUP($A20, $A$40:$O$199, 6, FALSE), ), "")</f>
        <v/>
      </c>
      <c r="G20" s="39" t="str">
        <f>IF(NOT(ISBLANK(_xlfn.IFNA(VLOOKUP($A20, $A$40:$O$199, 7, FALSE), ))), _xlfn.IFNA(VLOOKUP($A20, $A$40:$O$199, 7, FALSE), ), "")</f>
        <v/>
      </c>
      <c r="H20" s="73" t="str">
        <f>IF(NOT(ISBLANK(_xlfn.IFNA(VLOOKUP($A20, $A$40:$O$199, 8, FALSE), ))), _xlfn.IFNA(VLOOKUP($A20, $A$40:$O$199, 8, FALSE), ), "")</f>
        <v/>
      </c>
      <c r="I20" s="202" t="str">
        <f>IF(NOT(ISBLANK(_xlfn.IFNA(VLOOKUP($A20, $A$40:$O$199, 9, FALSE), ))), _xlfn.IFNA(VLOOKUP($A20, $A$40:$O$199, 9, FALSE), ), "")</f>
        <v/>
      </c>
      <c r="J20" s="125" t="str">
        <f>IF(NOT(ISBLANK(_xlfn.IFNA(VLOOKUP($A20, $A$40:$O$199, 10, FALSE), ))), _xlfn.IFNA(VLOOKUP($A20, $A$40:$O$199, 10, FALSE), ), "")</f>
        <v/>
      </c>
      <c r="K20" s="73" t="str">
        <f>IF(NOT(ISBLANK(_xlfn.IFNA(VLOOKUP($A20, $A$40:$O$199, 11, FALSE), ))), _xlfn.IFNA(VLOOKUP($A20, $A$40:$O$199, 11, FALSE), ), "")</f>
        <v/>
      </c>
      <c r="L20" s="136" t="str">
        <f>IF(NOT(ISBLANK(_xlfn.IFNA(VLOOKUP($A20, $A$40:$O$199, 12, FALSE), ))), _xlfn.IFNA(VLOOKUP($A20, $A$40:$O$199, 12, FALSE), ), "")</f>
        <v/>
      </c>
      <c r="M20" s="39" t="str">
        <f>IF(NOT(ISBLANK(_xlfn.IFNA(VLOOKUP($A20, $A$40:$O$199, 13, FALSE), ))), _xlfn.IFNA(VLOOKUP($A20, $A$40:$O$199, 13, FALSE), ), "")</f>
        <v/>
      </c>
      <c r="N20" s="73" t="str">
        <f>IF(NOT(ISBLANK(_xlfn.IFNA(VLOOKUP($A20, $A$40:$O$199, 14, FALSE), ))), _xlfn.IFNA(VLOOKUP($A20, $A$40:$O$199, 14, FALSE), ), "")</f>
        <v/>
      </c>
      <c r="O20" s="136" t="str">
        <f>IF(NOT(ISBLANK(_xlfn.IFNA(VLOOKUP($A20, $A$40:$O$199, 15, FALSE), ))), _xlfn.IFNA(VLOOKUP($A20, $A$40:$O$199, 15, FALSE), ), "")</f>
        <v/>
      </c>
      <c r="Q20" s="267"/>
      <c r="R20" s="267"/>
      <c r="S20" s="267"/>
    </row>
    <row r="21" spans="1:19" ht="17.25" customHeight="1" thickBot="1">
      <c r="A21" s="126" t="s">
        <v>282</v>
      </c>
      <c r="B21" s="127">
        <f>IF(NOT(ISBLANK(_xlfn.IFNA(VLOOKUP($A21, $A$40:$O$199, 2, FALSE), ))), _xlfn.IFNA(VLOOKUP($A21, $A$40:$O$199, 2, FALSE), ), "")</f>
        <v>149</v>
      </c>
      <c r="C21" s="74">
        <f>IF(NOT(ISBLANK(_xlfn.IFNA(VLOOKUP($A21, $A$40:$O$199, 3, FALSE), ))), _xlfn.IFNA(VLOOKUP($A21, $A$40:$O$199, 3, FALSE), ), "")</f>
        <v>-6.6666666999999997E-3</v>
      </c>
      <c r="D21" s="127" t="str">
        <f>IF(NOT(ISBLANK(_xlfn.IFNA(VLOOKUP($A21, $A$40:$O$199, 4, FALSE), ))), _xlfn.IFNA(VLOOKUP($A21, $A$40:$O$199, 4, FALSE), ), "")</f>
        <v/>
      </c>
      <c r="E21" s="74" t="str">
        <f>IF(NOT(ISBLANK(_xlfn.IFNA(VLOOKUP($A21, $A$40:$O$199, 5, FALSE), ))), _xlfn.IFNA(VLOOKUP($A21, $A$40:$O$199, 5, FALSE), ), "")</f>
        <v/>
      </c>
      <c r="F21" s="203" t="str">
        <f>IF(NOT(ISBLANK(_xlfn.IFNA(VLOOKUP($A21, $A$40:$O$199, 6, FALSE), ))), _xlfn.IFNA(VLOOKUP($A21, $A$40:$O$199, 6, FALSE), ), "")</f>
        <v/>
      </c>
      <c r="G21" s="44" t="str">
        <f>IF(NOT(ISBLANK(_xlfn.IFNA(VLOOKUP($A21, $A$40:$O$199, 7, FALSE), ))), _xlfn.IFNA(VLOOKUP($A21, $A$40:$O$199, 7, FALSE), ), "")</f>
        <v/>
      </c>
      <c r="H21" s="74" t="str">
        <f>IF(NOT(ISBLANK(_xlfn.IFNA(VLOOKUP($A21, $A$40:$O$199, 8, FALSE), ))), _xlfn.IFNA(VLOOKUP($A21, $A$40:$O$199, 8, FALSE), ), "")</f>
        <v/>
      </c>
      <c r="I21" s="204" t="str">
        <f>IF(NOT(ISBLANK(_xlfn.IFNA(VLOOKUP($A21, $A$40:$O$199, 9, FALSE), ))), _xlfn.IFNA(VLOOKUP($A21, $A$40:$O$199, 9, FALSE), ), "")</f>
        <v/>
      </c>
      <c r="J21" s="127" t="str">
        <f>IF(NOT(ISBLANK(_xlfn.IFNA(VLOOKUP($A21, $A$40:$O$199, 10, FALSE), ))), _xlfn.IFNA(VLOOKUP($A21, $A$40:$O$199, 10, FALSE), ), "")</f>
        <v/>
      </c>
      <c r="K21" s="74" t="str">
        <f>IF(NOT(ISBLANK(_xlfn.IFNA(VLOOKUP($A21, $A$40:$O$199, 11, FALSE), ))), _xlfn.IFNA(VLOOKUP($A21, $A$40:$O$199, 11, FALSE), ), "")</f>
        <v/>
      </c>
      <c r="L21" s="203" t="str">
        <f>IF(NOT(ISBLANK(_xlfn.IFNA(VLOOKUP($A21, $A$40:$O$199, 12, FALSE), ))), _xlfn.IFNA(VLOOKUP($A21, $A$40:$O$199, 12, FALSE), ), "")</f>
        <v/>
      </c>
      <c r="M21" s="44" t="str">
        <f>IF(NOT(ISBLANK(_xlfn.IFNA(VLOOKUP($A21, $A$40:$O$199, 13, FALSE), ))), _xlfn.IFNA(VLOOKUP($A21, $A$40:$O$199, 13, FALSE), ), "")</f>
        <v/>
      </c>
      <c r="N21" s="74" t="str">
        <f>IF(NOT(ISBLANK(_xlfn.IFNA(VLOOKUP($A21, $A$40:$O$199, 14, FALSE), ))), _xlfn.IFNA(VLOOKUP($A21, $A$40:$O$199, 14, FALSE), ), "")</f>
        <v/>
      </c>
      <c r="O21" s="203" t="str">
        <f>IF(NOT(ISBLANK(_xlfn.IFNA(VLOOKUP($A21, $A$40:$O$199, 15, FALSE), ))), _xlfn.IFNA(VLOOKUP($A21, $A$40:$O$199, 15, FALSE), ), "")</f>
        <v/>
      </c>
      <c r="Q21" s="267"/>
      <c r="R21" s="267"/>
      <c r="S21" s="267"/>
    </row>
    <row r="22" spans="1:19" ht="17.25" customHeight="1" thickBot="1">
      <c r="A22" s="124" t="s">
        <v>240</v>
      </c>
      <c r="B22" s="128">
        <f>IF(NOT(ISBLANK(_xlfn.IFNA(VLOOKUP($A22, $A$40:$O$199, 2, FALSE), ))), _xlfn.IFNA(VLOOKUP($A22, $A$40:$O$199, 2, FALSE), ), "")</f>
        <v>159</v>
      </c>
      <c r="C22" s="76">
        <f>IF(NOT(ISBLANK(_xlfn.IFNA(VLOOKUP($A22, $A$40:$O$199, 3, FALSE), ))), _xlfn.IFNA(VLOOKUP($A22, $A$40:$O$199, 3, FALSE), ), "")</f>
        <v>4.6052631599999998E-2</v>
      </c>
      <c r="D22" s="128" t="str">
        <f>IF(NOT(ISBLANK(_xlfn.IFNA(VLOOKUP($A22, $A$40:$O$199, 4, FALSE), ))), _xlfn.IFNA(VLOOKUP($A22, $A$40:$O$199, 4, FALSE), ), "")</f>
        <v/>
      </c>
      <c r="E22" s="76" t="str">
        <f>IF(NOT(ISBLANK(_xlfn.IFNA(VLOOKUP($A22, $A$40:$O$199, 5, FALSE), ))), _xlfn.IFNA(VLOOKUP($A22, $A$40:$O$199, 5, FALSE), ), "")</f>
        <v/>
      </c>
      <c r="F22" s="205" t="str">
        <f>IF(NOT(ISBLANK(_xlfn.IFNA(VLOOKUP($A22, $A$40:$O$199, 6, FALSE), ))), _xlfn.IFNA(VLOOKUP($A22, $A$40:$O$199, 6, FALSE), ), "")</f>
        <v/>
      </c>
      <c r="G22" s="45" t="str">
        <f>IF(NOT(ISBLANK(_xlfn.IFNA(VLOOKUP($A22, $A$40:$O$199, 7, FALSE), ))), _xlfn.IFNA(VLOOKUP($A22, $A$40:$O$199, 7, FALSE), ), "")</f>
        <v/>
      </c>
      <c r="H22" s="76" t="str">
        <f>IF(NOT(ISBLANK(_xlfn.IFNA(VLOOKUP($A22, $A$40:$O$199, 8, FALSE), ))), _xlfn.IFNA(VLOOKUP($A22, $A$40:$O$199, 8, FALSE), ), "")</f>
        <v/>
      </c>
      <c r="I22" s="206" t="str">
        <f>IF(NOT(ISBLANK(_xlfn.IFNA(VLOOKUP($A22, $A$40:$O$199, 9, FALSE), ))), _xlfn.IFNA(VLOOKUP($A22, $A$40:$O$199, 9, FALSE), ), "")</f>
        <v/>
      </c>
      <c r="J22" s="128" t="str">
        <f>IF(NOT(ISBLANK(_xlfn.IFNA(VLOOKUP($A22, $A$40:$O$199, 10, FALSE), ))), _xlfn.IFNA(VLOOKUP($A22, $A$40:$O$199, 10, FALSE), ), "")</f>
        <v/>
      </c>
      <c r="K22" s="76" t="str">
        <f>IF(NOT(ISBLANK(_xlfn.IFNA(VLOOKUP($A22, $A$40:$O$199, 11, FALSE), ))), _xlfn.IFNA(VLOOKUP($A22, $A$40:$O$199, 11, FALSE), ), "")</f>
        <v/>
      </c>
      <c r="L22" s="205" t="str">
        <f>IF(NOT(ISBLANK(_xlfn.IFNA(VLOOKUP($A22, $A$40:$O$199, 12, FALSE), ))), _xlfn.IFNA(VLOOKUP($A22, $A$40:$O$199, 12, FALSE), ), "")</f>
        <v/>
      </c>
      <c r="M22" s="45" t="str">
        <f>IF(NOT(ISBLANK(_xlfn.IFNA(VLOOKUP($A22, $A$40:$O$199, 13, FALSE), ))), _xlfn.IFNA(VLOOKUP($A22, $A$40:$O$199, 13, FALSE), ), "")</f>
        <v/>
      </c>
      <c r="N22" s="76" t="str">
        <f>IF(NOT(ISBLANK(_xlfn.IFNA(VLOOKUP($A22, $A$40:$O$199, 14, FALSE), ))), _xlfn.IFNA(VLOOKUP($A22, $A$40:$O$199, 14, FALSE), ), "")</f>
        <v/>
      </c>
      <c r="O22" s="205" t="str">
        <f>IF(NOT(ISBLANK(_xlfn.IFNA(VLOOKUP($A22, $A$40:$O$199, 15, FALSE), ))), _xlfn.IFNA(VLOOKUP($A22, $A$40:$O$199, 15, FALSE), ), "")</f>
        <v/>
      </c>
      <c r="Q22" s="267"/>
      <c r="R22" s="267"/>
      <c r="S22" s="267"/>
    </row>
    <row r="23" spans="1:19" ht="17.25" customHeight="1" thickBot="1">
      <c r="A23" s="124" t="s">
        <v>246</v>
      </c>
      <c r="B23" s="125">
        <f>IF(NOT(ISBLANK(_xlfn.IFNA(VLOOKUP($A23, $A$40:$O$199, 2, FALSE), ))), _xlfn.IFNA(VLOOKUP($A23, $A$40:$O$199, 2, FALSE), ), "")</f>
        <v>322</v>
      </c>
      <c r="C23" s="73">
        <f>IF(NOT(ISBLANK(_xlfn.IFNA(VLOOKUP($A23, $A$40:$O$199, 3, FALSE), ))), _xlfn.IFNA(VLOOKUP($A23, $A$40:$O$199, 3, FALSE), ), "")</f>
        <v>-6.1728395E-3</v>
      </c>
      <c r="D23" s="125" t="str">
        <f>IF(NOT(ISBLANK(_xlfn.IFNA(VLOOKUP($A23, $A$40:$O$199, 4, FALSE), ))), _xlfn.IFNA(VLOOKUP($A23, $A$40:$O$199, 4, FALSE), ), "")</f>
        <v/>
      </c>
      <c r="E23" s="73" t="str">
        <f>IF(NOT(ISBLANK(_xlfn.IFNA(VLOOKUP($A23, $A$40:$O$199, 5, FALSE), ))), _xlfn.IFNA(VLOOKUP($A23, $A$40:$O$199, 5, FALSE), ), "")</f>
        <v/>
      </c>
      <c r="F23" s="136" t="str">
        <f>IF(NOT(ISBLANK(_xlfn.IFNA(VLOOKUP($A23, $A$40:$O$199, 6, FALSE), ))), _xlfn.IFNA(VLOOKUP($A23, $A$40:$O$199, 6, FALSE), ), "")</f>
        <v/>
      </c>
      <c r="G23" s="39" t="str">
        <f>IF(NOT(ISBLANK(_xlfn.IFNA(VLOOKUP($A23, $A$40:$O$199, 7, FALSE), ))), _xlfn.IFNA(VLOOKUP($A23, $A$40:$O$199, 7, FALSE), ), "")</f>
        <v/>
      </c>
      <c r="H23" s="73" t="str">
        <f>IF(NOT(ISBLANK(_xlfn.IFNA(VLOOKUP($A23, $A$40:$O$199, 8, FALSE), ))), _xlfn.IFNA(VLOOKUP($A23, $A$40:$O$199, 8, FALSE), ), "")</f>
        <v/>
      </c>
      <c r="I23" s="202" t="str">
        <f>IF(NOT(ISBLANK(_xlfn.IFNA(VLOOKUP($A23, $A$40:$O$199, 9, FALSE), ))), _xlfn.IFNA(VLOOKUP($A23, $A$40:$O$199, 9, FALSE), ), "")</f>
        <v/>
      </c>
      <c r="J23" s="125" t="str">
        <f>IF(NOT(ISBLANK(_xlfn.IFNA(VLOOKUP($A23, $A$40:$O$199, 10, FALSE), ))), _xlfn.IFNA(VLOOKUP($A23, $A$40:$O$199, 10, FALSE), ), "")</f>
        <v/>
      </c>
      <c r="K23" s="73" t="str">
        <f>IF(NOT(ISBLANK(_xlfn.IFNA(VLOOKUP($A23, $A$40:$O$199, 11, FALSE), ))), _xlfn.IFNA(VLOOKUP($A23, $A$40:$O$199, 11, FALSE), ), "")</f>
        <v/>
      </c>
      <c r="L23" s="136" t="str">
        <f>IF(NOT(ISBLANK(_xlfn.IFNA(VLOOKUP($A23, $A$40:$O$199, 12, FALSE), ))), _xlfn.IFNA(VLOOKUP($A23, $A$40:$O$199, 12, FALSE), ), "")</f>
        <v/>
      </c>
      <c r="M23" s="39" t="str">
        <f>IF(NOT(ISBLANK(_xlfn.IFNA(VLOOKUP($A23, $A$40:$O$199, 13, FALSE), ))), _xlfn.IFNA(VLOOKUP($A23, $A$40:$O$199, 13, FALSE), ), "")</f>
        <v/>
      </c>
      <c r="N23" s="73" t="str">
        <f>IF(NOT(ISBLANK(_xlfn.IFNA(VLOOKUP($A23, $A$40:$O$199, 14, FALSE), ))), _xlfn.IFNA(VLOOKUP($A23, $A$40:$O$199, 14, FALSE), ), "")</f>
        <v/>
      </c>
      <c r="O23" s="136" t="str">
        <f>IF(NOT(ISBLANK(_xlfn.IFNA(VLOOKUP($A23, $A$40:$O$199, 15, FALSE), ))), _xlfn.IFNA(VLOOKUP($A23, $A$40:$O$199, 15, FALSE), ), "")</f>
        <v/>
      </c>
      <c r="Q23" s="267"/>
      <c r="R23" s="267"/>
      <c r="S23" s="267"/>
    </row>
    <row r="24" spans="1:19" ht="17.25" customHeight="1" thickBot="1">
      <c r="A24" s="124" t="s">
        <v>200</v>
      </c>
      <c r="B24" s="125">
        <f>IF(NOT(ISBLANK(_xlfn.IFNA(VLOOKUP($A24, $A$40:$O$199, 2, FALSE), ))), _xlfn.IFNA(VLOOKUP($A24, $A$40:$O$199, 2, FALSE), ), "")</f>
        <v>305</v>
      </c>
      <c r="C24" s="73">
        <f>IF(NOT(ISBLANK(_xlfn.IFNA(VLOOKUP($A24, $A$40:$O$199, 3, FALSE), ))), _xlfn.IFNA(VLOOKUP($A24, $A$40:$O$199, 3, FALSE), ), "")</f>
        <v>-6.5146580000000004E-3</v>
      </c>
      <c r="D24" s="125" t="str">
        <f>IF(NOT(ISBLANK(_xlfn.IFNA(VLOOKUP($A24, $A$40:$O$199, 4, FALSE), ))), _xlfn.IFNA(VLOOKUP($A24, $A$40:$O$199, 4, FALSE), ), "")</f>
        <v/>
      </c>
      <c r="E24" s="73" t="str">
        <f>IF(NOT(ISBLANK(_xlfn.IFNA(VLOOKUP($A24, $A$40:$O$199, 5, FALSE), ))), _xlfn.IFNA(VLOOKUP($A24, $A$40:$O$199, 5, FALSE), ), "")</f>
        <v/>
      </c>
      <c r="F24" s="136" t="str">
        <f>IF(NOT(ISBLANK(_xlfn.IFNA(VLOOKUP($A24, $A$40:$O$199, 6, FALSE), ))), _xlfn.IFNA(VLOOKUP($A24, $A$40:$O$199, 6, FALSE), ), "")</f>
        <v/>
      </c>
      <c r="G24" s="39" t="str">
        <f>IF(NOT(ISBLANK(_xlfn.IFNA(VLOOKUP($A24, $A$40:$O$199, 7, FALSE), ))), _xlfn.IFNA(VLOOKUP($A24, $A$40:$O$199, 7, FALSE), ), "")</f>
        <v/>
      </c>
      <c r="H24" s="73" t="str">
        <f>IF(NOT(ISBLANK(_xlfn.IFNA(VLOOKUP($A24, $A$40:$O$199, 8, FALSE), ))), _xlfn.IFNA(VLOOKUP($A24, $A$40:$O$199, 8, FALSE), ), "")</f>
        <v/>
      </c>
      <c r="I24" s="202" t="str">
        <f>IF(NOT(ISBLANK(_xlfn.IFNA(VLOOKUP($A24, $A$40:$O$199, 9, FALSE), ))), _xlfn.IFNA(VLOOKUP($A24, $A$40:$O$199, 9, FALSE), ), "")</f>
        <v/>
      </c>
      <c r="J24" s="125" t="str">
        <f>IF(NOT(ISBLANK(_xlfn.IFNA(VLOOKUP($A24, $A$40:$O$199, 10, FALSE), ))), _xlfn.IFNA(VLOOKUP($A24, $A$40:$O$199, 10, FALSE), ), "")</f>
        <v/>
      </c>
      <c r="K24" s="73" t="str">
        <f>IF(NOT(ISBLANK(_xlfn.IFNA(VLOOKUP($A24, $A$40:$O$199, 11, FALSE), ))), _xlfn.IFNA(VLOOKUP($A24, $A$40:$O$199, 11, FALSE), ), "")</f>
        <v/>
      </c>
      <c r="L24" s="136" t="str">
        <f>IF(NOT(ISBLANK(_xlfn.IFNA(VLOOKUP($A24, $A$40:$O$199, 12, FALSE), ))), _xlfn.IFNA(VLOOKUP($A24, $A$40:$O$199, 12, FALSE), ), "")</f>
        <v/>
      </c>
      <c r="M24" s="39" t="str">
        <f>IF(NOT(ISBLANK(_xlfn.IFNA(VLOOKUP($A24, $A$40:$O$199, 13, FALSE), ))), _xlfn.IFNA(VLOOKUP($A24, $A$40:$O$199, 13, FALSE), ), "")</f>
        <v/>
      </c>
      <c r="N24" s="73" t="str">
        <f>IF(NOT(ISBLANK(_xlfn.IFNA(VLOOKUP($A24, $A$40:$O$199, 14, FALSE), ))), _xlfn.IFNA(VLOOKUP($A24, $A$40:$O$199, 14, FALSE), ), "")</f>
        <v/>
      </c>
      <c r="O24" s="136" t="str">
        <f>IF(NOT(ISBLANK(_xlfn.IFNA(VLOOKUP($A24, $A$40:$O$199, 15, FALSE), ))), _xlfn.IFNA(VLOOKUP($A24, $A$40:$O$199, 15, FALSE), ), "")</f>
        <v/>
      </c>
      <c r="Q24" s="267"/>
      <c r="R24" s="267"/>
      <c r="S24" s="267"/>
    </row>
    <row r="25" spans="1:19" ht="17.25" customHeight="1" thickBot="1">
      <c r="A25" s="124" t="s">
        <v>232</v>
      </c>
      <c r="B25" s="125">
        <f>IF(NOT(ISBLANK(_xlfn.IFNA(VLOOKUP($A25, $A$40:$O$199, 2, FALSE), ))), _xlfn.IFNA(VLOOKUP($A25, $A$40:$O$199, 2, FALSE), ), "")</f>
        <v>150</v>
      </c>
      <c r="C25" s="73">
        <f>IF(NOT(ISBLANK(_xlfn.IFNA(VLOOKUP($A25, $A$40:$O$199, 3, FALSE), ))), _xlfn.IFNA(VLOOKUP($A25, $A$40:$O$199, 3, FALSE), ), "")</f>
        <v>1.3513513499999999E-2</v>
      </c>
      <c r="D25" s="125" t="str">
        <f>IF(NOT(ISBLANK(_xlfn.IFNA(VLOOKUP($A25, $A$40:$O$199, 4, FALSE), ))), _xlfn.IFNA(VLOOKUP($A25, $A$40:$O$199, 4, FALSE), ), "")</f>
        <v/>
      </c>
      <c r="E25" s="73" t="str">
        <f>IF(NOT(ISBLANK(_xlfn.IFNA(VLOOKUP($A25, $A$40:$O$199, 5, FALSE), ))), _xlfn.IFNA(VLOOKUP($A25, $A$40:$O$199, 5, FALSE), ), "")</f>
        <v/>
      </c>
      <c r="F25" s="136" t="str">
        <f>IF(NOT(ISBLANK(_xlfn.IFNA(VLOOKUP($A25, $A$40:$O$199, 6, FALSE), ))), _xlfn.IFNA(VLOOKUP($A25, $A$40:$O$199, 6, FALSE), ), "")</f>
        <v/>
      </c>
      <c r="G25" s="39" t="str">
        <f>IF(NOT(ISBLANK(_xlfn.IFNA(VLOOKUP($A25, $A$40:$O$199, 7, FALSE), ))), _xlfn.IFNA(VLOOKUP($A25, $A$40:$O$199, 7, FALSE), ), "")</f>
        <v/>
      </c>
      <c r="H25" s="73" t="str">
        <f>IF(NOT(ISBLANK(_xlfn.IFNA(VLOOKUP($A25, $A$40:$O$199, 8, FALSE), ))), _xlfn.IFNA(VLOOKUP($A25, $A$40:$O$199, 8, FALSE), ), "")</f>
        <v/>
      </c>
      <c r="I25" s="202" t="str">
        <f>IF(NOT(ISBLANK(_xlfn.IFNA(VLOOKUP($A25, $A$40:$O$199, 9, FALSE), ))), _xlfn.IFNA(VLOOKUP($A25, $A$40:$O$199, 9, FALSE), ), "")</f>
        <v/>
      </c>
      <c r="J25" s="125" t="str">
        <f>IF(NOT(ISBLANK(_xlfn.IFNA(VLOOKUP($A25, $A$40:$O$199, 10, FALSE), ))), _xlfn.IFNA(VLOOKUP($A25, $A$40:$O$199, 10, FALSE), ), "")</f>
        <v/>
      </c>
      <c r="K25" s="73" t="str">
        <f>IF(NOT(ISBLANK(_xlfn.IFNA(VLOOKUP($A25, $A$40:$O$199, 11, FALSE), ))), _xlfn.IFNA(VLOOKUP($A25, $A$40:$O$199, 11, FALSE), ), "")</f>
        <v/>
      </c>
      <c r="L25" s="136" t="str">
        <f>IF(NOT(ISBLANK(_xlfn.IFNA(VLOOKUP($A25, $A$40:$O$199, 12, FALSE), ))), _xlfn.IFNA(VLOOKUP($A25, $A$40:$O$199, 12, FALSE), ), "")</f>
        <v/>
      </c>
      <c r="M25" s="39" t="str">
        <f>IF(NOT(ISBLANK(_xlfn.IFNA(VLOOKUP($A25, $A$40:$O$199, 13, FALSE), ))), _xlfn.IFNA(VLOOKUP($A25, $A$40:$O$199, 13, FALSE), ), "")</f>
        <v/>
      </c>
      <c r="N25" s="73" t="str">
        <f>IF(NOT(ISBLANK(_xlfn.IFNA(VLOOKUP($A25, $A$40:$O$199, 14, FALSE), ))), _xlfn.IFNA(VLOOKUP($A25, $A$40:$O$199, 14, FALSE), ), "")</f>
        <v/>
      </c>
      <c r="O25" s="136" t="str">
        <f>IF(NOT(ISBLANK(_xlfn.IFNA(VLOOKUP($A25, $A$40:$O$199, 15, FALSE), ))), _xlfn.IFNA(VLOOKUP($A25, $A$40:$O$199, 15, FALSE), ), "")</f>
        <v/>
      </c>
      <c r="Q25" s="33"/>
      <c r="R25" s="33"/>
    </row>
    <row r="26" spans="1:19" ht="17.25" customHeight="1" thickBot="1">
      <c r="A26" s="129" t="s">
        <v>174</v>
      </c>
      <c r="B26" s="130">
        <f>IF(NOT(ISBLANK(_xlfn.IFNA(VLOOKUP($A26, $A$40:$O$199, 2, FALSE), ))), _xlfn.IFNA(VLOOKUP($A26, $A$40:$O$199, 2, FALSE), ), "")</f>
        <v>252</v>
      </c>
      <c r="C26" s="75">
        <f>IF(NOT(ISBLANK(_xlfn.IFNA(VLOOKUP($A26, $A$40:$O$199, 3, FALSE), ))), _xlfn.IFNA(VLOOKUP($A26, $A$40:$O$199, 3, FALSE), ), "")</f>
        <v>2.4390243900000001E-2</v>
      </c>
      <c r="D26" s="130" t="str">
        <f>IF(NOT(ISBLANK(_xlfn.IFNA(VLOOKUP($A26, $A$40:$O$199, 4, FALSE), ))), _xlfn.IFNA(VLOOKUP($A26, $A$40:$O$199, 4, FALSE), ), "")</f>
        <v/>
      </c>
      <c r="E26" s="75" t="str">
        <f>IF(NOT(ISBLANK(_xlfn.IFNA(VLOOKUP($A26, $A$40:$O$199, 5, FALSE), ))), _xlfn.IFNA(VLOOKUP($A26, $A$40:$O$199, 5, FALSE), ), "")</f>
        <v/>
      </c>
      <c r="F26" s="137" t="str">
        <f>IF(NOT(ISBLANK(_xlfn.IFNA(VLOOKUP($A26, $A$40:$O$199, 6, FALSE), ))), _xlfn.IFNA(VLOOKUP($A26, $A$40:$O$199, 6, FALSE), ), "")</f>
        <v/>
      </c>
      <c r="G26" s="37" t="str">
        <f>IF(NOT(ISBLANK(_xlfn.IFNA(VLOOKUP($A26, $A$40:$O$199, 7, FALSE), ))), _xlfn.IFNA(VLOOKUP($A26, $A$40:$O$199, 7, FALSE), ), "")</f>
        <v/>
      </c>
      <c r="H26" s="75" t="str">
        <f>IF(NOT(ISBLANK(_xlfn.IFNA(VLOOKUP($A26, $A$40:$O$199, 8, FALSE), ))), _xlfn.IFNA(VLOOKUP($A26, $A$40:$O$199, 8, FALSE), ), "")</f>
        <v/>
      </c>
      <c r="I26" s="207" t="str">
        <f>IF(NOT(ISBLANK(_xlfn.IFNA(VLOOKUP($A26, $A$40:$O$199, 9, FALSE), ))), _xlfn.IFNA(VLOOKUP($A26, $A$40:$O$199, 9, FALSE), ), "")</f>
        <v/>
      </c>
      <c r="J26" s="130" t="str">
        <f>IF(NOT(ISBLANK(_xlfn.IFNA(VLOOKUP($A26, $A$40:$O$199, 10, FALSE), ))), _xlfn.IFNA(VLOOKUP($A26, $A$40:$O$199, 10, FALSE), ), "")</f>
        <v/>
      </c>
      <c r="K26" s="75" t="str">
        <f>IF(NOT(ISBLANK(_xlfn.IFNA(VLOOKUP($A26, $A$40:$O$199, 11, FALSE), ))), _xlfn.IFNA(VLOOKUP($A26, $A$40:$O$199, 11, FALSE), ), "")</f>
        <v/>
      </c>
      <c r="L26" s="137" t="str">
        <f>IF(NOT(ISBLANK(_xlfn.IFNA(VLOOKUP($A26, $A$40:$O$199, 12, FALSE), ))), _xlfn.IFNA(VLOOKUP($A26, $A$40:$O$199, 12, FALSE), ), "")</f>
        <v/>
      </c>
      <c r="M26" s="37" t="str">
        <f>IF(NOT(ISBLANK(_xlfn.IFNA(VLOOKUP($A26, $A$40:$O$199, 13, FALSE), ))), _xlfn.IFNA(VLOOKUP($A26, $A$40:$O$199, 13, FALSE), ), "")</f>
        <v/>
      </c>
      <c r="N26" s="75" t="str">
        <f>IF(NOT(ISBLANK(_xlfn.IFNA(VLOOKUP($A26, $A$40:$O$199, 14, FALSE), ))), _xlfn.IFNA(VLOOKUP($A26, $A$40:$O$199, 14, FALSE), ), "")</f>
        <v/>
      </c>
      <c r="O26" s="137" t="str">
        <f>IF(NOT(ISBLANK(_xlfn.IFNA(VLOOKUP($A26, $A$40:$O$199, 15, FALSE), ))), _xlfn.IFNA(VLOOKUP($A26, $A$40:$O$199, 15, FALSE), ), "")</f>
        <v/>
      </c>
      <c r="Q26" s="276"/>
      <c r="R26" s="277"/>
      <c r="S26" s="278"/>
    </row>
    <row r="27" spans="1:19" ht="17.25" customHeight="1">
      <c r="A27" s="122" t="s">
        <v>112</v>
      </c>
      <c r="B27" s="123">
        <f>IF(NOT(ISBLANK(_xlfn.IFNA(VLOOKUP($A27, $A$40:$O$199, 2, FALSE), ))), _xlfn.IFNA(VLOOKUP($A27, $A$40:$O$199, 2, FALSE), ), "")</f>
        <v>230</v>
      </c>
      <c r="C27" s="72">
        <f>IF(NOT(ISBLANK(_xlfn.IFNA(VLOOKUP($A27, $A$40:$O$199, 3, FALSE), ))), _xlfn.IFNA(VLOOKUP($A27, $A$40:$O$199, 3, FALSE), ), "")</f>
        <v>-1.28755365E-2</v>
      </c>
      <c r="D27" s="123" t="str">
        <f>IF(NOT(ISBLANK(_xlfn.IFNA(VLOOKUP($A27, $A$40:$O$199, 4, FALSE), ))), _xlfn.IFNA(VLOOKUP($A27, $A$40:$O$199, 4, FALSE), ), "")</f>
        <v/>
      </c>
      <c r="E27" s="72" t="str">
        <f>IF(NOT(ISBLANK(_xlfn.IFNA(VLOOKUP($A27, $A$40:$O$199, 5, FALSE), ))), _xlfn.IFNA(VLOOKUP($A27, $A$40:$O$199, 5, FALSE), ), "")</f>
        <v/>
      </c>
      <c r="F27" s="140" t="str">
        <f>IF(NOT(ISBLANK(_xlfn.IFNA(VLOOKUP($A27, $A$40:$O$199, 6, FALSE), ))), _xlfn.IFNA(VLOOKUP($A27, $A$40:$O$199, 6, FALSE), ), "")</f>
        <v/>
      </c>
      <c r="G27" s="38" t="str">
        <f>IF(NOT(ISBLANK(_xlfn.IFNA(VLOOKUP($A27, $A$40:$O$199, 7, FALSE), ))), _xlfn.IFNA(VLOOKUP($A27, $A$40:$O$199, 7, FALSE), ), "")</f>
        <v/>
      </c>
      <c r="H27" s="72" t="str">
        <f>IF(NOT(ISBLANK(_xlfn.IFNA(VLOOKUP($A27, $A$40:$O$199, 8, FALSE), ))), _xlfn.IFNA(VLOOKUP($A27, $A$40:$O$199, 8, FALSE), ), "")</f>
        <v/>
      </c>
      <c r="I27" s="201" t="str">
        <f>IF(NOT(ISBLANK(_xlfn.IFNA(VLOOKUP($A27, $A$40:$O$199, 9, FALSE), ))), _xlfn.IFNA(VLOOKUP($A27, $A$40:$O$199, 9, FALSE), ), "")</f>
        <v/>
      </c>
      <c r="J27" s="123" t="str">
        <f>IF(NOT(ISBLANK(_xlfn.IFNA(VLOOKUP($A27, $A$40:$O$199, 10, FALSE), ))), _xlfn.IFNA(VLOOKUP($A27, $A$40:$O$199, 10, FALSE), ), "")</f>
        <v/>
      </c>
      <c r="K27" s="72" t="str">
        <f>IF(NOT(ISBLANK(_xlfn.IFNA(VLOOKUP($A27, $A$40:$O$199, 11, FALSE), ))), _xlfn.IFNA(VLOOKUP($A27, $A$40:$O$199, 11, FALSE), ), "")</f>
        <v/>
      </c>
      <c r="L27" s="140" t="str">
        <f>IF(NOT(ISBLANK(_xlfn.IFNA(VLOOKUP($A27, $A$40:$O$199, 12, FALSE), ))), _xlfn.IFNA(VLOOKUP($A27, $A$40:$O$199, 12, FALSE), ), "")</f>
        <v/>
      </c>
      <c r="M27" s="38" t="str">
        <f>IF(NOT(ISBLANK(_xlfn.IFNA(VLOOKUP($A27, $A$40:$O$199, 13, FALSE), ))), _xlfn.IFNA(VLOOKUP($A27, $A$40:$O$199, 13, FALSE), ), "")</f>
        <v/>
      </c>
      <c r="N27" s="72" t="str">
        <f>IF(NOT(ISBLANK(_xlfn.IFNA(VLOOKUP($A27, $A$40:$O$199, 14, FALSE), ))), _xlfn.IFNA(VLOOKUP($A27, $A$40:$O$199, 14, FALSE), ), "")</f>
        <v/>
      </c>
      <c r="O27" s="140" t="str">
        <f>IF(NOT(ISBLANK(_xlfn.IFNA(VLOOKUP($A27, $A$40:$O$199, 15, FALSE), ))), _xlfn.IFNA(VLOOKUP($A27, $A$40:$O$199, 15, FALSE), ), "")</f>
        <v/>
      </c>
      <c r="Q27" s="279"/>
      <c r="R27" s="280"/>
      <c r="S27" s="281"/>
    </row>
    <row r="28" spans="1:19" ht="17.25" customHeight="1" thickBot="1">
      <c r="A28" s="124" t="s">
        <v>122</v>
      </c>
      <c r="B28" s="125">
        <f>IF(NOT(ISBLANK(_xlfn.IFNA(VLOOKUP($A28, $A$40:$O$199, 2, FALSE), ))), _xlfn.IFNA(VLOOKUP($A28, $A$40:$O$199, 2, FALSE), ), "")</f>
        <v>104</v>
      </c>
      <c r="C28" s="73">
        <f>IF(NOT(ISBLANK(_xlfn.IFNA(VLOOKUP($A28, $A$40:$O$199, 3, FALSE), ))), _xlfn.IFNA(VLOOKUP($A28, $A$40:$O$199, 3, FALSE), ), "")</f>
        <v>-9.5238094999999991E-3</v>
      </c>
      <c r="D28" s="125" t="str">
        <f>IF(NOT(ISBLANK(_xlfn.IFNA(VLOOKUP($A28, $A$40:$O$199, 4, FALSE), ))), _xlfn.IFNA(VLOOKUP($A28, $A$40:$O$199, 4, FALSE), ), "")</f>
        <v/>
      </c>
      <c r="E28" s="73" t="str">
        <f>IF(NOT(ISBLANK(_xlfn.IFNA(VLOOKUP($A28, $A$40:$O$199, 5, FALSE), ))), _xlfn.IFNA(VLOOKUP($A28, $A$40:$O$199, 5, FALSE), ), "")</f>
        <v/>
      </c>
      <c r="F28" s="136" t="str">
        <f>IF(NOT(ISBLANK(_xlfn.IFNA(VLOOKUP($A28, $A$40:$O$199, 6, FALSE), ))), _xlfn.IFNA(VLOOKUP($A28, $A$40:$O$199, 6, FALSE), ), "")</f>
        <v/>
      </c>
      <c r="G28" s="39" t="str">
        <f>IF(NOT(ISBLANK(_xlfn.IFNA(VLOOKUP($A28, $A$40:$O$199, 7, FALSE), ))), _xlfn.IFNA(VLOOKUP($A28, $A$40:$O$199, 7, FALSE), ), "")</f>
        <v/>
      </c>
      <c r="H28" s="73" t="str">
        <f>IF(NOT(ISBLANK(_xlfn.IFNA(VLOOKUP($A28, $A$40:$O$199, 8, FALSE), ))), _xlfn.IFNA(VLOOKUP($A28, $A$40:$O$199, 8, FALSE), ), "")</f>
        <v/>
      </c>
      <c r="I28" s="202" t="str">
        <f>IF(NOT(ISBLANK(_xlfn.IFNA(VLOOKUP($A28, $A$40:$O$199, 9, FALSE), ))), _xlfn.IFNA(VLOOKUP($A28, $A$40:$O$199, 9, FALSE), ), "")</f>
        <v/>
      </c>
      <c r="J28" s="125" t="str">
        <f>IF(NOT(ISBLANK(_xlfn.IFNA(VLOOKUP($A28, $A$40:$O$199, 10, FALSE), ))), _xlfn.IFNA(VLOOKUP($A28, $A$40:$O$199, 10, FALSE), ), "")</f>
        <v/>
      </c>
      <c r="K28" s="73" t="str">
        <f>IF(NOT(ISBLANK(_xlfn.IFNA(VLOOKUP($A28, $A$40:$O$199, 11, FALSE), ))), _xlfn.IFNA(VLOOKUP($A28, $A$40:$O$199, 11, FALSE), ), "")</f>
        <v/>
      </c>
      <c r="L28" s="136" t="str">
        <f>IF(NOT(ISBLANK(_xlfn.IFNA(VLOOKUP($A28, $A$40:$O$199, 12, FALSE), ))), _xlfn.IFNA(VLOOKUP($A28, $A$40:$O$199, 12, FALSE), ), "")</f>
        <v/>
      </c>
      <c r="M28" s="39" t="str">
        <f>IF(NOT(ISBLANK(_xlfn.IFNA(VLOOKUP($A28, $A$40:$O$199, 13, FALSE), ))), _xlfn.IFNA(VLOOKUP($A28, $A$40:$O$199, 13, FALSE), ), "")</f>
        <v/>
      </c>
      <c r="N28" s="73" t="str">
        <f>IF(NOT(ISBLANK(_xlfn.IFNA(VLOOKUP($A28, $A$40:$O$199, 14, FALSE), ))), _xlfn.IFNA(VLOOKUP($A28, $A$40:$O$199, 14, FALSE), ), "")</f>
        <v/>
      </c>
      <c r="O28" s="136" t="str">
        <f>IF(NOT(ISBLANK(_xlfn.IFNA(VLOOKUP($A28, $A$40:$O$199, 15, FALSE), ))), _xlfn.IFNA(VLOOKUP($A28, $A$40:$O$199, 15, FALSE), ), "")</f>
        <v/>
      </c>
      <c r="Q28" s="282"/>
      <c r="R28" s="283"/>
      <c r="S28" s="284"/>
    </row>
    <row r="29" spans="1:19" ht="17.25" customHeight="1" thickBot="1">
      <c r="A29" s="124" t="s">
        <v>202</v>
      </c>
      <c r="B29" s="125">
        <f t="shared" ref="B29:B36" si="0">IF(NOT(ISBLANK(_xlfn.IFNA(VLOOKUP($A29, $A$40:$O$199, 2, FALSE), ))), _xlfn.IFNA(VLOOKUP($A29, $A$40:$O$199, 2, FALSE), ), "")</f>
        <v>166</v>
      </c>
      <c r="C29" s="73">
        <f t="shared" ref="C29:C36" si="1">IF(NOT(ISBLANK(_xlfn.IFNA(VLOOKUP($A29, $A$40:$O$199, 3, FALSE), ))), _xlfn.IFNA(VLOOKUP($A29, $A$40:$O$199, 3, FALSE), ), "")</f>
        <v>-2.35294118E-2</v>
      </c>
      <c r="D29" s="125" t="str">
        <f t="shared" ref="D29:D36" si="2">IF(NOT(ISBLANK(_xlfn.IFNA(VLOOKUP($A29, $A$40:$O$199, 4, FALSE), ))), _xlfn.IFNA(VLOOKUP($A29, $A$40:$O$199, 4, FALSE), ), "")</f>
        <v/>
      </c>
      <c r="E29" s="73" t="str">
        <f t="shared" ref="E29:E36" si="3">IF(NOT(ISBLANK(_xlfn.IFNA(VLOOKUP($A29, $A$40:$O$199, 5, FALSE), ))), _xlfn.IFNA(VLOOKUP($A29, $A$40:$O$199, 5, FALSE), ), "")</f>
        <v/>
      </c>
      <c r="F29" s="136" t="str">
        <f t="shared" ref="F29:F36" si="4">IF(NOT(ISBLANK(_xlfn.IFNA(VLOOKUP($A29, $A$40:$O$199, 6, FALSE), ))), _xlfn.IFNA(VLOOKUP($A29, $A$40:$O$199, 6, FALSE), ), "")</f>
        <v/>
      </c>
      <c r="G29" s="39" t="str">
        <f t="shared" ref="G29:G36" si="5">IF(NOT(ISBLANK(_xlfn.IFNA(VLOOKUP($A29, $A$40:$O$199, 7, FALSE), ))), _xlfn.IFNA(VLOOKUP($A29, $A$40:$O$199, 7, FALSE), ), "")</f>
        <v/>
      </c>
      <c r="H29" s="73" t="str">
        <f t="shared" ref="H29:H36" si="6">IF(NOT(ISBLANK(_xlfn.IFNA(VLOOKUP($A29, $A$40:$O$199, 8, FALSE), ))), _xlfn.IFNA(VLOOKUP($A29, $A$40:$O$199, 8, FALSE), ), "")</f>
        <v/>
      </c>
      <c r="I29" s="202" t="str">
        <f t="shared" ref="I29:I36" si="7">IF(NOT(ISBLANK(_xlfn.IFNA(VLOOKUP($A29, $A$40:$O$199, 9, FALSE), ))), _xlfn.IFNA(VLOOKUP($A29, $A$40:$O$199, 9, FALSE), ), "")</f>
        <v/>
      </c>
      <c r="J29" s="125" t="str">
        <f t="shared" ref="J29:J36" si="8">IF(NOT(ISBLANK(_xlfn.IFNA(VLOOKUP($A29, $A$40:$O$199, 10, FALSE), ))), _xlfn.IFNA(VLOOKUP($A29, $A$40:$O$199, 10, FALSE), ), "")</f>
        <v/>
      </c>
      <c r="K29" s="73" t="str">
        <f t="shared" ref="K29:K36" si="9">IF(NOT(ISBLANK(_xlfn.IFNA(VLOOKUP($A29, $A$40:$O$199, 11, FALSE), ))), _xlfn.IFNA(VLOOKUP($A29, $A$40:$O$199, 11, FALSE), ), "")</f>
        <v/>
      </c>
      <c r="L29" s="136" t="str">
        <f t="shared" ref="L29:L36" si="10">IF(NOT(ISBLANK(_xlfn.IFNA(VLOOKUP($A29, $A$40:$O$199, 12, FALSE), ))), _xlfn.IFNA(VLOOKUP($A29, $A$40:$O$199, 12, FALSE), ), "")</f>
        <v/>
      </c>
      <c r="M29" s="39" t="str">
        <f t="shared" ref="M29:M36" si="11">IF(NOT(ISBLANK(_xlfn.IFNA(VLOOKUP($A29, $A$40:$O$199, 13, FALSE), ))), _xlfn.IFNA(VLOOKUP($A29, $A$40:$O$199, 13, FALSE), ), "")</f>
        <v/>
      </c>
      <c r="N29" s="73" t="str">
        <f t="shared" ref="N29:N36" si="12">IF(NOT(ISBLANK(_xlfn.IFNA(VLOOKUP($A29, $A$40:$O$199, 14, FALSE), ))), _xlfn.IFNA(VLOOKUP($A29, $A$40:$O$199, 14, FALSE), ), "")</f>
        <v/>
      </c>
      <c r="O29" s="136" t="str">
        <f t="shared" ref="O29:O36" si="13">IF(NOT(ISBLANK(_xlfn.IFNA(VLOOKUP($A29, $A$40:$O$199, 15, FALSE), ))), _xlfn.IFNA(VLOOKUP($A29, $A$40:$O$199, 15, FALSE), ), "")</f>
        <v/>
      </c>
      <c r="Q29" s="267"/>
      <c r="R29" s="267"/>
      <c r="S29" s="267"/>
    </row>
    <row r="30" spans="1:19" ht="17.25" customHeight="1" thickBot="1">
      <c r="A30" s="124" t="s">
        <v>238</v>
      </c>
      <c r="B30" s="125">
        <f t="shared" si="0"/>
        <v>242</v>
      </c>
      <c r="C30" s="73">
        <f t="shared" si="1"/>
        <v>-4.1000000000000003E-3</v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62"/>
      <c r="R30" s="262"/>
      <c r="S30" s="262"/>
    </row>
    <row r="31" spans="1:19" ht="17.25" customHeight="1" thickBot="1">
      <c r="A31" s="126" t="s">
        <v>210</v>
      </c>
      <c r="B31" s="127">
        <f t="shared" si="0"/>
        <v>165</v>
      </c>
      <c r="C31" s="74">
        <f t="shared" si="1"/>
        <v>-6.0240963999999998E-3</v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62"/>
      <c r="R31" s="262"/>
      <c r="S31" s="262"/>
    </row>
    <row r="32" spans="1:19" ht="17.25" customHeight="1" thickBot="1">
      <c r="A32" s="124" t="s">
        <v>212</v>
      </c>
      <c r="B32" s="128">
        <f t="shared" si="0"/>
        <v>127</v>
      </c>
      <c r="C32" s="76">
        <f t="shared" si="1"/>
        <v>0</v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67"/>
      <c r="R32" s="267"/>
      <c r="S32" s="267"/>
    </row>
    <row r="33" spans="1:19" ht="17.25" customHeight="1" thickBot="1">
      <c r="A33" s="124" t="s">
        <v>226</v>
      </c>
      <c r="B33" s="125">
        <f t="shared" si="0"/>
        <v>431</v>
      </c>
      <c r="C33" s="73">
        <f t="shared" si="1"/>
        <v>-4.6189376000000002E-3</v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67"/>
      <c r="R33" s="267"/>
      <c r="S33" s="267"/>
    </row>
    <row r="34" spans="1:19" ht="17.25" customHeight="1" thickBot="1">
      <c r="A34" s="124" t="s">
        <v>236</v>
      </c>
      <c r="B34" s="125">
        <f t="shared" si="0"/>
        <v>69.099999999999994</v>
      </c>
      <c r="C34" s="73">
        <f t="shared" si="1"/>
        <v>-4.2936288099999997E-2</v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67"/>
      <c r="R34" s="267"/>
      <c r="S34" s="267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89"/>
      <c r="R35" s="290"/>
      <c r="S35" s="291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92"/>
      <c r="R36" s="293"/>
      <c r="S36" s="294"/>
    </row>
    <row r="37" spans="1:19" ht="17.25" customHeight="1" thickBot="1">
      <c r="A37" s="131" t="s">
        <v>42</v>
      </c>
      <c r="B37" s="300">
        <v>150000</v>
      </c>
      <c r="C37" s="301"/>
      <c r="D37" s="131" t="s">
        <v>43</v>
      </c>
      <c r="E37" s="236">
        <f>IF(COUNT(E17:E36), SUM(E17:E36) / COUNT(E17:E36), 0)</f>
        <v>0</v>
      </c>
      <c r="F37" s="208">
        <f>SUM(F17:F36)</f>
        <v>0</v>
      </c>
      <c r="G37" s="131" t="s">
        <v>43</v>
      </c>
      <c r="H37" s="236">
        <f>IF(COUNT(H17:H36), SUM(H17:H36) / COUNT(H17:H36), 0)</f>
        <v>0</v>
      </c>
      <c r="I37" s="208">
        <f>SUM(I17:I36)</f>
        <v>0</v>
      </c>
      <c r="J37" s="131" t="s">
        <v>43</v>
      </c>
      <c r="K37" s="236">
        <f>IF(COUNT(K17:K36), SUM(K17:K36) / COUNT(K17:K36), 0)</f>
        <v>0</v>
      </c>
      <c r="L37" s="208">
        <f>SUM(L17:L36)</f>
        <v>0</v>
      </c>
      <c r="M37" s="131" t="s">
        <v>43</v>
      </c>
      <c r="N37" s="236">
        <f>IF(COUNT(N17:N36), SUM(N17:N36) / COUNT(N17:N36), 0)</f>
        <v>0</v>
      </c>
      <c r="O37" s="208">
        <f>SUM(O17:O36)</f>
        <v>0</v>
      </c>
      <c r="Q37" s="295"/>
      <c r="R37" s="296"/>
      <c r="S37" s="297"/>
    </row>
    <row r="38" spans="1:19" ht="17.25" customHeight="1"/>
    <row r="39" spans="1:19" ht="17.25" customHeight="1" thickBot="1"/>
    <row r="40" spans="1:19" ht="17.25" customHeight="1" thickBot="1">
      <c r="A40" s="241" t="s">
        <v>44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3"/>
      <c r="Q40" s="262"/>
      <c r="R40" s="262"/>
      <c r="S40" s="262"/>
    </row>
    <row r="41" spans="1:19" ht="17.25" customHeight="1" thickBot="1">
      <c r="A41" s="233" t="s">
        <v>298</v>
      </c>
      <c r="B41" s="241" t="s">
        <v>36</v>
      </c>
      <c r="C41" s="243"/>
      <c r="D41" s="241" t="s">
        <v>58</v>
      </c>
      <c r="E41" s="242"/>
      <c r="F41" s="243"/>
      <c r="G41" s="268">
        <f>_xlfn.IFNA(VLOOKUP(B41, 현재가테이블!$B$2:$D$200, 2, FALSE), "-")</f>
        <v>62017000</v>
      </c>
      <c r="H41" s="269"/>
      <c r="I41" s="270"/>
      <c r="J41" s="241" t="s">
        <v>59</v>
      </c>
      <c r="K41" s="242"/>
      <c r="L41" s="243"/>
      <c r="M41" s="271">
        <f>_xlfn.IFNA(VLOOKUP(B41, 현재가테이블!$B$2:$D$200, 3, FALSE), "-")</f>
        <v>-1.6680144000000001E-2</v>
      </c>
      <c r="N41" s="272"/>
      <c r="O41" s="273"/>
      <c r="Q41" s="262"/>
      <c r="R41" s="262"/>
      <c r="S41" s="262"/>
    </row>
    <row r="42" spans="1:19" ht="17.25" customHeight="1" thickBot="1">
      <c r="A42" s="302" t="s">
        <v>55</v>
      </c>
      <c r="B42" s="304" t="str">
        <f>TEXT($G$1, "[$-ko-KR]yyyy-mm-dd(ddd) ") &amp; "오전 00:00"</f>
        <v>2021-05-15(토) 오전 00:00</v>
      </c>
      <c r="C42" s="305"/>
      <c r="D42" s="241" t="str">
        <f>TEXT($G$1, "[$-ko-KR]yyyy-mm-dd(ddd) ") &amp; "오후 14:00"</f>
        <v>2021-05-15(토) 오후 14:00</v>
      </c>
      <c r="E42" s="242"/>
      <c r="F42" s="243"/>
      <c r="G42" s="241" t="str">
        <f>TEXT($G$1, "[$-ko-KR]yyyy-mm-dd(ddd) ") &amp; "오후 19:00"</f>
        <v>2021-05-15(토) 오후 19:00</v>
      </c>
      <c r="H42" s="242"/>
      <c r="I42" s="243"/>
      <c r="J42" s="241" t="str">
        <f>TEXT($G$1, "[$-ko-KR]yyyy-mm-dd(ddd) ") &amp; "오후 21:00"</f>
        <v>2021-05-15(토) 오후 21:00</v>
      </c>
      <c r="K42" s="242"/>
      <c r="L42" s="243"/>
      <c r="M42" s="241" t="str">
        <f>TEXT($G$1+1, "[$-ko-KR]yyyy-mm-dd(ddd) ") &amp; "오전 00:00"</f>
        <v>2021-05-16(일) 오전 00:00</v>
      </c>
      <c r="N42" s="242"/>
      <c r="O42" s="243"/>
      <c r="Q42" s="262"/>
      <c r="R42" s="262"/>
      <c r="S42" s="262"/>
    </row>
    <row r="43" spans="1:19" ht="17.25" customHeight="1" thickBot="1">
      <c r="A43" s="303"/>
      <c r="B43" s="120" t="s">
        <v>58</v>
      </c>
      <c r="C43" s="121" t="s">
        <v>59</v>
      </c>
      <c r="D43" s="120" t="s">
        <v>58</v>
      </c>
      <c r="E43" s="121" t="s">
        <v>299</v>
      </c>
      <c r="F43" s="240" t="s">
        <v>300</v>
      </c>
      <c r="G43" s="233" t="s">
        <v>58</v>
      </c>
      <c r="H43" s="234" t="s">
        <v>299</v>
      </c>
      <c r="I43" s="235" t="s">
        <v>300</v>
      </c>
      <c r="J43" s="121" t="s">
        <v>58</v>
      </c>
      <c r="K43" s="121" t="s">
        <v>299</v>
      </c>
      <c r="L43" s="238" t="s">
        <v>300</v>
      </c>
      <c r="M43" s="120" t="s">
        <v>58</v>
      </c>
      <c r="N43" s="121" t="s">
        <v>299</v>
      </c>
      <c r="O43" s="239" t="s">
        <v>300</v>
      </c>
      <c r="Q43" s="267"/>
      <c r="R43" s="267"/>
      <c r="S43" s="267"/>
    </row>
    <row r="44" spans="1:19" ht="17.25" customHeight="1" thickBot="1">
      <c r="A44" s="122" t="s">
        <v>186</v>
      </c>
      <c r="B44" s="123">
        <v>23.4</v>
      </c>
      <c r="C44" s="72">
        <v>0.1090047393</v>
      </c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62"/>
      <c r="R44" s="262"/>
      <c r="S44" s="262"/>
    </row>
    <row r="45" spans="1:19" ht="17.25" customHeight="1" thickBot="1">
      <c r="A45" s="124" t="s">
        <v>126</v>
      </c>
      <c r="B45" s="125">
        <v>52</v>
      </c>
      <c r="C45" s="73">
        <v>5.9063136500000002E-2</v>
      </c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62"/>
      <c r="R45" s="262"/>
      <c r="S45" s="262"/>
    </row>
    <row r="46" spans="1:19" ht="17.25" customHeight="1" thickBot="1">
      <c r="A46" s="124" t="s">
        <v>152</v>
      </c>
      <c r="B46" s="125">
        <v>39.9</v>
      </c>
      <c r="C46" s="73">
        <v>2.8350515499999999E-2</v>
      </c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267"/>
      <c r="R46" s="267"/>
      <c r="S46" s="267"/>
    </row>
    <row r="47" spans="1:19" ht="17.25" customHeight="1" thickBot="1">
      <c r="A47" s="124" t="s">
        <v>220</v>
      </c>
      <c r="B47" s="125">
        <v>17.899999999999999</v>
      </c>
      <c r="C47" s="73">
        <v>2.2857142899999999E-2</v>
      </c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267"/>
      <c r="R47" s="267"/>
      <c r="S47" s="267"/>
    </row>
    <row r="48" spans="1:19" ht="17.25" customHeight="1" thickBot="1">
      <c r="A48" s="126" t="s">
        <v>222</v>
      </c>
      <c r="B48" s="127">
        <v>16.100000000000001</v>
      </c>
      <c r="C48" s="74">
        <v>1.2578616399999999E-2</v>
      </c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267"/>
      <c r="R48" s="267"/>
      <c r="S48" s="267"/>
    </row>
    <row r="49" spans="1:19" ht="17.25" customHeight="1" thickBot="1">
      <c r="A49" s="124" t="s">
        <v>65</v>
      </c>
      <c r="B49" s="128">
        <v>64.400000000000006</v>
      </c>
      <c r="C49" s="76">
        <v>1.0989011E-2</v>
      </c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67"/>
      <c r="R49" s="267"/>
      <c r="S49" s="267"/>
    </row>
    <row r="50" spans="1:19" ht="17.25" customHeight="1" thickBot="1">
      <c r="A50" s="124" t="s">
        <v>198</v>
      </c>
      <c r="B50" s="125">
        <v>24.1</v>
      </c>
      <c r="C50" s="73">
        <v>8.3682007999999995E-3</v>
      </c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67"/>
      <c r="R50" s="267"/>
      <c r="S50" s="267"/>
    </row>
    <row r="51" spans="1:19" ht="17.25" customHeight="1" thickBot="1">
      <c r="A51" s="124" t="s">
        <v>228</v>
      </c>
      <c r="B51" s="125">
        <v>16</v>
      </c>
      <c r="C51" s="73">
        <v>6.2893081999999996E-3</v>
      </c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267"/>
      <c r="R51" s="267"/>
      <c r="S51" s="267"/>
    </row>
    <row r="52" spans="1:19" ht="17.25" customHeight="1" thickBot="1">
      <c r="A52" s="124" t="s">
        <v>196</v>
      </c>
      <c r="B52" s="125">
        <v>17.8</v>
      </c>
      <c r="C52" s="73">
        <v>5.6497175E-3</v>
      </c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 t="s">
        <v>154</v>
      </c>
      <c r="B53" s="130">
        <v>17.8</v>
      </c>
      <c r="C53" s="75">
        <v>5.6497175E-3</v>
      </c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276"/>
      <c r="R53" s="277"/>
      <c r="S53" s="278"/>
    </row>
    <row r="54" spans="1:19" ht="17.25" customHeight="1">
      <c r="A54" s="122" t="s">
        <v>218</v>
      </c>
      <c r="B54" s="123">
        <v>23.6</v>
      </c>
      <c r="C54" s="72">
        <v>4.2553191000000001E-3</v>
      </c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79"/>
      <c r="R54" s="280"/>
      <c r="S54" s="281"/>
    </row>
    <row r="55" spans="1:19" ht="17.25" customHeight="1" thickBot="1">
      <c r="A55" s="124" t="s">
        <v>266</v>
      </c>
      <c r="B55" s="125">
        <v>85.5</v>
      </c>
      <c r="C55" s="73">
        <v>1.1709602E-3</v>
      </c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282"/>
      <c r="R55" s="283"/>
      <c r="S55" s="284"/>
    </row>
    <row r="56" spans="1:19" ht="17.25" customHeight="1" thickBot="1">
      <c r="A56" s="124" t="s">
        <v>100</v>
      </c>
      <c r="B56" s="125">
        <v>7.53</v>
      </c>
      <c r="C56" s="73">
        <v>-1.3262599000000001E-3</v>
      </c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267"/>
      <c r="R56" s="267"/>
      <c r="S56" s="267"/>
    </row>
    <row r="57" spans="1:19" ht="17.25" customHeight="1" thickBot="1">
      <c r="A57" s="124" t="s">
        <v>254</v>
      </c>
      <c r="B57" s="125">
        <v>72.900000000000006</v>
      </c>
      <c r="C57" s="73">
        <v>-4.0983607000000003E-3</v>
      </c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262"/>
      <c r="R57" s="262"/>
      <c r="S57" s="262"/>
    </row>
    <row r="58" spans="1:19" ht="17.25" customHeight="1" thickBot="1">
      <c r="A58" s="126" t="s">
        <v>214</v>
      </c>
      <c r="B58" s="127">
        <v>19.5</v>
      </c>
      <c r="C58" s="74">
        <v>-1.51515152E-2</v>
      </c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262"/>
      <c r="R58" s="262"/>
      <c r="S58" s="262"/>
    </row>
    <row r="59" spans="1:19" ht="17.25" customHeight="1" thickBot="1">
      <c r="A59" s="124" t="s">
        <v>72</v>
      </c>
      <c r="B59" s="128">
        <v>31.7</v>
      </c>
      <c r="C59" s="76">
        <v>-1.5527950299999999E-2</v>
      </c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67"/>
      <c r="R59" s="267"/>
      <c r="S59" s="267"/>
    </row>
    <row r="60" spans="1:19" ht="17.25" customHeight="1" thickBot="1">
      <c r="A60" s="124" t="s">
        <v>268</v>
      </c>
      <c r="B60" s="125">
        <v>79.5</v>
      </c>
      <c r="C60" s="73">
        <v>-2.0935960600000001E-2</v>
      </c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67"/>
      <c r="R60" s="267"/>
      <c r="S60" s="267"/>
    </row>
    <row r="61" spans="1:19" ht="17.25" customHeight="1" thickBot="1">
      <c r="A61" s="124" t="s">
        <v>236</v>
      </c>
      <c r="B61" s="125">
        <v>69.099999999999994</v>
      </c>
      <c r="C61" s="73">
        <v>-4.2936288099999997E-2</v>
      </c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267"/>
      <c r="R61" s="267"/>
      <c r="S61" s="267"/>
    </row>
    <row r="62" spans="1:19" ht="17.25" customHeight="1">
      <c r="A62" s="124" t="s">
        <v>172</v>
      </c>
      <c r="B62" s="125">
        <v>23</v>
      </c>
      <c r="C62" s="73">
        <v>-5.7377049200000002E-2</v>
      </c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289"/>
      <c r="R62" s="290"/>
      <c r="S62" s="291"/>
    </row>
    <row r="63" spans="1:19" ht="17.25" customHeight="1" thickBot="1">
      <c r="A63" s="129" t="s">
        <v>407</v>
      </c>
      <c r="B63" s="130">
        <v>242</v>
      </c>
      <c r="C63" s="75">
        <v>-4.1000000000000003E-3</v>
      </c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292"/>
      <c r="R63" s="293"/>
      <c r="S63" s="294"/>
    </row>
    <row r="64" spans="1:19" ht="17.25" customHeight="1" thickBot="1">
      <c r="A64" s="131" t="s">
        <v>301</v>
      </c>
      <c r="B64" s="300">
        <f>$B$37</f>
        <v>150000</v>
      </c>
      <c r="C64" s="301"/>
      <c r="D64" s="131" t="s">
        <v>302</v>
      </c>
      <c r="E64" s="236">
        <f>IF(COUNT(E44:E63), SUM(E44:E63) / COUNT(E44:E63), 0)</f>
        <v>0</v>
      </c>
      <c r="F64" s="208">
        <f>SUM(F44:F63)</f>
        <v>0</v>
      </c>
      <c r="G64" s="131" t="s">
        <v>302</v>
      </c>
      <c r="H64" s="236">
        <f>IF(COUNT(H44:H63), SUM(H44:H63) / COUNT(H44:H63), 0)</f>
        <v>0</v>
      </c>
      <c r="I64" s="208">
        <f>SUM(I44:I63)</f>
        <v>0</v>
      </c>
      <c r="J64" s="131" t="s">
        <v>302</v>
      </c>
      <c r="K64" s="236">
        <f>IF(COUNT(K44:K63), SUM(K44:K63) / COUNT(K44:K63), 0)</f>
        <v>0</v>
      </c>
      <c r="L64" s="208">
        <f>SUM(L44:L63)</f>
        <v>0</v>
      </c>
      <c r="M64" s="131" t="s">
        <v>302</v>
      </c>
      <c r="N64" s="236">
        <f>IF(COUNT(N44:N63), SUM(N44:N63) / COUNT(N44:N63), 0)</f>
        <v>0</v>
      </c>
      <c r="O64" s="208">
        <f>SUM(O44:O63)</f>
        <v>0</v>
      </c>
      <c r="Q64" s="295"/>
      <c r="R64" s="296"/>
      <c r="S64" s="297"/>
    </row>
    <row r="65" spans="1:19" ht="17.25" customHeight="1"/>
    <row r="66" spans="1:19" ht="17.25" customHeight="1" thickBot="1"/>
    <row r="67" spans="1:19" ht="17.25" thickBot="1">
      <c r="A67" s="241" t="s">
        <v>45</v>
      </c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3"/>
      <c r="Q67" s="262"/>
      <c r="R67" s="262"/>
      <c r="S67" s="262"/>
    </row>
    <row r="68" spans="1:19" ht="17.25" thickBot="1">
      <c r="A68" s="233" t="s">
        <v>298</v>
      </c>
      <c r="B68" s="241" t="s">
        <v>49</v>
      </c>
      <c r="C68" s="243"/>
      <c r="D68" s="241" t="s">
        <v>58</v>
      </c>
      <c r="E68" s="242"/>
      <c r="F68" s="243"/>
      <c r="G68" s="268">
        <f>_xlfn.IFNA(VLOOKUP(B68, 현재가테이블!$B$2:$D$200, 2, FALSE), "-")</f>
        <v>62017000</v>
      </c>
      <c r="H68" s="269"/>
      <c r="I68" s="270"/>
      <c r="J68" s="241" t="s">
        <v>59</v>
      </c>
      <c r="K68" s="242"/>
      <c r="L68" s="243"/>
      <c r="M68" s="271">
        <f>_xlfn.IFNA(VLOOKUP(B68, 현재가테이블!$B$2:$D$200, 3, FALSE), "-")</f>
        <v>-1.6680144000000001E-2</v>
      </c>
      <c r="N68" s="272"/>
      <c r="O68" s="273"/>
      <c r="Q68" s="262"/>
      <c r="R68" s="262"/>
      <c r="S68" s="262"/>
    </row>
    <row r="69" spans="1:19" ht="17.25" thickBot="1">
      <c r="A69" s="302" t="s">
        <v>55</v>
      </c>
      <c r="B69" s="304" t="str">
        <f>TEXT($G$1, "[$-ko-KR]yyyy-mm-dd(ddd) ") &amp; "오전 00:00"</f>
        <v>2021-05-15(토) 오전 00:00</v>
      </c>
      <c r="C69" s="305"/>
      <c r="D69" s="241" t="str">
        <f>TEXT($G$1, "[$-ko-KR]yyyy-mm-dd(ddd) ") &amp; "오후 14:00"</f>
        <v>2021-05-15(토) 오후 14:00</v>
      </c>
      <c r="E69" s="242"/>
      <c r="F69" s="243"/>
      <c r="G69" s="241" t="str">
        <f>TEXT($G$1, "[$-ko-KR]yyyy-mm-dd(ddd) ") &amp; "오후 19:00"</f>
        <v>2021-05-15(토) 오후 19:00</v>
      </c>
      <c r="H69" s="242"/>
      <c r="I69" s="243"/>
      <c r="J69" s="241" t="str">
        <f>TEXT($G$1, "[$-ko-KR]yyyy-mm-dd(ddd) ") &amp; "오후 21:00"</f>
        <v>2021-05-15(토) 오후 21:00</v>
      </c>
      <c r="K69" s="242"/>
      <c r="L69" s="243"/>
      <c r="M69" s="241" t="str">
        <f>TEXT($G$1+1, "[$-ko-KR]yyyy-mm-dd(ddd) ") &amp; "오전 00:00"</f>
        <v>2021-05-16(일) 오전 00:00</v>
      </c>
      <c r="N69" s="242"/>
      <c r="O69" s="243"/>
      <c r="Q69" s="262"/>
      <c r="R69" s="262"/>
      <c r="S69" s="262"/>
    </row>
    <row r="70" spans="1:19" ht="17.25" thickBot="1">
      <c r="A70" s="303"/>
      <c r="B70" s="120" t="s">
        <v>58</v>
      </c>
      <c r="C70" s="121" t="s">
        <v>59</v>
      </c>
      <c r="D70" s="120" t="s">
        <v>58</v>
      </c>
      <c r="E70" s="121" t="s">
        <v>299</v>
      </c>
      <c r="F70" s="240" t="s">
        <v>300</v>
      </c>
      <c r="G70" s="233" t="s">
        <v>58</v>
      </c>
      <c r="H70" s="234" t="s">
        <v>299</v>
      </c>
      <c r="I70" s="235" t="s">
        <v>300</v>
      </c>
      <c r="J70" s="121" t="s">
        <v>58</v>
      </c>
      <c r="K70" s="121" t="s">
        <v>299</v>
      </c>
      <c r="L70" s="238" t="s">
        <v>300</v>
      </c>
      <c r="M70" s="120" t="s">
        <v>58</v>
      </c>
      <c r="N70" s="121" t="s">
        <v>299</v>
      </c>
      <c r="O70" s="239" t="s">
        <v>300</v>
      </c>
      <c r="Q70" s="267"/>
      <c r="R70" s="267"/>
      <c r="S70" s="267"/>
    </row>
    <row r="71" spans="1:19" ht="17.25" thickBot="1">
      <c r="A71" s="122" t="s">
        <v>296</v>
      </c>
      <c r="B71" s="123">
        <v>662</v>
      </c>
      <c r="C71" s="72">
        <v>7.4675324700000004E-2</v>
      </c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62"/>
      <c r="R71" s="262"/>
      <c r="S71" s="262"/>
    </row>
    <row r="72" spans="1:19" ht="17.25" thickBot="1">
      <c r="A72" s="124" t="s">
        <v>136</v>
      </c>
      <c r="B72" s="125">
        <v>243</v>
      </c>
      <c r="C72" s="73">
        <v>5.19480519E-2</v>
      </c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62"/>
      <c r="R72" s="262"/>
      <c r="S72" s="262"/>
    </row>
    <row r="73" spans="1:19" ht="17.25" thickBot="1">
      <c r="A73" s="124" t="s">
        <v>240</v>
      </c>
      <c r="B73" s="125">
        <v>159</v>
      </c>
      <c r="C73" s="73">
        <v>4.6052631599999998E-2</v>
      </c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267"/>
      <c r="R73" s="267"/>
      <c r="S73" s="267"/>
    </row>
    <row r="74" spans="1:19" ht="17.25" thickBot="1">
      <c r="A74" s="124" t="s">
        <v>260</v>
      </c>
      <c r="B74" s="125">
        <v>123</v>
      </c>
      <c r="C74" s="73">
        <v>4.23728814E-2</v>
      </c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267"/>
      <c r="R74" s="267"/>
      <c r="S74" s="267"/>
    </row>
    <row r="75" spans="1:19" ht="17.25" thickBot="1">
      <c r="A75" s="126" t="s">
        <v>284</v>
      </c>
      <c r="B75" s="127">
        <v>422</v>
      </c>
      <c r="C75" s="74">
        <v>3.6855036899999999E-2</v>
      </c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267"/>
      <c r="R75" s="267"/>
      <c r="S75" s="267"/>
    </row>
    <row r="76" spans="1:19" ht="17.25" thickBot="1">
      <c r="A76" s="124" t="s">
        <v>116</v>
      </c>
      <c r="B76" s="128">
        <v>552</v>
      </c>
      <c r="C76" s="76">
        <v>2.7932960900000001E-2</v>
      </c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67"/>
      <c r="R76" s="267"/>
      <c r="S76" s="267"/>
    </row>
    <row r="77" spans="1:19" ht="17.25" thickBot="1">
      <c r="A77" s="124" t="s">
        <v>216</v>
      </c>
      <c r="B77" s="125">
        <v>444</v>
      </c>
      <c r="C77" s="73">
        <v>2.77777778E-2</v>
      </c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67"/>
      <c r="R77" s="267"/>
      <c r="S77" s="267"/>
    </row>
    <row r="78" spans="1:19" ht="17.25" thickBot="1">
      <c r="A78" s="124" t="s">
        <v>256</v>
      </c>
      <c r="B78" s="125">
        <v>241</v>
      </c>
      <c r="C78" s="73">
        <v>2.5531914900000001E-2</v>
      </c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267"/>
      <c r="R78" s="267"/>
      <c r="S78" s="267"/>
    </row>
    <row r="79" spans="1:19" ht="17.25" thickBot="1">
      <c r="A79" s="124" t="s">
        <v>174</v>
      </c>
      <c r="B79" s="125">
        <v>252</v>
      </c>
      <c r="C79" s="73">
        <v>2.4390243900000001E-2</v>
      </c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 t="s">
        <v>128</v>
      </c>
      <c r="B80" s="130">
        <v>599</v>
      </c>
      <c r="C80" s="75">
        <v>2.0442930200000001E-2</v>
      </c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276"/>
      <c r="R80" s="277"/>
      <c r="S80" s="278"/>
    </row>
    <row r="81" spans="1:19">
      <c r="A81" s="122" t="s">
        <v>148</v>
      </c>
      <c r="B81" s="123">
        <v>174</v>
      </c>
      <c r="C81" s="72">
        <v>1.75438596E-2</v>
      </c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79"/>
      <c r="R81" s="280"/>
      <c r="S81" s="281"/>
    </row>
    <row r="82" spans="1:19" ht="17.25" thickBot="1">
      <c r="A82" s="124" t="s">
        <v>250</v>
      </c>
      <c r="B82" s="125">
        <v>179</v>
      </c>
      <c r="C82" s="73">
        <v>1.7045454500000001E-2</v>
      </c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282"/>
      <c r="R82" s="283"/>
      <c r="S82" s="284"/>
    </row>
    <row r="83" spans="1:19" ht="17.25" thickBot="1">
      <c r="A83" s="124" t="s">
        <v>232</v>
      </c>
      <c r="B83" s="125">
        <v>150</v>
      </c>
      <c r="C83" s="73">
        <v>1.3513513499999999E-2</v>
      </c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267"/>
      <c r="R83" s="267"/>
      <c r="S83" s="267"/>
    </row>
    <row r="84" spans="1:19" ht="17.25" thickBot="1">
      <c r="A84" s="124" t="s">
        <v>156</v>
      </c>
      <c r="B84" s="125">
        <v>155</v>
      </c>
      <c r="C84" s="73">
        <v>1.30718954E-2</v>
      </c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262"/>
      <c r="R84" s="262"/>
      <c r="S84" s="262"/>
    </row>
    <row r="85" spans="1:19" ht="17.25" thickBot="1">
      <c r="A85" s="126" t="s">
        <v>57</v>
      </c>
      <c r="B85" s="127">
        <v>395</v>
      </c>
      <c r="C85" s="74">
        <v>7.6530612000000001E-3</v>
      </c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262"/>
      <c r="R85" s="262"/>
      <c r="S85" s="262"/>
    </row>
    <row r="86" spans="1:19" ht="17.25" thickBot="1">
      <c r="A86" s="124" t="s">
        <v>134</v>
      </c>
      <c r="B86" s="128">
        <v>144</v>
      </c>
      <c r="C86" s="76">
        <v>6.9930069999999999E-3</v>
      </c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67"/>
      <c r="R86" s="267"/>
      <c r="S86" s="267"/>
    </row>
    <row r="87" spans="1:19" ht="17.25" thickBot="1">
      <c r="A87" s="124" t="s">
        <v>264</v>
      </c>
      <c r="B87" s="125">
        <v>149</v>
      </c>
      <c r="C87" s="73">
        <v>6.7567568000000003E-3</v>
      </c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67"/>
      <c r="R87" s="267"/>
      <c r="S87" s="267"/>
    </row>
    <row r="88" spans="1:19" ht="17.25" thickBot="1">
      <c r="A88" s="124" t="s">
        <v>168</v>
      </c>
      <c r="B88" s="125">
        <v>201</v>
      </c>
      <c r="C88" s="73">
        <v>5.0000000000000001E-3</v>
      </c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267"/>
      <c r="R88" s="267"/>
      <c r="S88" s="267"/>
    </row>
    <row r="89" spans="1:19">
      <c r="A89" s="124" t="s">
        <v>212</v>
      </c>
      <c r="B89" s="125">
        <v>127</v>
      </c>
      <c r="C89" s="73">
        <v>0</v>
      </c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289"/>
      <c r="R89" s="290"/>
      <c r="S89" s="291"/>
    </row>
    <row r="90" spans="1:19" ht="17.25" thickBot="1">
      <c r="A90" s="129" t="s">
        <v>278</v>
      </c>
      <c r="B90" s="130">
        <v>140</v>
      </c>
      <c r="C90" s="75">
        <v>0</v>
      </c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292"/>
      <c r="R90" s="293"/>
      <c r="S90" s="294"/>
    </row>
    <row r="91" spans="1:19" ht="17.25" thickBot="1">
      <c r="A91" s="131" t="s">
        <v>301</v>
      </c>
      <c r="B91" s="300">
        <f>$B$37</f>
        <v>150000</v>
      </c>
      <c r="C91" s="301"/>
      <c r="D91" s="131" t="s">
        <v>302</v>
      </c>
      <c r="E91" s="236">
        <f>IF(COUNT(E71:E90), SUM(E71:E90) / COUNT(E71:E90), 0)</f>
        <v>0</v>
      </c>
      <c r="F91" s="208">
        <f>SUM(F71:F90)</f>
        <v>0</v>
      </c>
      <c r="G91" s="131" t="s">
        <v>302</v>
      </c>
      <c r="H91" s="236">
        <f>IF(COUNT(H71:H90), SUM(H71:H90) / COUNT(H71:H90), 0)</f>
        <v>0</v>
      </c>
      <c r="I91" s="208">
        <f>SUM(I71:I90)</f>
        <v>0</v>
      </c>
      <c r="J91" s="131" t="s">
        <v>302</v>
      </c>
      <c r="K91" s="236">
        <f>IF(COUNT(K71:K90), SUM(K71:K90) / COUNT(K71:K90), 0)</f>
        <v>0</v>
      </c>
      <c r="L91" s="208">
        <f>SUM(L71:L90)</f>
        <v>0</v>
      </c>
      <c r="M91" s="131" t="s">
        <v>302</v>
      </c>
      <c r="N91" s="236">
        <f>IF(COUNT(N71:N90), SUM(N71:N90) / COUNT(N71:N90), 0)</f>
        <v>0</v>
      </c>
      <c r="O91" s="208">
        <f>SUM(O71:O90)</f>
        <v>0</v>
      </c>
      <c r="Q91" s="295"/>
      <c r="R91" s="296"/>
      <c r="S91" s="297"/>
    </row>
    <row r="93" spans="1:19" ht="17.25" thickBot="1"/>
    <row r="94" spans="1:19" ht="17.25" thickBot="1">
      <c r="A94" s="241" t="s">
        <v>46</v>
      </c>
      <c r="B94" s="242"/>
      <c r="C94" s="242"/>
      <c r="D94" s="242"/>
      <c r="E94" s="242"/>
      <c r="F94" s="242"/>
      <c r="G94" s="242"/>
      <c r="H94" s="242"/>
      <c r="I94" s="242"/>
      <c r="J94" s="242"/>
      <c r="K94" s="242"/>
      <c r="L94" s="242"/>
      <c r="M94" s="242"/>
      <c r="N94" s="242"/>
      <c r="O94" s="243"/>
      <c r="Q94" s="262"/>
      <c r="R94" s="262"/>
      <c r="S94" s="262"/>
    </row>
    <row r="95" spans="1:19" ht="17.25" thickBot="1">
      <c r="A95" s="233" t="s">
        <v>298</v>
      </c>
      <c r="B95" s="241" t="s">
        <v>49</v>
      </c>
      <c r="C95" s="243"/>
      <c r="D95" s="241" t="s">
        <v>58</v>
      </c>
      <c r="E95" s="242"/>
      <c r="F95" s="243"/>
      <c r="G95" s="268">
        <f>_xlfn.IFNA(VLOOKUP(B95, 현재가테이블!$B$2:$D$200, 2, FALSE), "-")</f>
        <v>62017000</v>
      </c>
      <c r="H95" s="269"/>
      <c r="I95" s="270"/>
      <c r="J95" s="241" t="s">
        <v>59</v>
      </c>
      <c r="K95" s="242"/>
      <c r="L95" s="243"/>
      <c r="M95" s="271">
        <f>_xlfn.IFNA(VLOOKUP(B95, 현재가테이블!$B$2:$D$200, 3, FALSE), "-")</f>
        <v>-1.6680144000000001E-2</v>
      </c>
      <c r="N95" s="272"/>
      <c r="O95" s="273"/>
      <c r="Q95" s="262"/>
      <c r="R95" s="262"/>
      <c r="S95" s="262"/>
    </row>
    <row r="96" spans="1:19" ht="17.25" thickBot="1">
      <c r="A96" s="302" t="s">
        <v>55</v>
      </c>
      <c r="B96" s="304" t="str">
        <f>TEXT($G$1, "[$-ko-KR]yyyy-mm-dd(ddd) ") &amp; "오전 00:00"</f>
        <v>2021-05-15(토) 오전 00:00</v>
      </c>
      <c r="C96" s="305"/>
      <c r="D96" s="241" t="str">
        <f>TEXT($G$1, "[$-ko-KR]yyyy-mm-dd(ddd) ") &amp; "오후 14:00"</f>
        <v>2021-05-15(토) 오후 14:00</v>
      </c>
      <c r="E96" s="242"/>
      <c r="F96" s="243"/>
      <c r="G96" s="241" t="str">
        <f>TEXT($G$1, "[$-ko-KR]yyyy-mm-dd(ddd) ") &amp; "오후 19:00"</f>
        <v>2021-05-15(토) 오후 19:00</v>
      </c>
      <c r="H96" s="242"/>
      <c r="I96" s="243"/>
      <c r="J96" s="241" t="str">
        <f>TEXT($G$1, "[$-ko-KR]yyyy-mm-dd(ddd) ") &amp; "오후 21:00"</f>
        <v>2021-05-15(토) 오후 21:00</v>
      </c>
      <c r="K96" s="242"/>
      <c r="L96" s="243"/>
      <c r="M96" s="241" t="str">
        <f>TEXT($G$1+1, "[$-ko-KR]yyyy-mm-dd(ddd) ") &amp; "오전 00:00"</f>
        <v>2021-05-16(일) 오전 00:00</v>
      </c>
      <c r="N96" s="242"/>
      <c r="O96" s="243"/>
      <c r="Q96" s="262"/>
      <c r="R96" s="262"/>
      <c r="S96" s="262"/>
    </row>
    <row r="97" spans="1:19" ht="17.25" thickBot="1">
      <c r="A97" s="303"/>
      <c r="B97" s="120" t="s">
        <v>58</v>
      </c>
      <c r="C97" s="121" t="s">
        <v>59</v>
      </c>
      <c r="D97" s="120" t="s">
        <v>58</v>
      </c>
      <c r="E97" s="121" t="s">
        <v>299</v>
      </c>
      <c r="F97" s="240" t="s">
        <v>300</v>
      </c>
      <c r="G97" s="233" t="s">
        <v>58</v>
      </c>
      <c r="H97" s="234" t="s">
        <v>299</v>
      </c>
      <c r="I97" s="235" t="s">
        <v>300</v>
      </c>
      <c r="J97" s="121" t="s">
        <v>58</v>
      </c>
      <c r="K97" s="121" t="s">
        <v>299</v>
      </c>
      <c r="L97" s="238" t="s">
        <v>300</v>
      </c>
      <c r="M97" s="120" t="s">
        <v>58</v>
      </c>
      <c r="N97" s="121" t="s">
        <v>299</v>
      </c>
      <c r="O97" s="239" t="s">
        <v>300</v>
      </c>
      <c r="Q97" s="267"/>
      <c r="R97" s="267"/>
      <c r="S97" s="267"/>
    </row>
    <row r="98" spans="1:19" ht="17.25" thickBot="1">
      <c r="A98" s="122" t="s">
        <v>102</v>
      </c>
      <c r="B98" s="123">
        <v>129600</v>
      </c>
      <c r="C98" s="72">
        <v>0.1363437089</v>
      </c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62"/>
      <c r="R98" s="262"/>
      <c r="S98" s="262"/>
    </row>
    <row r="99" spans="1:19" ht="17.25" thickBot="1">
      <c r="A99" s="124" t="s">
        <v>186</v>
      </c>
      <c r="B99" s="125">
        <v>23.4</v>
      </c>
      <c r="C99" s="73">
        <v>0.1090047393</v>
      </c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62"/>
      <c r="R99" s="262"/>
      <c r="S99" s="262"/>
    </row>
    <row r="100" spans="1:19" ht="17.25" thickBot="1">
      <c r="A100" s="124" t="s">
        <v>296</v>
      </c>
      <c r="B100" s="125">
        <v>662</v>
      </c>
      <c r="C100" s="73">
        <v>7.4675324700000004E-2</v>
      </c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267"/>
      <c r="R100" s="267"/>
      <c r="S100" s="267"/>
    </row>
    <row r="101" spans="1:19" ht="17.25" thickBot="1">
      <c r="A101" s="124" t="s">
        <v>108</v>
      </c>
      <c r="B101" s="125">
        <v>55130</v>
      </c>
      <c r="C101" s="73">
        <v>6.4285714300000005E-2</v>
      </c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267"/>
      <c r="R101" s="267"/>
      <c r="S101" s="267"/>
    </row>
    <row r="102" spans="1:19" ht="17.25" thickBot="1">
      <c r="A102" s="126" t="s">
        <v>126</v>
      </c>
      <c r="B102" s="127">
        <v>52</v>
      </c>
      <c r="C102" s="74">
        <v>5.9063136500000002E-2</v>
      </c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267"/>
      <c r="R102" s="267"/>
      <c r="S102" s="267"/>
    </row>
    <row r="103" spans="1:19" ht="17.25" thickBot="1">
      <c r="A103" s="124" t="s">
        <v>138</v>
      </c>
      <c r="B103" s="128">
        <v>53360</v>
      </c>
      <c r="C103" s="76">
        <v>5.4962435699999999E-2</v>
      </c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67"/>
      <c r="R103" s="267"/>
      <c r="S103" s="267"/>
    </row>
    <row r="104" spans="1:19" ht="17.25" thickBot="1">
      <c r="A104" s="124" t="s">
        <v>96</v>
      </c>
      <c r="B104" s="125">
        <v>4977000</v>
      </c>
      <c r="C104" s="73">
        <v>5.4225799599999999E-2</v>
      </c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67"/>
      <c r="R104" s="267"/>
      <c r="S104" s="267"/>
    </row>
    <row r="105" spans="1:19" ht="17.25" thickBot="1">
      <c r="A105" s="124" t="s">
        <v>136</v>
      </c>
      <c r="B105" s="125">
        <v>243</v>
      </c>
      <c r="C105" s="73">
        <v>5.19480519E-2</v>
      </c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267"/>
      <c r="R105" s="267"/>
      <c r="S105" s="267"/>
    </row>
    <row r="106" spans="1:19" ht="17.25" thickBot="1">
      <c r="A106" s="124" t="s">
        <v>240</v>
      </c>
      <c r="B106" s="125">
        <v>159</v>
      </c>
      <c r="C106" s="73">
        <v>4.6052631599999998E-2</v>
      </c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 t="s">
        <v>94</v>
      </c>
      <c r="B107" s="130">
        <v>124950</v>
      </c>
      <c r="C107" s="75">
        <v>4.4732441499999998E-2</v>
      </c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276"/>
      <c r="R107" s="277"/>
      <c r="S107" s="278"/>
    </row>
    <row r="108" spans="1:19">
      <c r="A108" s="122" t="s">
        <v>260</v>
      </c>
      <c r="B108" s="123">
        <v>123</v>
      </c>
      <c r="C108" s="72">
        <v>4.23728814E-2</v>
      </c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79"/>
      <c r="R108" s="280"/>
      <c r="S108" s="281"/>
    </row>
    <row r="109" spans="1:19" ht="17.25" thickBot="1">
      <c r="A109" s="124" t="s">
        <v>146</v>
      </c>
      <c r="B109" s="125">
        <v>16280</v>
      </c>
      <c r="C109" s="73">
        <v>3.7603569199999999E-2</v>
      </c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282"/>
      <c r="R109" s="283"/>
      <c r="S109" s="284"/>
    </row>
    <row r="110" spans="1:19" ht="17.25" thickBot="1">
      <c r="A110" s="124" t="s">
        <v>284</v>
      </c>
      <c r="B110" s="125">
        <v>422</v>
      </c>
      <c r="C110" s="73">
        <v>3.6855036899999999E-2</v>
      </c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267"/>
      <c r="R110" s="267"/>
      <c r="S110" s="267"/>
    </row>
    <row r="111" spans="1:19" ht="17.25" thickBot="1">
      <c r="A111" s="124" t="s">
        <v>76</v>
      </c>
      <c r="B111" s="125">
        <v>56700</v>
      </c>
      <c r="C111" s="73">
        <v>3.2975040999999997E-2</v>
      </c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262"/>
      <c r="R111" s="262"/>
      <c r="S111" s="262"/>
    </row>
    <row r="112" spans="1:19" ht="17.25" thickBot="1">
      <c r="A112" s="126" t="s">
        <v>144</v>
      </c>
      <c r="B112" s="127">
        <v>12630</v>
      </c>
      <c r="C112" s="74">
        <v>3.1020408199999999E-2</v>
      </c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262"/>
      <c r="R112" s="262"/>
      <c r="S112" s="262"/>
    </row>
    <row r="113" spans="1:19" ht="17.25" thickBot="1">
      <c r="A113" s="124" t="s">
        <v>152</v>
      </c>
      <c r="B113" s="128">
        <v>39.9</v>
      </c>
      <c r="C113" s="76">
        <v>2.8350515499999999E-2</v>
      </c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67"/>
      <c r="R113" s="267"/>
      <c r="S113" s="267"/>
    </row>
    <row r="114" spans="1:19" ht="17.25" thickBot="1">
      <c r="A114" s="124" t="s">
        <v>116</v>
      </c>
      <c r="B114" s="125">
        <v>552</v>
      </c>
      <c r="C114" s="73">
        <v>2.7932960900000001E-2</v>
      </c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67"/>
      <c r="R114" s="267"/>
      <c r="S114" s="267"/>
    </row>
    <row r="115" spans="1:19" ht="17.25" thickBot="1">
      <c r="A115" s="124" t="s">
        <v>216</v>
      </c>
      <c r="B115" s="125">
        <v>444</v>
      </c>
      <c r="C115" s="73">
        <v>2.77777778E-2</v>
      </c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267"/>
      <c r="R115" s="267"/>
      <c r="S115" s="267"/>
    </row>
    <row r="116" spans="1:19">
      <c r="A116" s="124" t="s">
        <v>106</v>
      </c>
      <c r="B116" s="125">
        <v>2105</v>
      </c>
      <c r="C116" s="73">
        <v>2.68292683E-2</v>
      </c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289"/>
      <c r="R116" s="290"/>
      <c r="S116" s="291"/>
    </row>
    <row r="117" spans="1:19" ht="17.25" thickBot="1">
      <c r="A117" s="129" t="s">
        <v>262</v>
      </c>
      <c r="B117" s="130">
        <v>1150</v>
      </c>
      <c r="C117" s="75">
        <v>2.6785714299999999E-2</v>
      </c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292"/>
      <c r="R117" s="293"/>
      <c r="S117" s="294"/>
    </row>
    <row r="118" spans="1:19" ht="17.25" thickBot="1">
      <c r="A118" s="131" t="s">
        <v>301</v>
      </c>
      <c r="B118" s="300">
        <f>$B$37</f>
        <v>150000</v>
      </c>
      <c r="C118" s="301"/>
      <c r="D118" s="131" t="s">
        <v>302</v>
      </c>
      <c r="E118" s="236">
        <f>IF(COUNT(E98:E117), SUM(E98:E117) / COUNT(E98:E117), 0)</f>
        <v>0</v>
      </c>
      <c r="F118" s="208">
        <f>SUM(F98:F117)</f>
        <v>0</v>
      </c>
      <c r="G118" s="131" t="s">
        <v>302</v>
      </c>
      <c r="H118" s="236">
        <f>IF(COUNT(H98:H117), SUM(H98:H117) / COUNT(H98:H117), 0)</f>
        <v>0</v>
      </c>
      <c r="I118" s="208">
        <f>SUM(I98:I117)</f>
        <v>0</v>
      </c>
      <c r="J118" s="131" t="s">
        <v>302</v>
      </c>
      <c r="K118" s="236">
        <f>IF(COUNT(K98:K117), SUM(K98:K117) / COUNT(K98:K117), 0)</f>
        <v>0</v>
      </c>
      <c r="L118" s="208">
        <f>SUM(L98:L117)</f>
        <v>0</v>
      </c>
      <c r="M118" s="131" t="s">
        <v>302</v>
      </c>
      <c r="N118" s="236">
        <f>IF(COUNT(N98:N117), SUM(N98:N117) / COUNT(N98:N117), 0)</f>
        <v>0</v>
      </c>
      <c r="O118" s="208">
        <f>SUM(O98:O117)</f>
        <v>0</v>
      </c>
      <c r="Q118" s="295"/>
      <c r="R118" s="296"/>
      <c r="S118" s="297"/>
    </row>
    <row r="120" spans="1:19" ht="17.25" thickBot="1"/>
    <row r="121" spans="1:19" ht="17.25" thickBot="1">
      <c r="A121" s="241" t="s">
        <v>288</v>
      </c>
      <c r="B121" s="242"/>
      <c r="C121" s="242"/>
      <c r="D121" s="242"/>
      <c r="E121" s="242"/>
      <c r="F121" s="242"/>
      <c r="G121" s="242"/>
      <c r="H121" s="242"/>
      <c r="I121" s="242"/>
      <c r="J121" s="242"/>
      <c r="K121" s="242"/>
      <c r="L121" s="242"/>
      <c r="M121" s="242"/>
      <c r="N121" s="242"/>
      <c r="O121" s="243"/>
      <c r="Q121" s="262"/>
      <c r="R121" s="262"/>
      <c r="S121" s="262"/>
    </row>
    <row r="122" spans="1:19" ht="17.25" thickBot="1">
      <c r="A122" s="233" t="s">
        <v>298</v>
      </c>
      <c r="B122" s="241" t="s">
        <v>49</v>
      </c>
      <c r="C122" s="243"/>
      <c r="D122" s="241" t="s">
        <v>58</v>
      </c>
      <c r="E122" s="242"/>
      <c r="F122" s="243"/>
      <c r="G122" s="268">
        <f>_xlfn.IFNA(VLOOKUP(B122, 현재가테이블!$B$2:$D$200, 2, FALSE), "-")</f>
        <v>62017000</v>
      </c>
      <c r="H122" s="269"/>
      <c r="I122" s="270"/>
      <c r="J122" s="241" t="s">
        <v>59</v>
      </c>
      <c r="K122" s="242"/>
      <c r="L122" s="243"/>
      <c r="M122" s="271">
        <f>_xlfn.IFNA(VLOOKUP(B122, 현재가테이블!$B$2:$D$200, 3, FALSE), "-")</f>
        <v>-1.6680144000000001E-2</v>
      </c>
      <c r="N122" s="272"/>
      <c r="O122" s="273"/>
      <c r="Q122" s="262"/>
      <c r="R122" s="262"/>
      <c r="S122" s="262"/>
    </row>
    <row r="123" spans="1:19" ht="17.25" thickBot="1">
      <c r="A123" s="302" t="s">
        <v>55</v>
      </c>
      <c r="B123" s="304" t="str">
        <f>TEXT($G$1, "[$-ko-KR]yyyy-mm-dd(ddd) ") &amp; "오전 00:00"</f>
        <v>2021-05-15(토) 오전 00:00</v>
      </c>
      <c r="C123" s="305"/>
      <c r="D123" s="241" t="str">
        <f>TEXT($G$1, "[$-ko-KR]yyyy-mm-dd(ddd) ") &amp; "오후 14:00"</f>
        <v>2021-05-15(토) 오후 14:00</v>
      </c>
      <c r="E123" s="242"/>
      <c r="F123" s="243"/>
      <c r="G123" s="241" t="str">
        <f>TEXT($G$1, "[$-ko-KR]yyyy-mm-dd(ddd) ") &amp; "오후 19:00"</f>
        <v>2021-05-15(토) 오후 19:00</v>
      </c>
      <c r="H123" s="242"/>
      <c r="I123" s="243"/>
      <c r="J123" s="241" t="str">
        <f>TEXT($G$1, "[$-ko-KR]yyyy-mm-dd(ddd) ") &amp; "오후 21:00"</f>
        <v>2021-05-15(토) 오후 21:00</v>
      </c>
      <c r="K123" s="242"/>
      <c r="L123" s="243"/>
      <c r="M123" s="241" t="str">
        <f>TEXT($G$1+1, "[$-ko-KR]yyyy-mm-dd(ddd) ") &amp; "오전 00:00"</f>
        <v>2021-05-16(일) 오전 00:00</v>
      </c>
      <c r="N123" s="242"/>
      <c r="O123" s="243"/>
      <c r="Q123" s="262"/>
      <c r="R123" s="262"/>
      <c r="S123" s="262"/>
    </row>
    <row r="124" spans="1:19" ht="17.25" thickBot="1">
      <c r="A124" s="303"/>
      <c r="B124" s="120" t="s">
        <v>58</v>
      </c>
      <c r="C124" s="121" t="s">
        <v>59</v>
      </c>
      <c r="D124" s="120" t="s">
        <v>58</v>
      </c>
      <c r="E124" s="121" t="s">
        <v>299</v>
      </c>
      <c r="F124" s="240" t="s">
        <v>300</v>
      </c>
      <c r="G124" s="233" t="s">
        <v>58</v>
      </c>
      <c r="H124" s="234" t="s">
        <v>299</v>
      </c>
      <c r="I124" s="235" t="s">
        <v>300</v>
      </c>
      <c r="J124" s="121" t="s">
        <v>58</v>
      </c>
      <c r="K124" s="121" t="s">
        <v>299</v>
      </c>
      <c r="L124" s="238" t="s">
        <v>300</v>
      </c>
      <c r="M124" s="120" t="s">
        <v>58</v>
      </c>
      <c r="N124" s="121" t="s">
        <v>299</v>
      </c>
      <c r="O124" s="239" t="s">
        <v>300</v>
      </c>
      <c r="Q124" s="267"/>
      <c r="R124" s="267"/>
      <c r="S124" s="267"/>
    </row>
    <row r="125" spans="1:19" ht="17.25" thickBot="1">
      <c r="A125" s="122" t="s">
        <v>186</v>
      </c>
      <c r="B125" s="123">
        <v>23.4</v>
      </c>
      <c r="C125" s="72">
        <v>0.1090047393</v>
      </c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62"/>
      <c r="R125" s="262"/>
      <c r="S125" s="262"/>
    </row>
    <row r="126" spans="1:19" ht="17.25" thickBot="1">
      <c r="A126" s="124" t="s">
        <v>126</v>
      </c>
      <c r="B126" s="125">
        <v>52</v>
      </c>
      <c r="C126" s="73">
        <v>5.9063136500000002E-2</v>
      </c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62"/>
      <c r="R126" s="262"/>
      <c r="S126" s="262"/>
    </row>
    <row r="127" spans="1:19" ht="17.25" thickBot="1">
      <c r="A127" s="124" t="s">
        <v>152</v>
      </c>
      <c r="B127" s="125">
        <v>39.9</v>
      </c>
      <c r="C127" s="73">
        <v>2.8350515499999999E-2</v>
      </c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267"/>
      <c r="R127" s="267"/>
      <c r="S127" s="267"/>
    </row>
    <row r="128" spans="1:19" ht="17.25" thickBot="1">
      <c r="A128" s="124" t="s">
        <v>220</v>
      </c>
      <c r="B128" s="125">
        <v>17.899999999999999</v>
      </c>
      <c r="C128" s="73">
        <v>2.2857142899999999E-2</v>
      </c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267"/>
      <c r="R128" s="267"/>
      <c r="S128" s="267"/>
    </row>
    <row r="129" spans="1:19" ht="17.25" thickBot="1">
      <c r="A129" s="126" t="s">
        <v>222</v>
      </c>
      <c r="B129" s="127">
        <v>16.100000000000001</v>
      </c>
      <c r="C129" s="74">
        <v>1.2578616399999999E-2</v>
      </c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267"/>
      <c r="R129" s="267"/>
      <c r="S129" s="267"/>
    </row>
    <row r="130" spans="1:19" ht="17.25" thickBot="1">
      <c r="A130" s="124" t="s">
        <v>65</v>
      </c>
      <c r="B130" s="128">
        <v>64.400000000000006</v>
      </c>
      <c r="C130" s="76">
        <v>1.0989011E-2</v>
      </c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67"/>
      <c r="R130" s="267"/>
      <c r="S130" s="267"/>
    </row>
    <row r="131" spans="1:19" ht="17.25" thickBot="1">
      <c r="A131" s="124" t="s">
        <v>198</v>
      </c>
      <c r="B131" s="125">
        <v>24.1</v>
      </c>
      <c r="C131" s="73">
        <v>8.3682007999999995E-3</v>
      </c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67"/>
      <c r="R131" s="267"/>
      <c r="S131" s="267"/>
    </row>
    <row r="132" spans="1:19" ht="17.25" thickBot="1">
      <c r="A132" s="124" t="s">
        <v>228</v>
      </c>
      <c r="B132" s="125">
        <v>16</v>
      </c>
      <c r="C132" s="73">
        <v>6.2893081999999996E-3</v>
      </c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267"/>
      <c r="R132" s="267"/>
      <c r="S132" s="267"/>
    </row>
    <row r="133" spans="1:19" ht="17.25" thickBot="1">
      <c r="A133" s="124" t="s">
        <v>196</v>
      </c>
      <c r="B133" s="125">
        <v>17.8</v>
      </c>
      <c r="C133" s="73">
        <v>5.6497175E-3</v>
      </c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 t="s">
        <v>154</v>
      </c>
      <c r="B134" s="130">
        <v>17.8</v>
      </c>
      <c r="C134" s="75">
        <v>5.6497175E-3</v>
      </c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276"/>
      <c r="R134" s="277"/>
      <c r="S134" s="278"/>
    </row>
    <row r="135" spans="1:19">
      <c r="A135" s="122" t="s">
        <v>218</v>
      </c>
      <c r="B135" s="123">
        <v>23.6</v>
      </c>
      <c r="C135" s="72">
        <v>4.2553191000000001E-3</v>
      </c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79"/>
      <c r="R135" s="280"/>
      <c r="S135" s="281"/>
    </row>
    <row r="136" spans="1:19" ht="17.25" thickBot="1">
      <c r="A136" s="124" t="s">
        <v>266</v>
      </c>
      <c r="B136" s="125">
        <v>85.5</v>
      </c>
      <c r="C136" s="73">
        <v>1.1709602E-3</v>
      </c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282"/>
      <c r="R136" s="283"/>
      <c r="S136" s="284"/>
    </row>
    <row r="137" spans="1:19" ht="17.25" thickBot="1">
      <c r="A137" s="124" t="s">
        <v>100</v>
      </c>
      <c r="B137" s="125">
        <v>7.53</v>
      </c>
      <c r="C137" s="73">
        <v>-1.3262599000000001E-3</v>
      </c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267"/>
      <c r="R137" s="267"/>
      <c r="S137" s="267"/>
    </row>
    <row r="138" spans="1:19" ht="17.25" thickBot="1">
      <c r="A138" s="124" t="s">
        <v>254</v>
      </c>
      <c r="B138" s="125">
        <v>72.900000000000006</v>
      </c>
      <c r="C138" s="73">
        <v>-4.0983607000000003E-3</v>
      </c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262"/>
      <c r="R138" s="262"/>
      <c r="S138" s="262"/>
    </row>
    <row r="139" spans="1:19" ht="17.25" thickBot="1">
      <c r="A139" s="126" t="s">
        <v>214</v>
      </c>
      <c r="B139" s="127">
        <v>19.5</v>
      </c>
      <c r="C139" s="74">
        <v>-1.51515152E-2</v>
      </c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262"/>
      <c r="R139" s="262"/>
      <c r="S139" s="262"/>
    </row>
    <row r="140" spans="1:19" ht="17.25" thickBot="1">
      <c r="A140" s="124" t="s">
        <v>72</v>
      </c>
      <c r="B140" s="128">
        <v>31.7</v>
      </c>
      <c r="C140" s="76">
        <v>-1.5527950299999999E-2</v>
      </c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67"/>
      <c r="R140" s="267"/>
      <c r="S140" s="267"/>
    </row>
    <row r="141" spans="1:19" ht="17.25" thickBot="1">
      <c r="A141" s="124" t="s">
        <v>268</v>
      </c>
      <c r="B141" s="125">
        <v>79.5</v>
      </c>
      <c r="C141" s="73">
        <v>-2.0935960600000001E-2</v>
      </c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67"/>
      <c r="R141" s="267"/>
      <c r="S141" s="267"/>
    </row>
    <row r="142" spans="1:19" ht="17.25" thickBot="1">
      <c r="A142" s="124" t="s">
        <v>236</v>
      </c>
      <c r="B142" s="125">
        <v>69.099999999999994</v>
      </c>
      <c r="C142" s="73">
        <v>-4.2936288099999997E-2</v>
      </c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267"/>
      <c r="R142" s="267"/>
      <c r="S142" s="267"/>
    </row>
    <row r="143" spans="1:19">
      <c r="A143" s="124" t="s">
        <v>172</v>
      </c>
      <c r="B143" s="125">
        <v>23</v>
      </c>
      <c r="C143" s="73">
        <v>-5.7377049200000002E-2</v>
      </c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289"/>
      <c r="R143" s="290"/>
      <c r="S143" s="291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292"/>
      <c r="R144" s="293"/>
      <c r="S144" s="294"/>
    </row>
    <row r="145" spans="1:19" ht="17.25" thickBot="1">
      <c r="A145" s="131" t="s">
        <v>301</v>
      </c>
      <c r="B145" s="300">
        <f>$B$37</f>
        <v>150000</v>
      </c>
      <c r="C145" s="301"/>
      <c r="D145" s="131" t="s">
        <v>302</v>
      </c>
      <c r="E145" s="236">
        <f>IF(COUNT(E125:E144), SUM(E125:E144) / COUNT(E125:E144), 0)</f>
        <v>0</v>
      </c>
      <c r="F145" s="208">
        <f>SUM(F125:F144)</f>
        <v>0</v>
      </c>
      <c r="G145" s="131" t="s">
        <v>302</v>
      </c>
      <c r="H145" s="236">
        <f>IF(COUNT(H125:H144), SUM(H125:H144) / COUNT(H125:H144), 0)</f>
        <v>0</v>
      </c>
      <c r="I145" s="208">
        <f>SUM(I125:I144)</f>
        <v>0</v>
      </c>
      <c r="J145" s="131" t="s">
        <v>302</v>
      </c>
      <c r="K145" s="236">
        <f>IF(COUNT(K125:K144), SUM(K125:K144) / COUNT(K125:K144), 0)</f>
        <v>0</v>
      </c>
      <c r="L145" s="208">
        <f>SUM(L125:L144)</f>
        <v>0</v>
      </c>
      <c r="M145" s="131" t="s">
        <v>302</v>
      </c>
      <c r="N145" s="236">
        <f>IF(COUNT(N125:N144), SUM(N125:N144) / COUNT(N125:N144), 0)</f>
        <v>0</v>
      </c>
      <c r="O145" s="208">
        <f>SUM(O125:O144)</f>
        <v>0</v>
      </c>
      <c r="Q145" s="295"/>
      <c r="R145" s="296"/>
      <c r="S145" s="297"/>
    </row>
    <row r="147" spans="1:19" ht="17.25" thickBot="1"/>
    <row r="148" spans="1:19" ht="17.25" thickBot="1">
      <c r="A148" s="241" t="s">
        <v>289</v>
      </c>
      <c r="B148" s="242"/>
      <c r="C148" s="242"/>
      <c r="D148" s="242"/>
      <c r="E148" s="242"/>
      <c r="F148" s="242"/>
      <c r="G148" s="242"/>
      <c r="H148" s="242"/>
      <c r="I148" s="242"/>
      <c r="J148" s="242"/>
      <c r="K148" s="242"/>
      <c r="L148" s="242"/>
      <c r="M148" s="242"/>
      <c r="N148" s="242"/>
      <c r="O148" s="243"/>
      <c r="Q148" s="262"/>
      <c r="R148" s="262"/>
      <c r="S148" s="262"/>
    </row>
    <row r="149" spans="1:19" ht="17.25" thickBot="1">
      <c r="A149" s="233" t="s">
        <v>298</v>
      </c>
      <c r="B149" s="241" t="s">
        <v>49</v>
      </c>
      <c r="C149" s="243"/>
      <c r="D149" s="241" t="s">
        <v>58</v>
      </c>
      <c r="E149" s="242"/>
      <c r="F149" s="243"/>
      <c r="G149" s="268">
        <f>_xlfn.IFNA(VLOOKUP(B149, 현재가테이블!$B$2:$D$200, 2, FALSE), "-")</f>
        <v>62017000</v>
      </c>
      <c r="H149" s="269"/>
      <c r="I149" s="270"/>
      <c r="J149" s="241" t="s">
        <v>59</v>
      </c>
      <c r="K149" s="242"/>
      <c r="L149" s="243"/>
      <c r="M149" s="271">
        <f>_xlfn.IFNA(VLOOKUP(B149, 현재가테이블!$B$2:$D$200, 3, FALSE), "-")</f>
        <v>-1.6680144000000001E-2</v>
      </c>
      <c r="N149" s="272"/>
      <c r="O149" s="273"/>
      <c r="Q149" s="262"/>
      <c r="R149" s="262"/>
      <c r="S149" s="262"/>
    </row>
    <row r="150" spans="1:19" ht="17.25" thickBot="1">
      <c r="A150" s="302" t="s">
        <v>55</v>
      </c>
      <c r="B150" s="304" t="str">
        <f>TEXT($G$1, "[$-ko-KR]yyyy-mm-dd(ddd) ") &amp; "오전 00:00"</f>
        <v>2021-05-15(토) 오전 00:00</v>
      </c>
      <c r="C150" s="305"/>
      <c r="D150" s="241" t="str">
        <f>TEXT($G$1, "[$-ko-KR]yyyy-mm-dd(ddd) ") &amp; "오후 14:00"</f>
        <v>2021-05-15(토) 오후 14:00</v>
      </c>
      <c r="E150" s="242"/>
      <c r="F150" s="243"/>
      <c r="G150" s="241" t="str">
        <f>TEXT($G$1, "[$-ko-KR]yyyy-mm-dd(ddd) ") &amp; "오후 19:00"</f>
        <v>2021-05-15(토) 오후 19:00</v>
      </c>
      <c r="H150" s="242"/>
      <c r="I150" s="243"/>
      <c r="J150" s="241" t="str">
        <f>TEXT($G$1, "[$-ko-KR]yyyy-mm-dd(ddd) ") &amp; "오후 21:00"</f>
        <v>2021-05-15(토) 오후 21:00</v>
      </c>
      <c r="K150" s="242"/>
      <c r="L150" s="243"/>
      <c r="M150" s="241" t="str">
        <f>TEXT($G$1+1, "[$-ko-KR]yyyy-mm-dd(ddd) ") &amp; "오전 00:00"</f>
        <v>2021-05-16(일) 오전 00:00</v>
      </c>
      <c r="N150" s="242"/>
      <c r="O150" s="243"/>
      <c r="Q150" s="262"/>
      <c r="R150" s="262"/>
      <c r="S150" s="262"/>
    </row>
    <row r="151" spans="1:19" ht="17.25" thickBot="1">
      <c r="A151" s="303"/>
      <c r="B151" s="120" t="s">
        <v>58</v>
      </c>
      <c r="C151" s="121" t="s">
        <v>59</v>
      </c>
      <c r="D151" s="120" t="s">
        <v>58</v>
      </c>
      <c r="E151" s="121" t="s">
        <v>299</v>
      </c>
      <c r="F151" s="240" t="s">
        <v>300</v>
      </c>
      <c r="G151" s="233" t="s">
        <v>58</v>
      </c>
      <c r="H151" s="234" t="s">
        <v>299</v>
      </c>
      <c r="I151" s="235" t="s">
        <v>300</v>
      </c>
      <c r="J151" s="121" t="s">
        <v>58</v>
      </c>
      <c r="K151" s="121" t="s">
        <v>299</v>
      </c>
      <c r="L151" s="238" t="s">
        <v>300</v>
      </c>
      <c r="M151" s="120" t="s">
        <v>58</v>
      </c>
      <c r="N151" s="121" t="s">
        <v>299</v>
      </c>
      <c r="O151" s="239" t="s">
        <v>300</v>
      </c>
      <c r="Q151" s="267"/>
      <c r="R151" s="267"/>
      <c r="S151" s="267"/>
    </row>
    <row r="152" spans="1:19" ht="17.25" thickBot="1">
      <c r="A152" s="122" t="s">
        <v>132</v>
      </c>
      <c r="B152" s="123">
        <v>229</v>
      </c>
      <c r="C152" s="72">
        <v>-4.3478261000000004E-3</v>
      </c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62"/>
      <c r="R152" s="262"/>
      <c r="S152" s="262"/>
    </row>
    <row r="153" spans="1:19" ht="17.25" thickBot="1">
      <c r="A153" s="124" t="s">
        <v>226</v>
      </c>
      <c r="B153" s="125">
        <v>431</v>
      </c>
      <c r="C153" s="73">
        <v>-4.6189376000000002E-3</v>
      </c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62"/>
      <c r="R153" s="262"/>
      <c r="S153" s="262"/>
    </row>
    <row r="154" spans="1:19" ht="17.25" thickBot="1">
      <c r="A154" s="124" t="s">
        <v>170</v>
      </c>
      <c r="B154" s="125">
        <v>499</v>
      </c>
      <c r="C154" s="73">
        <v>-5.9760956E-3</v>
      </c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267"/>
      <c r="R154" s="267"/>
      <c r="S154" s="267"/>
    </row>
    <row r="155" spans="1:19" ht="17.25" thickBot="1">
      <c r="A155" s="124" t="s">
        <v>210</v>
      </c>
      <c r="B155" s="125">
        <v>165</v>
      </c>
      <c r="C155" s="73">
        <v>-6.0240963999999998E-3</v>
      </c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267"/>
      <c r="R155" s="267"/>
      <c r="S155" s="267"/>
    </row>
    <row r="156" spans="1:19" ht="17.25" thickBot="1">
      <c r="A156" s="126" t="s">
        <v>246</v>
      </c>
      <c r="B156" s="127">
        <v>322</v>
      </c>
      <c r="C156" s="74">
        <v>-6.1728395E-3</v>
      </c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267"/>
      <c r="R156" s="267"/>
      <c r="S156" s="267"/>
    </row>
    <row r="157" spans="1:19" ht="17.25" thickBot="1">
      <c r="A157" s="124" t="s">
        <v>200</v>
      </c>
      <c r="B157" s="128">
        <v>305</v>
      </c>
      <c r="C157" s="76">
        <v>-6.5146580000000004E-3</v>
      </c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67"/>
      <c r="R157" s="267"/>
      <c r="S157" s="267"/>
    </row>
    <row r="158" spans="1:19" ht="17.25" thickBot="1">
      <c r="A158" s="124" t="s">
        <v>282</v>
      </c>
      <c r="B158" s="125">
        <v>149</v>
      </c>
      <c r="C158" s="73">
        <v>-6.6666666999999997E-3</v>
      </c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67"/>
      <c r="R158" s="267"/>
      <c r="S158" s="267"/>
    </row>
    <row r="159" spans="1:19" ht="17.25" thickBot="1">
      <c r="A159" s="124" t="s">
        <v>230</v>
      </c>
      <c r="B159" s="125">
        <v>146</v>
      </c>
      <c r="C159" s="73">
        <v>-6.8027210999999999E-3</v>
      </c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267"/>
      <c r="R159" s="267"/>
      <c r="S159" s="267"/>
    </row>
    <row r="160" spans="1:19" ht="17.25" thickBot="1">
      <c r="A160" s="124" t="s">
        <v>51</v>
      </c>
      <c r="B160" s="125">
        <v>818</v>
      </c>
      <c r="C160" s="73">
        <v>-7.2815533999999998E-3</v>
      </c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 t="s">
        <v>270</v>
      </c>
      <c r="B161" s="130">
        <v>509</v>
      </c>
      <c r="C161" s="75">
        <v>-7.7972709999999997E-3</v>
      </c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276"/>
      <c r="R161" s="277"/>
      <c r="S161" s="278"/>
    </row>
    <row r="162" spans="1:19">
      <c r="A162" s="122" t="s">
        <v>122</v>
      </c>
      <c r="B162" s="123">
        <v>104</v>
      </c>
      <c r="C162" s="72">
        <v>-9.5238094999999991E-3</v>
      </c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79"/>
      <c r="R162" s="280"/>
      <c r="S162" s="281"/>
    </row>
    <row r="163" spans="1:19" ht="17.25" thickBot="1">
      <c r="A163" s="124" t="s">
        <v>120</v>
      </c>
      <c r="B163" s="125">
        <v>204</v>
      </c>
      <c r="C163" s="73">
        <v>-9.7087379000000001E-3</v>
      </c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282"/>
      <c r="R163" s="283"/>
      <c r="S163" s="284"/>
    </row>
    <row r="164" spans="1:19" ht="17.25" thickBot="1">
      <c r="A164" s="124" t="s">
        <v>112</v>
      </c>
      <c r="B164" s="125">
        <v>230</v>
      </c>
      <c r="C164" s="73">
        <v>-1.28755365E-2</v>
      </c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267"/>
      <c r="R164" s="267"/>
      <c r="S164" s="267"/>
    </row>
    <row r="165" spans="1:19" ht="17.25" thickBot="1">
      <c r="A165" s="124" t="s">
        <v>258</v>
      </c>
      <c r="B165" s="125">
        <v>600</v>
      </c>
      <c r="C165" s="73">
        <v>-1.3157894700000001E-2</v>
      </c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262"/>
      <c r="R165" s="262"/>
      <c r="S165" s="262"/>
    </row>
    <row r="166" spans="1:19" ht="17.25" thickBot="1">
      <c r="A166" s="126" t="s">
        <v>142</v>
      </c>
      <c r="B166" s="127">
        <v>415</v>
      </c>
      <c r="C166" s="74">
        <v>-1.6587677700000001E-2</v>
      </c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262"/>
      <c r="R166" s="262"/>
      <c r="S166" s="262"/>
    </row>
    <row r="167" spans="1:19" ht="17.25" thickBot="1">
      <c r="A167" s="124" t="s">
        <v>202</v>
      </c>
      <c r="B167" s="128">
        <v>166</v>
      </c>
      <c r="C167" s="76">
        <v>-2.35294118E-2</v>
      </c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67"/>
      <c r="R167" s="267"/>
      <c r="S167" s="267"/>
    </row>
    <row r="168" spans="1:19" ht="17.25" thickBot="1">
      <c r="A168" s="124" t="s">
        <v>252</v>
      </c>
      <c r="B168" s="125">
        <v>446</v>
      </c>
      <c r="C168" s="73">
        <v>-2.6200873400000001E-2</v>
      </c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67"/>
      <c r="R168" s="267"/>
      <c r="S168" s="267"/>
    </row>
    <row r="169" spans="1:19" ht="17.25" thickBot="1">
      <c r="A169" s="124" t="s">
        <v>54</v>
      </c>
      <c r="B169" s="125">
        <v>402</v>
      </c>
      <c r="C169" s="73">
        <v>-4.2857142899999999E-2</v>
      </c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267"/>
      <c r="R169" s="267"/>
      <c r="S169" s="267"/>
    </row>
    <row r="170" spans="1:19">
      <c r="A170" s="124" t="s">
        <v>208</v>
      </c>
      <c r="B170" s="125">
        <v>450</v>
      </c>
      <c r="C170" s="73">
        <v>-5.6603773599999997E-2</v>
      </c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289"/>
      <c r="R170" s="290"/>
      <c r="S170" s="291"/>
    </row>
    <row r="171" spans="1:19" ht="17.25" thickBot="1">
      <c r="A171" s="129" t="s">
        <v>182</v>
      </c>
      <c r="B171" s="130">
        <v>523</v>
      </c>
      <c r="C171" s="75">
        <v>-7.4336283200000006E-2</v>
      </c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292"/>
      <c r="R171" s="293"/>
      <c r="S171" s="294"/>
    </row>
    <row r="172" spans="1:19" ht="17.25" thickBot="1">
      <c r="A172" s="131" t="s">
        <v>301</v>
      </c>
      <c r="B172" s="300">
        <f>$B$37</f>
        <v>150000</v>
      </c>
      <c r="C172" s="301"/>
      <c r="D172" s="131" t="s">
        <v>302</v>
      </c>
      <c r="E172" s="236">
        <f>IF(COUNT(E152:E171), SUM(E152:E171) / COUNT(E152:E171), 0)</f>
        <v>0</v>
      </c>
      <c r="F172" s="208">
        <f>SUM(F152:F171)</f>
        <v>0</v>
      </c>
      <c r="G172" s="131" t="s">
        <v>302</v>
      </c>
      <c r="H172" s="236">
        <f>IF(COUNT(H152:H171), SUM(H152:H171) / COUNT(H152:H171), 0)</f>
        <v>0</v>
      </c>
      <c r="I172" s="208">
        <f>SUM(I152:I171)</f>
        <v>0</v>
      </c>
      <c r="J172" s="131" t="s">
        <v>302</v>
      </c>
      <c r="K172" s="236">
        <f>IF(COUNT(K152:K171), SUM(K152:K171) / COUNT(K152:K171), 0)</f>
        <v>0</v>
      </c>
      <c r="L172" s="208">
        <f>SUM(L152:L171)</f>
        <v>0</v>
      </c>
      <c r="M172" s="131" t="s">
        <v>302</v>
      </c>
      <c r="N172" s="236">
        <f>IF(COUNT(N152:N171), SUM(N152:N171) / COUNT(N152:N171), 0)</f>
        <v>0</v>
      </c>
      <c r="O172" s="208">
        <f>SUM(O152:O171)</f>
        <v>0</v>
      </c>
      <c r="Q172" s="295"/>
      <c r="R172" s="296"/>
      <c r="S172" s="297"/>
    </row>
    <row r="174" spans="1:19" ht="17.25" thickBot="1"/>
    <row r="175" spans="1:19" ht="17.25" thickBot="1">
      <c r="A175" s="241" t="s">
        <v>285</v>
      </c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3"/>
      <c r="Q175" s="262"/>
      <c r="R175" s="262"/>
      <c r="S175" s="262"/>
    </row>
    <row r="176" spans="1:19" ht="17.25" thickBot="1">
      <c r="A176" s="233" t="s">
        <v>298</v>
      </c>
      <c r="B176" s="241" t="s">
        <v>49</v>
      </c>
      <c r="C176" s="243"/>
      <c r="D176" s="241" t="s">
        <v>58</v>
      </c>
      <c r="E176" s="242"/>
      <c r="F176" s="243"/>
      <c r="G176" s="268">
        <f>_xlfn.IFNA(VLOOKUP(B176, 현재가테이블!$B$2:$D$200, 2, FALSE), "-")</f>
        <v>62017000</v>
      </c>
      <c r="H176" s="269"/>
      <c r="I176" s="270"/>
      <c r="J176" s="241" t="s">
        <v>59</v>
      </c>
      <c r="K176" s="242"/>
      <c r="L176" s="243"/>
      <c r="M176" s="271">
        <f>_xlfn.IFNA(VLOOKUP(B176, 현재가테이블!$B$2:$D$200, 3, FALSE), "-")</f>
        <v>-1.6680144000000001E-2</v>
      </c>
      <c r="N176" s="272"/>
      <c r="O176" s="273"/>
      <c r="Q176" s="262"/>
      <c r="R176" s="262"/>
      <c r="S176" s="262"/>
    </row>
    <row r="177" spans="1:19" ht="17.25" thickBot="1">
      <c r="A177" s="302" t="s">
        <v>55</v>
      </c>
      <c r="B177" s="304" t="str">
        <f>TEXT($G$1, "[$-ko-KR]yyyy-mm-dd(ddd) ") &amp; "오전 00:00"</f>
        <v>2021-05-15(토) 오전 00:00</v>
      </c>
      <c r="C177" s="305"/>
      <c r="D177" s="241" t="str">
        <f>TEXT($G$1, "[$-ko-KR]yyyy-mm-dd(ddd) ") &amp; "오후 14:00"</f>
        <v>2021-05-15(토) 오후 14:00</v>
      </c>
      <c r="E177" s="242"/>
      <c r="F177" s="243"/>
      <c r="G177" s="241" t="str">
        <f>TEXT($G$1, "[$-ko-KR]yyyy-mm-dd(ddd) ") &amp; "오후 19:00"</f>
        <v>2021-05-15(토) 오후 19:00</v>
      </c>
      <c r="H177" s="242"/>
      <c r="I177" s="243"/>
      <c r="J177" s="241" t="str">
        <f>TEXT($G$1, "[$-ko-KR]yyyy-mm-dd(ddd) ") &amp; "오후 21:00"</f>
        <v>2021-05-15(토) 오후 21:00</v>
      </c>
      <c r="K177" s="242"/>
      <c r="L177" s="243"/>
      <c r="M177" s="241" t="str">
        <f>TEXT($G$1+1, "[$-ko-KR]yyyy-mm-dd(ddd) ") &amp; "오전 00:00"</f>
        <v>2021-05-16(일) 오전 00:00</v>
      </c>
      <c r="N177" s="242"/>
      <c r="O177" s="243"/>
      <c r="Q177" s="262"/>
      <c r="R177" s="262"/>
      <c r="S177" s="262"/>
    </row>
    <row r="178" spans="1:19" ht="17.25" thickBot="1">
      <c r="A178" s="303"/>
      <c r="B178" s="120" t="s">
        <v>58</v>
      </c>
      <c r="C178" s="121" t="s">
        <v>59</v>
      </c>
      <c r="D178" s="120" t="s">
        <v>58</v>
      </c>
      <c r="E178" s="121" t="s">
        <v>299</v>
      </c>
      <c r="F178" s="240" t="s">
        <v>300</v>
      </c>
      <c r="G178" s="233" t="s">
        <v>58</v>
      </c>
      <c r="H178" s="234" t="s">
        <v>299</v>
      </c>
      <c r="I178" s="235" t="s">
        <v>300</v>
      </c>
      <c r="J178" s="121" t="s">
        <v>58</v>
      </c>
      <c r="K178" s="121" t="s">
        <v>299</v>
      </c>
      <c r="L178" s="238" t="s">
        <v>300</v>
      </c>
      <c r="M178" s="120" t="s">
        <v>58</v>
      </c>
      <c r="N178" s="121" t="s">
        <v>299</v>
      </c>
      <c r="O178" s="239" t="s">
        <v>300</v>
      </c>
      <c r="Q178" s="267"/>
      <c r="R178" s="267"/>
      <c r="S178" s="267"/>
    </row>
    <row r="179" spans="1:19" ht="17.25" thickBot="1">
      <c r="A179" s="122" t="s">
        <v>272</v>
      </c>
      <c r="B179" s="123">
        <v>2185</v>
      </c>
      <c r="C179" s="72">
        <v>-1.5765765800000001E-2</v>
      </c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62"/>
      <c r="R179" s="262"/>
      <c r="S179" s="262"/>
    </row>
    <row r="180" spans="1:19" ht="17.25" thickBot="1">
      <c r="A180" s="124" t="s">
        <v>280</v>
      </c>
      <c r="B180" s="125">
        <v>1520</v>
      </c>
      <c r="C180" s="73">
        <v>-1.6181229799999999E-2</v>
      </c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62"/>
      <c r="R180" s="262"/>
      <c r="S180" s="262"/>
    </row>
    <row r="181" spans="1:19" ht="17.25" thickBot="1">
      <c r="A181" s="124" t="s">
        <v>80</v>
      </c>
      <c r="B181" s="125">
        <v>1495</v>
      </c>
      <c r="C181" s="73">
        <v>-1.6447368399999999E-2</v>
      </c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267"/>
      <c r="R181" s="267"/>
      <c r="S181" s="267"/>
    </row>
    <row r="182" spans="1:19" ht="17.25" thickBot="1">
      <c r="A182" s="124" t="s">
        <v>142</v>
      </c>
      <c r="B182" s="125">
        <v>415</v>
      </c>
      <c r="C182" s="73">
        <v>-1.6587677700000001E-2</v>
      </c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267"/>
      <c r="R182" s="267"/>
      <c r="S182" s="267"/>
    </row>
    <row r="183" spans="1:19" ht="17.25" thickBot="1">
      <c r="A183" s="126" t="s">
        <v>49</v>
      </c>
      <c r="B183" s="127">
        <v>62017000</v>
      </c>
      <c r="C183" s="74">
        <v>-1.6680144000000001E-2</v>
      </c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267"/>
      <c r="R183" s="267"/>
      <c r="S183" s="267"/>
    </row>
    <row r="184" spans="1:19" ht="17.25" thickBot="1">
      <c r="A184" s="124" t="s">
        <v>268</v>
      </c>
      <c r="B184" s="128">
        <v>79.5</v>
      </c>
      <c r="C184" s="76">
        <v>-2.0935960600000001E-2</v>
      </c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67"/>
      <c r="R184" s="267"/>
      <c r="S184" s="267"/>
    </row>
    <row r="185" spans="1:19" ht="17.25" thickBot="1">
      <c r="A185" s="124" t="s">
        <v>82</v>
      </c>
      <c r="B185" s="125">
        <v>1400</v>
      </c>
      <c r="C185" s="73">
        <v>-2.0979021E-2</v>
      </c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67"/>
      <c r="R185" s="267"/>
      <c r="S185" s="267"/>
    </row>
    <row r="186" spans="1:19" ht="17.25" thickBot="1">
      <c r="A186" s="124" t="s">
        <v>184</v>
      </c>
      <c r="B186" s="125">
        <v>2490</v>
      </c>
      <c r="C186" s="73">
        <v>-2.35294118E-2</v>
      </c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267"/>
      <c r="R186" s="267"/>
      <c r="S186" s="267"/>
    </row>
    <row r="187" spans="1:19" ht="17.25" thickBot="1">
      <c r="A187" s="124" t="s">
        <v>202</v>
      </c>
      <c r="B187" s="125">
        <v>166</v>
      </c>
      <c r="C187" s="73">
        <v>-2.35294118E-2</v>
      </c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 t="s">
        <v>252</v>
      </c>
      <c r="B188" s="130">
        <v>446</v>
      </c>
      <c r="C188" s="75">
        <v>-2.6200873400000001E-2</v>
      </c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276"/>
      <c r="R188" s="277"/>
      <c r="S188" s="278"/>
    </row>
    <row r="189" spans="1:19">
      <c r="A189" s="122" t="s">
        <v>67</v>
      </c>
      <c r="B189" s="123">
        <v>7040</v>
      </c>
      <c r="C189" s="72">
        <v>-2.6279391400000001E-2</v>
      </c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79"/>
      <c r="R189" s="280"/>
      <c r="S189" s="281"/>
    </row>
    <row r="190" spans="1:19" ht="17.25" thickBot="1">
      <c r="A190" s="124" t="s">
        <v>204</v>
      </c>
      <c r="B190" s="125">
        <v>6370</v>
      </c>
      <c r="C190" s="73">
        <v>-2.67379679E-2</v>
      </c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282"/>
      <c r="R190" s="283"/>
      <c r="S190" s="284"/>
    </row>
    <row r="191" spans="1:19" ht="17.25" thickBot="1">
      <c r="A191" s="124" t="s">
        <v>276</v>
      </c>
      <c r="B191" s="125">
        <v>4365</v>
      </c>
      <c r="C191" s="73">
        <v>-3.4292035399999997E-2</v>
      </c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267"/>
      <c r="R191" s="267"/>
      <c r="S191" s="267"/>
    </row>
    <row r="192" spans="1:19" ht="17.25" thickBot="1">
      <c r="A192" s="124" t="s">
        <v>54</v>
      </c>
      <c r="B192" s="125">
        <v>402</v>
      </c>
      <c r="C192" s="73">
        <v>-4.2857142899999999E-2</v>
      </c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262"/>
      <c r="R192" s="262"/>
      <c r="S192" s="262"/>
    </row>
    <row r="193" spans="1:19" ht="17.25" thickBot="1">
      <c r="A193" s="126" t="s">
        <v>236</v>
      </c>
      <c r="B193" s="127">
        <v>69.099999999999994</v>
      </c>
      <c r="C193" s="74">
        <v>-4.2936288099999997E-2</v>
      </c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262"/>
      <c r="R193" s="262"/>
      <c r="S193" s="262"/>
    </row>
    <row r="194" spans="1:19" ht="17.25" thickBot="1">
      <c r="A194" s="124" t="s">
        <v>84</v>
      </c>
      <c r="B194" s="128">
        <v>2325</v>
      </c>
      <c r="C194" s="76">
        <v>-4.5174538E-2</v>
      </c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67"/>
      <c r="R194" s="267"/>
      <c r="S194" s="267"/>
    </row>
    <row r="195" spans="1:19" ht="17.25" thickBot="1">
      <c r="A195" s="124" t="s">
        <v>190</v>
      </c>
      <c r="B195" s="125">
        <v>64620</v>
      </c>
      <c r="C195" s="73">
        <v>-4.7745358100000003E-2</v>
      </c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67"/>
      <c r="R195" s="267"/>
      <c r="S195" s="267"/>
    </row>
    <row r="196" spans="1:19" ht="17.25" thickBot="1">
      <c r="A196" s="124" t="s">
        <v>208</v>
      </c>
      <c r="B196" s="125">
        <v>450</v>
      </c>
      <c r="C196" s="73">
        <v>-5.6603773599999997E-2</v>
      </c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267"/>
      <c r="R196" s="267"/>
      <c r="S196" s="267"/>
    </row>
    <row r="197" spans="1:19">
      <c r="A197" s="124" t="s">
        <v>172</v>
      </c>
      <c r="B197" s="125">
        <v>23</v>
      </c>
      <c r="C197" s="73">
        <v>-5.7377049200000002E-2</v>
      </c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289"/>
      <c r="R197" s="290"/>
      <c r="S197" s="291"/>
    </row>
    <row r="198" spans="1:19" ht="17.25" thickBot="1">
      <c r="A198" s="129" t="s">
        <v>182</v>
      </c>
      <c r="B198" s="130">
        <v>523</v>
      </c>
      <c r="C198" s="75">
        <v>-7.4336283200000006E-2</v>
      </c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292"/>
      <c r="R198" s="293"/>
      <c r="S198" s="294"/>
    </row>
    <row r="199" spans="1:19" ht="17.25" thickBot="1">
      <c r="A199" s="131" t="s">
        <v>301</v>
      </c>
      <c r="B199" s="300">
        <f>$B$37</f>
        <v>150000</v>
      </c>
      <c r="C199" s="301"/>
      <c r="D199" s="131" t="s">
        <v>302</v>
      </c>
      <c r="E199" s="236">
        <f>IF(COUNT(E179:E198), SUM(E179:E198) / COUNT(E179:E198), 0)</f>
        <v>0</v>
      </c>
      <c r="F199" s="208">
        <f>SUM(F179:F198)</f>
        <v>0</v>
      </c>
      <c r="G199" s="131" t="s">
        <v>302</v>
      </c>
      <c r="H199" s="236">
        <f>IF(COUNT(H179:H198), SUM(H179:H198) / COUNT(H179:H198), 0)</f>
        <v>0</v>
      </c>
      <c r="I199" s="208">
        <f>SUM(I179:I198)</f>
        <v>0</v>
      </c>
      <c r="J199" s="131" t="s">
        <v>302</v>
      </c>
      <c r="K199" s="236">
        <f>IF(COUNT(K179:K198), SUM(K179:K198) / COUNT(K179:K198), 0)</f>
        <v>0</v>
      </c>
      <c r="L199" s="208">
        <f>SUM(L179:L198)</f>
        <v>0</v>
      </c>
      <c r="M199" s="131" t="s">
        <v>302</v>
      </c>
      <c r="N199" s="236">
        <f>IF(COUNT(N179:N198), SUM(N179:N198) / COUNT(N179:N198), 0)</f>
        <v>0</v>
      </c>
      <c r="O199" s="208">
        <f>SUM(O179:O198)</f>
        <v>0</v>
      </c>
      <c r="Q199" s="295"/>
      <c r="R199" s="296"/>
      <c r="S199" s="297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1" priority="157">
      <formula>AND($N17 &gt; 0, ISNUMBER($N17))</formula>
    </cfRule>
    <cfRule type="expression" dxfId="10" priority="158">
      <formula>AND($N17 = 0 * ISNUMBER($N17))</formula>
    </cfRule>
    <cfRule type="expression" dxfId="9" priority="159">
      <formula>AND($N17 &lt; 0, ISNUMBER($N17))</formula>
    </cfRule>
  </conditionalFormatting>
  <conditionalFormatting sqref="A17:F36">
    <cfRule type="expression" dxfId="8" priority="166">
      <formula>AND($E17 &gt; 0, ISNUMBER($E17))</formula>
    </cfRule>
    <cfRule type="expression" dxfId="7" priority="167">
      <formula>AND($E17 = 0 * ISNUMBER($E17))</formula>
    </cfRule>
    <cfRule type="expression" dxfId="6" priority="168">
      <formula>AND($E17 &lt; 0, ISNUMBER($E17))</formula>
    </cfRule>
  </conditionalFormatting>
  <conditionalFormatting sqref="A17:C36 G17:I36">
    <cfRule type="expression" dxfId="5" priority="163">
      <formula>AND($H17 &gt; 0, ISNUMBER($H17))</formula>
    </cfRule>
    <cfRule type="expression" dxfId="4" priority="164">
      <formula>AND($H17 = 0 * ISNUMBER($H17))</formula>
    </cfRule>
    <cfRule type="expression" dxfId="3" priority="165">
      <formula>AND($H17 &lt; 0, ISNUMBER($H17))</formula>
    </cfRule>
  </conditionalFormatting>
  <conditionalFormatting sqref="A17:C36 J17:L36">
    <cfRule type="expression" dxfId="2" priority="160">
      <formula>AND($K17 &gt; 0, ISNUMBER($K17))</formula>
    </cfRule>
    <cfRule type="expression" dxfId="1" priority="161">
      <formula>AND($K17 = 0 * ISNUMBER($K17))</formula>
    </cfRule>
    <cfRule type="expression" dxfId="0" priority="162">
      <formula>AND($K17 &lt; 0, ISNUMBER($K17))</formula>
    </cfRule>
  </conditionalFormatting>
  <conditionalFormatting sqref="D15:F16 E37:F37">
    <cfRule type="expression" dxfId="179" priority="154">
      <formula>$E$37 &gt; 0</formula>
    </cfRule>
    <cfRule type="expression" dxfId="178" priority="155">
      <formula>$E$37 = 0</formula>
    </cfRule>
    <cfRule type="expression" dxfId="177" priority="156">
      <formula>$E$37 &lt; 0</formula>
    </cfRule>
  </conditionalFormatting>
  <conditionalFormatting sqref="G15:I16 H37:I37">
    <cfRule type="expression" dxfId="176" priority="151">
      <formula>$H$37 &gt; 0</formula>
    </cfRule>
    <cfRule type="expression" dxfId="175" priority="152">
      <formula>$H$37 = 0</formula>
    </cfRule>
    <cfRule type="expression" dxfId="174" priority="153">
      <formula>$H$37 &lt; 0</formula>
    </cfRule>
  </conditionalFormatting>
  <conditionalFormatting sqref="J15:L16 K37:L37">
    <cfRule type="expression" dxfId="173" priority="148">
      <formula>$K$37 &gt; 0</formula>
    </cfRule>
    <cfRule type="expression" dxfId="172" priority="149">
      <formula>$K$37 = 0</formula>
    </cfRule>
    <cfRule type="expression" dxfId="171" priority="150">
      <formula>$K$37 &lt; 0</formula>
    </cfRule>
  </conditionalFormatting>
  <conditionalFormatting sqref="M15:O16 N37:O37">
    <cfRule type="expression" dxfId="170" priority="145">
      <formula>$N$37 &gt; 0</formula>
    </cfRule>
    <cfRule type="expression" dxfId="169" priority="146">
      <formula>$N$37 = 0</formula>
    </cfRule>
    <cfRule type="expression" dxfId="168" priority="147">
      <formula>$N$37 &lt; 0</formula>
    </cfRule>
  </conditionalFormatting>
  <conditionalFormatting sqref="A44:C63 M44:O63">
    <cfRule type="expression" dxfId="167" priority="133">
      <formula>AND($N44 &gt; 0, ISNUMBER($N44))</formula>
    </cfRule>
    <cfRule type="expression" dxfId="166" priority="134">
      <formula>AND($N44 = 0 * ISNUMBER($N44))</formula>
    </cfRule>
    <cfRule type="expression" dxfId="165" priority="135">
      <formula>AND($N44 &lt; 0, ISNUMBER($N44))</formula>
    </cfRule>
  </conditionalFormatting>
  <conditionalFormatting sqref="A44:F63">
    <cfRule type="expression" dxfId="164" priority="142">
      <formula>AND($E44 &gt; 0, ISNUMBER($E44))</formula>
    </cfRule>
    <cfRule type="expression" dxfId="163" priority="143">
      <formula>AND($E44 = 0 * ISNUMBER($E44))</formula>
    </cfRule>
    <cfRule type="expression" dxfId="162" priority="144">
      <formula>AND($E44 &lt; 0, ISNUMBER($E44))</formula>
    </cfRule>
  </conditionalFormatting>
  <conditionalFormatting sqref="A44:C63 G44:I63">
    <cfRule type="expression" dxfId="161" priority="139">
      <formula>AND($H44 &gt; 0, ISNUMBER($H44))</formula>
    </cfRule>
    <cfRule type="expression" dxfId="160" priority="140">
      <formula>AND($H44 = 0 * ISNUMBER($H44))</formula>
    </cfRule>
    <cfRule type="expression" dxfId="159" priority="141">
      <formula>AND($H44 &lt; 0, ISNUMBER($H44))</formula>
    </cfRule>
  </conditionalFormatting>
  <conditionalFormatting sqref="A44:C63 J44:L63">
    <cfRule type="expression" dxfId="158" priority="136">
      <formula>AND($K44 &gt; 0, ISNUMBER($K44))</formula>
    </cfRule>
    <cfRule type="expression" dxfId="157" priority="137">
      <formula>AND($K44 = 0 * ISNUMBER($K44))</formula>
    </cfRule>
    <cfRule type="expression" dxfId="156" priority="138">
      <formula>AND($K44 &lt; 0, ISNUMBER($K44))</formula>
    </cfRule>
  </conditionalFormatting>
  <conditionalFormatting sqref="D42:F43 E64:F64">
    <cfRule type="expression" dxfId="155" priority="130">
      <formula>$E$64 &gt; 0</formula>
    </cfRule>
    <cfRule type="expression" dxfId="154" priority="131">
      <formula>$E$64 = 0</formula>
    </cfRule>
    <cfRule type="expression" dxfId="153" priority="132">
      <formula>$E$64 &lt; 0</formula>
    </cfRule>
  </conditionalFormatting>
  <conditionalFormatting sqref="G42:I43 H64:I64">
    <cfRule type="expression" dxfId="152" priority="127">
      <formula>$H$64 &gt; 0</formula>
    </cfRule>
    <cfRule type="expression" dxfId="151" priority="128">
      <formula>$H$64 = 0</formula>
    </cfRule>
    <cfRule type="expression" dxfId="150" priority="129">
      <formula>$H$64 &lt; 0</formula>
    </cfRule>
  </conditionalFormatting>
  <conditionalFormatting sqref="J42:L43 K64:L64">
    <cfRule type="expression" dxfId="149" priority="124">
      <formula>$K$64 &gt; 0</formula>
    </cfRule>
    <cfRule type="expression" dxfId="148" priority="125">
      <formula>$K$64 = 0</formula>
    </cfRule>
    <cfRule type="expression" dxfId="147" priority="126">
      <formula>$K$64 &lt; 0</formula>
    </cfRule>
  </conditionalFormatting>
  <conditionalFormatting sqref="M42:O43 N64:O64">
    <cfRule type="expression" dxfId="146" priority="121">
      <formula>$N$64 &gt; 0</formula>
    </cfRule>
    <cfRule type="expression" dxfId="145" priority="122">
      <formula>$N$64 = 0</formula>
    </cfRule>
    <cfRule type="expression" dxfId="144" priority="123">
      <formula>$N$64 &lt; 0</formula>
    </cfRule>
  </conditionalFormatting>
  <conditionalFormatting sqref="A71:C90 M71:O90">
    <cfRule type="expression" dxfId="143" priority="109">
      <formula>AND($N71 &gt; 0, ISNUMBER($N71))</formula>
    </cfRule>
    <cfRule type="expression" dxfId="142" priority="110">
      <formula>AND($N71 = 0 * ISNUMBER($N71))</formula>
    </cfRule>
    <cfRule type="expression" dxfId="141" priority="111">
      <formula>AND($N71 &lt; 0, ISNUMBER($N71))</formula>
    </cfRule>
  </conditionalFormatting>
  <conditionalFormatting sqref="A71:F90">
    <cfRule type="expression" dxfId="140" priority="118">
      <formula>AND($E71 &gt; 0, ISNUMBER($E71))</formula>
    </cfRule>
    <cfRule type="expression" dxfId="139" priority="119">
      <formula>AND($E71 = 0 * ISNUMBER($E71))</formula>
    </cfRule>
    <cfRule type="expression" dxfId="138" priority="120">
      <formula>AND($E71 &lt; 0, ISNUMBER($E71))</formula>
    </cfRule>
  </conditionalFormatting>
  <conditionalFormatting sqref="A71:C90 G71:I90">
    <cfRule type="expression" dxfId="137" priority="115">
      <formula>AND($H71 &gt; 0, ISNUMBER($H71))</formula>
    </cfRule>
    <cfRule type="expression" dxfId="136" priority="116">
      <formula>AND($H71 = 0 * ISNUMBER($H71))</formula>
    </cfRule>
    <cfRule type="expression" dxfId="135" priority="117">
      <formula>AND($H71 &lt; 0, ISNUMBER($H71))</formula>
    </cfRule>
  </conditionalFormatting>
  <conditionalFormatting sqref="A71:C90 J71:L90">
    <cfRule type="expression" dxfId="134" priority="112">
      <formula>AND($K71 &gt; 0, ISNUMBER($K71))</formula>
    </cfRule>
    <cfRule type="expression" dxfId="133" priority="113">
      <formula>AND($K71 = 0 * ISNUMBER($K71))</formula>
    </cfRule>
    <cfRule type="expression" dxfId="132" priority="114">
      <formula>AND($K71 &lt; 0, ISNUMBER($K71))</formula>
    </cfRule>
  </conditionalFormatting>
  <conditionalFormatting sqref="D69:F70 E91:F91">
    <cfRule type="expression" dxfId="131" priority="106">
      <formula>$E$91 &gt; 0</formula>
    </cfRule>
    <cfRule type="expression" dxfId="130" priority="107">
      <formula>$E$91 = 0</formula>
    </cfRule>
    <cfRule type="expression" dxfId="129" priority="108">
      <formula>$E$91 &lt; 0</formula>
    </cfRule>
  </conditionalFormatting>
  <conditionalFormatting sqref="G69:I70 H91:I91">
    <cfRule type="expression" dxfId="128" priority="103">
      <formula>$H$91 &gt; 0</formula>
    </cfRule>
    <cfRule type="expression" dxfId="127" priority="104">
      <formula>$H$91 = 0</formula>
    </cfRule>
    <cfRule type="expression" dxfId="126" priority="105">
      <formula>$H$91 &lt; 0</formula>
    </cfRule>
  </conditionalFormatting>
  <conditionalFormatting sqref="J69:L70 K91:L91">
    <cfRule type="expression" dxfId="125" priority="100">
      <formula>$K$91 &gt; 0</formula>
    </cfRule>
    <cfRule type="expression" dxfId="124" priority="101">
      <formula>$K$91 = 0</formula>
    </cfRule>
    <cfRule type="expression" dxfId="123" priority="102">
      <formula>$K$91 &lt; 0</formula>
    </cfRule>
  </conditionalFormatting>
  <conditionalFormatting sqref="M69:O70 N91:O91">
    <cfRule type="expression" dxfId="122" priority="97">
      <formula>$N$91 &gt; 0</formula>
    </cfRule>
    <cfRule type="expression" dxfId="121" priority="98">
      <formula>$N$91 = 0</formula>
    </cfRule>
    <cfRule type="expression" dxfId="120" priority="99">
      <formula>$N$91 &lt; 0</formula>
    </cfRule>
  </conditionalFormatting>
  <conditionalFormatting sqref="A98:C117 M98:O117">
    <cfRule type="expression" dxfId="119" priority="85">
      <formula>AND($N98 &gt; 0, ISNUMBER($N98))</formula>
    </cfRule>
    <cfRule type="expression" dxfId="118" priority="86">
      <formula>AND($N98 = 0 * ISNUMBER($N98))</formula>
    </cfRule>
    <cfRule type="expression" dxfId="117" priority="87">
      <formula>AND($N98 &lt; 0, ISNUMBER($N98))</formula>
    </cfRule>
  </conditionalFormatting>
  <conditionalFormatting sqref="A98:F117">
    <cfRule type="expression" dxfId="116" priority="94">
      <formula>AND($E98 &gt; 0, ISNUMBER($E98))</formula>
    </cfRule>
    <cfRule type="expression" dxfId="115" priority="95">
      <formula>AND($E98 = 0 * ISNUMBER($E98))</formula>
    </cfRule>
    <cfRule type="expression" dxfId="114" priority="96">
      <formula>AND($E98 &lt; 0, ISNUMBER($E98))</formula>
    </cfRule>
  </conditionalFormatting>
  <conditionalFormatting sqref="A98:C117 G98:I117">
    <cfRule type="expression" dxfId="113" priority="91">
      <formula>AND($H98 &gt; 0, ISNUMBER($H98))</formula>
    </cfRule>
    <cfRule type="expression" dxfId="112" priority="92">
      <formula>AND($H98 = 0 * ISNUMBER($H98))</formula>
    </cfRule>
    <cfRule type="expression" dxfId="111" priority="93">
      <formula>AND($H98 &lt; 0, ISNUMBER($H98))</formula>
    </cfRule>
  </conditionalFormatting>
  <conditionalFormatting sqref="A98:C117 J98:L117">
    <cfRule type="expression" dxfId="110" priority="88">
      <formula>AND($K98 &gt; 0, ISNUMBER($K98))</formula>
    </cfRule>
    <cfRule type="expression" dxfId="109" priority="89">
      <formula>AND($K98 = 0 * ISNUMBER($K98))</formula>
    </cfRule>
    <cfRule type="expression" dxfId="108" priority="90">
      <formula>AND($K98 &lt; 0, ISNUMBER($K98))</formula>
    </cfRule>
  </conditionalFormatting>
  <conditionalFormatting sqref="D96:F97 E118:F118">
    <cfRule type="expression" dxfId="107" priority="82">
      <formula>$E$118 &gt; 0</formula>
    </cfRule>
    <cfRule type="expression" dxfId="106" priority="83">
      <formula>$E$118 = 0</formula>
    </cfRule>
    <cfRule type="expression" dxfId="105" priority="84">
      <formula>$E$118 &lt; 0</formula>
    </cfRule>
  </conditionalFormatting>
  <conditionalFormatting sqref="G96:I97 H118:I118">
    <cfRule type="expression" dxfId="104" priority="79">
      <formula>$H$118 &gt; 0</formula>
    </cfRule>
    <cfRule type="expression" dxfId="103" priority="80">
      <formula>$H$118 = 0</formula>
    </cfRule>
    <cfRule type="expression" dxfId="102" priority="81">
      <formula>$H$118 &lt; 0</formula>
    </cfRule>
  </conditionalFormatting>
  <conditionalFormatting sqref="J96:L97 K118:L118">
    <cfRule type="expression" dxfId="101" priority="76">
      <formula>$K$118 &gt; 0</formula>
    </cfRule>
    <cfRule type="expression" dxfId="100" priority="77">
      <formula>$K$118 = 0</formula>
    </cfRule>
    <cfRule type="expression" dxfId="99" priority="78">
      <formula>$K$118 &lt; 0</formula>
    </cfRule>
  </conditionalFormatting>
  <conditionalFormatting sqref="M96:O97 N118:O118">
    <cfRule type="expression" dxfId="98" priority="73">
      <formula>$N$118 &gt; 0</formula>
    </cfRule>
    <cfRule type="expression" dxfId="97" priority="74">
      <formula>$N$118 = 0</formula>
    </cfRule>
    <cfRule type="expression" dxfId="96" priority="75">
      <formula>$N$118 &lt; 0</formula>
    </cfRule>
  </conditionalFormatting>
  <conditionalFormatting sqref="A125:C144 M125:O144">
    <cfRule type="expression" dxfId="95" priority="61">
      <formula>AND($N125 &gt; 0, ISNUMBER($N125))</formula>
    </cfRule>
    <cfRule type="expression" dxfId="94" priority="62">
      <formula>AND($N125 = 0 * ISNUMBER($N125))</formula>
    </cfRule>
    <cfRule type="expression" dxfId="93" priority="63">
      <formula>AND($N125 &lt; 0, ISNUMBER($N125))</formula>
    </cfRule>
  </conditionalFormatting>
  <conditionalFormatting sqref="A125:F144">
    <cfRule type="expression" dxfId="92" priority="70">
      <formula>AND($E125 &gt; 0, ISNUMBER($E125))</formula>
    </cfRule>
    <cfRule type="expression" dxfId="91" priority="71">
      <formula>AND($E125 = 0 * ISNUMBER($E125))</formula>
    </cfRule>
    <cfRule type="expression" dxfId="90" priority="72">
      <formula>AND($E125 &lt; 0, ISNUMBER($E125))</formula>
    </cfRule>
  </conditionalFormatting>
  <conditionalFormatting sqref="A125:C144 G125:I144">
    <cfRule type="expression" dxfId="89" priority="67">
      <formula>AND($H125 &gt; 0, ISNUMBER($H125))</formula>
    </cfRule>
    <cfRule type="expression" dxfId="88" priority="68">
      <formula>AND($H125 = 0 * ISNUMBER($H125))</formula>
    </cfRule>
    <cfRule type="expression" dxfId="87" priority="69">
      <formula>AND($H125 &lt; 0, ISNUMBER($H125))</formula>
    </cfRule>
  </conditionalFormatting>
  <conditionalFormatting sqref="A125:C144 J125:L144">
    <cfRule type="expression" dxfId="86" priority="64">
      <formula>AND($K125 &gt; 0, ISNUMBER($K125))</formula>
    </cfRule>
    <cfRule type="expression" dxfId="85" priority="65">
      <formula>AND($K125 = 0 * ISNUMBER($K125))</formula>
    </cfRule>
    <cfRule type="expression" dxfId="84" priority="66">
      <formula>AND($K125 &lt; 0, ISNUMBER($K125))</formula>
    </cfRule>
  </conditionalFormatting>
  <conditionalFormatting sqref="D123:F124 E145:F145">
    <cfRule type="expression" dxfId="83" priority="58">
      <formula>$E$145 &gt; 0</formula>
    </cfRule>
    <cfRule type="expression" dxfId="82" priority="59">
      <formula>$E$145 = 0</formula>
    </cfRule>
    <cfRule type="expression" dxfId="81" priority="60">
      <formula>$E$145 &lt; 0</formula>
    </cfRule>
  </conditionalFormatting>
  <conditionalFormatting sqref="G123:I124 H145:I145">
    <cfRule type="expression" dxfId="80" priority="55">
      <formula>$H$145 &gt; 0</formula>
    </cfRule>
    <cfRule type="expression" dxfId="79" priority="56">
      <formula>$H$145 = 0</formula>
    </cfRule>
    <cfRule type="expression" dxfId="78" priority="57">
      <formula>$H$145 &lt; 0</formula>
    </cfRule>
  </conditionalFormatting>
  <conditionalFormatting sqref="J123:L124 K145:L145">
    <cfRule type="expression" dxfId="77" priority="52">
      <formula>$K$145 &gt; 0</formula>
    </cfRule>
    <cfRule type="expression" dxfId="76" priority="53">
      <formula>$K$145 = 0</formula>
    </cfRule>
    <cfRule type="expression" dxfId="75" priority="54">
      <formula>$K$145 &lt; 0</formula>
    </cfRule>
  </conditionalFormatting>
  <conditionalFormatting sqref="M123:O124 N145:O145">
    <cfRule type="expression" dxfId="74" priority="49">
      <formula>$N$145 &gt; 0</formula>
    </cfRule>
    <cfRule type="expression" dxfId="73" priority="50">
      <formula>$N$145 = 0</formula>
    </cfRule>
    <cfRule type="expression" dxfId="72" priority="51">
      <formula>$N$145 &lt; 0</formula>
    </cfRule>
  </conditionalFormatting>
  <conditionalFormatting sqref="A152:C171 M152:O171">
    <cfRule type="expression" dxfId="71" priority="37">
      <formula>AND($N152 &gt; 0, ISNUMBER($N152))</formula>
    </cfRule>
    <cfRule type="expression" dxfId="70" priority="38">
      <formula>AND($N152 = 0 * ISNUMBER($N152))</formula>
    </cfRule>
    <cfRule type="expression" dxfId="69" priority="39">
      <formula>AND($N152 &lt; 0, ISNUMBER($N152))</formula>
    </cfRule>
  </conditionalFormatting>
  <conditionalFormatting sqref="A152:F171">
    <cfRule type="expression" dxfId="68" priority="46">
      <formula>AND($E152 &gt; 0, ISNUMBER($E152))</formula>
    </cfRule>
    <cfRule type="expression" dxfId="67" priority="47">
      <formula>AND($E152 = 0 * ISNUMBER($E152))</formula>
    </cfRule>
    <cfRule type="expression" dxfId="66" priority="48">
      <formula>AND($E152 &lt; 0, ISNUMBER($E152))</formula>
    </cfRule>
  </conditionalFormatting>
  <conditionalFormatting sqref="A152:C171 G152:I171">
    <cfRule type="expression" dxfId="65" priority="43">
      <formula>AND($H152 &gt; 0, ISNUMBER($H152))</formula>
    </cfRule>
    <cfRule type="expression" dxfId="64" priority="44">
      <formula>AND($H152 = 0 * ISNUMBER($H152))</formula>
    </cfRule>
    <cfRule type="expression" dxfId="63" priority="45">
      <formula>AND($H152 &lt; 0, ISNUMBER($H152))</formula>
    </cfRule>
  </conditionalFormatting>
  <conditionalFormatting sqref="A152:C171 J152:L171">
    <cfRule type="expression" dxfId="62" priority="40">
      <formula>AND($K152 &gt; 0, ISNUMBER($K152))</formula>
    </cfRule>
    <cfRule type="expression" dxfId="61" priority="41">
      <formula>AND($K152 = 0 * ISNUMBER($K152))</formula>
    </cfRule>
    <cfRule type="expression" dxfId="60" priority="42">
      <formula>AND($K152 &lt; 0, ISNUMBER($K152))</formula>
    </cfRule>
  </conditionalFormatting>
  <conditionalFormatting sqref="D150:F151 E172:F172">
    <cfRule type="expression" dxfId="59" priority="34">
      <formula>$E$172 &gt; 0</formula>
    </cfRule>
    <cfRule type="expression" dxfId="58" priority="35">
      <formula>$E$172 = 0</formula>
    </cfRule>
    <cfRule type="expression" dxfId="57" priority="36">
      <formula>$E$172 &lt; 0</formula>
    </cfRule>
  </conditionalFormatting>
  <conditionalFormatting sqref="G150:I151 H172:I172">
    <cfRule type="expression" dxfId="56" priority="31">
      <formula>$H$172 &gt; 0</formula>
    </cfRule>
    <cfRule type="expression" dxfId="55" priority="32">
      <formula>$H$172 = 0</formula>
    </cfRule>
    <cfRule type="expression" dxfId="54" priority="33">
      <formula>$H$172 &lt; 0</formula>
    </cfRule>
  </conditionalFormatting>
  <conditionalFormatting sqref="J150:L151 K172:L172">
    <cfRule type="expression" dxfId="53" priority="28">
      <formula>$K$172 &gt; 0</formula>
    </cfRule>
    <cfRule type="expression" dxfId="52" priority="29">
      <formula>$K$172 = 0</formula>
    </cfRule>
    <cfRule type="expression" dxfId="51" priority="30">
      <formula>$K$172 &lt; 0</formula>
    </cfRule>
  </conditionalFormatting>
  <conditionalFormatting sqref="M150:O151 N172:O172">
    <cfRule type="expression" dxfId="50" priority="25">
      <formula>$N$172 &gt; 0</formula>
    </cfRule>
    <cfRule type="expression" dxfId="49" priority="26">
      <formula>$N$172 = 0</formula>
    </cfRule>
    <cfRule type="expression" dxfId="48" priority="27">
      <formula>$N$172 &lt; 0</formula>
    </cfRule>
  </conditionalFormatting>
  <conditionalFormatting sqref="A179:C198 M179:O198">
    <cfRule type="expression" dxfId="47" priority="13">
      <formula>AND($N179 &gt; 0, ISNUMBER($N179))</formula>
    </cfRule>
    <cfRule type="expression" dxfId="46" priority="14">
      <formula>AND($N179 = 0 * ISNUMBER($N179))</formula>
    </cfRule>
    <cfRule type="expression" dxfId="45" priority="15">
      <formula>AND($N179 &lt; 0, ISNUMBER($N179))</formula>
    </cfRule>
  </conditionalFormatting>
  <conditionalFormatting sqref="A179:F198">
    <cfRule type="expression" dxfId="44" priority="22">
      <formula>AND($E179 &gt; 0, ISNUMBER($E179))</formula>
    </cfRule>
    <cfRule type="expression" dxfId="43" priority="23">
      <formula>AND($E179 = 0 * ISNUMBER($E179))</formula>
    </cfRule>
    <cfRule type="expression" dxfId="42" priority="24">
      <formula>AND($E179 &lt; 0, ISNUMBER($E179))</formula>
    </cfRule>
  </conditionalFormatting>
  <conditionalFormatting sqref="A179:C198 G179:I198">
    <cfRule type="expression" dxfId="41" priority="19">
      <formula>AND($H179 &gt; 0, ISNUMBER($H179))</formula>
    </cfRule>
    <cfRule type="expression" dxfId="40" priority="20">
      <formula>AND($H179 = 0 * ISNUMBER($H179))</formula>
    </cfRule>
    <cfRule type="expression" dxfId="39" priority="21">
      <formula>AND($H179 &lt; 0, ISNUMBER($H179))</formula>
    </cfRule>
  </conditionalFormatting>
  <conditionalFormatting sqref="A179:C198 J179:L198">
    <cfRule type="expression" dxfId="38" priority="16">
      <formula>AND($K179 &gt; 0, ISNUMBER($K179))</formula>
    </cfRule>
    <cfRule type="expression" dxfId="37" priority="17">
      <formula>AND($K179 = 0 * ISNUMBER($K179))</formula>
    </cfRule>
    <cfRule type="expression" dxfId="36" priority="18">
      <formula>AND($K179 &lt; 0, ISNUMBER($K179))</formula>
    </cfRule>
  </conditionalFormatting>
  <conditionalFormatting sqref="D177:F178 E199:F199">
    <cfRule type="expression" dxfId="35" priority="10">
      <formula>$E$199 &gt; 0</formula>
    </cfRule>
    <cfRule type="expression" dxfId="34" priority="11">
      <formula>$E$199 = 0</formula>
    </cfRule>
    <cfRule type="expression" dxfId="33" priority="12">
      <formula>$E$199 &lt; 0</formula>
    </cfRule>
  </conditionalFormatting>
  <conditionalFormatting sqref="G177:I178 H199:I199">
    <cfRule type="expression" dxfId="32" priority="7">
      <formula>$H$199 &gt; 0</formula>
    </cfRule>
    <cfRule type="expression" dxfId="31" priority="8">
      <formula>$H$199 = 0</formula>
    </cfRule>
    <cfRule type="expression" dxfId="30" priority="9">
      <formula>$H$199 &lt; 0</formula>
    </cfRule>
  </conditionalFormatting>
  <conditionalFormatting sqref="J177:L178 K199:L199">
    <cfRule type="expression" dxfId="29" priority="4">
      <formula>$K$199 &gt; 0</formula>
    </cfRule>
    <cfRule type="expression" dxfId="28" priority="5">
      <formula>$K$199 = 0</formula>
    </cfRule>
    <cfRule type="expression" dxfId="27" priority="6">
      <formula>$K$199 &lt; 0</formula>
    </cfRule>
  </conditionalFormatting>
  <conditionalFormatting sqref="M177:O178 N199:O199">
    <cfRule type="expression" dxfId="26" priority="1">
      <formula>$N$199 &gt; 0</formula>
    </cfRule>
    <cfRule type="expression" dxfId="25" priority="2">
      <formula>$N$199 = 0</formula>
    </cfRule>
    <cfRule type="expression" dxfId="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  <vt:lpstr>2021.05.12</vt:lpstr>
      <vt:lpstr>2021.05.13</vt:lpstr>
      <vt:lpstr>2021.05.14</vt:lpstr>
      <vt:lpstr>2021.05.15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2021-05-14T16:37:15Z</dcterms:modified>
</cp:coreProperties>
</file>