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87EEA841-177E-45A5-AEC2-997654C2C00B}" xr6:coauthVersionLast="46" xr6:coauthVersionMax="46" xr10:uidLastSave="{00000000-0000-0000-0000-000000000000}"/>
  <bookViews>
    <workbookView xWindow="-120" yWindow="-120" windowWidth="29040" windowHeight="15840" firstSheet="12" activeTab="21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  <sheet name="2021.05.16" sheetId="39" r:id="rId21"/>
    <sheet name="2021.05.17" sheetId="40" r:id="rId22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20" hidden="1">'2021.05.16'!#REF!</definedName>
    <definedName name="_xlnm._FilterDatabase" localSheetId="21" hidden="1">'2021.05.17'!#REF!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0" l="1"/>
  <c r="O198" i="40"/>
  <c r="N198" i="40"/>
  <c r="L198" i="40"/>
  <c r="K198" i="40"/>
  <c r="H198" i="40"/>
  <c r="I198" i="40" s="1"/>
  <c r="F198" i="40"/>
  <c r="E198" i="40"/>
  <c r="O197" i="40"/>
  <c r="N197" i="40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O195" i="40"/>
  <c r="N195" i="40"/>
  <c r="K195" i="40"/>
  <c r="L195" i="40" s="1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O190" i="40"/>
  <c r="N190" i="40"/>
  <c r="L190" i="40"/>
  <c r="K190" i="40"/>
  <c r="H190" i="40"/>
  <c r="I190" i="40" s="1"/>
  <c r="F190" i="40"/>
  <c r="E190" i="40"/>
  <c r="O189" i="40"/>
  <c r="N189" i="40"/>
  <c r="K189" i="40"/>
  <c r="L189" i="40" s="1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O187" i="40"/>
  <c r="N187" i="40"/>
  <c r="K187" i="40"/>
  <c r="L187" i="40" s="1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O185" i="40"/>
  <c r="N185" i="40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O183" i="40"/>
  <c r="N183" i="40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O179" i="40"/>
  <c r="O199" i="40" s="1"/>
  <c r="N179" i="40"/>
  <c r="N199" i="40" s="1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L171" i="40"/>
  <c r="K171" i="40"/>
  <c r="I171" i="40"/>
  <c r="H171" i="40"/>
  <c r="F171" i="40"/>
  <c r="E171" i="40"/>
  <c r="O170" i="40"/>
  <c r="N170" i="40"/>
  <c r="L170" i="40"/>
  <c r="K170" i="40"/>
  <c r="I170" i="40"/>
  <c r="H170" i="40"/>
  <c r="F170" i="40"/>
  <c r="E170" i="40"/>
  <c r="O169" i="40"/>
  <c r="N169" i="40"/>
  <c r="L169" i="40"/>
  <c r="L31" i="40" s="1"/>
  <c r="K169" i="40"/>
  <c r="I169" i="40"/>
  <c r="H169" i="40"/>
  <c r="F169" i="40"/>
  <c r="E169" i="40"/>
  <c r="O168" i="40"/>
  <c r="N168" i="40"/>
  <c r="L168" i="40"/>
  <c r="K168" i="40"/>
  <c r="I168" i="40"/>
  <c r="H168" i="40"/>
  <c r="F168" i="40"/>
  <c r="E168" i="40"/>
  <c r="O167" i="40"/>
  <c r="N167" i="40"/>
  <c r="L167" i="40"/>
  <c r="K167" i="40"/>
  <c r="I167" i="40"/>
  <c r="H167" i="40"/>
  <c r="F167" i="40"/>
  <c r="E167" i="40"/>
  <c r="O166" i="40"/>
  <c r="N166" i="40"/>
  <c r="L166" i="40"/>
  <c r="K166" i="40"/>
  <c r="I166" i="40"/>
  <c r="H166" i="40"/>
  <c r="F166" i="40"/>
  <c r="E166" i="40"/>
  <c r="O165" i="40"/>
  <c r="N165" i="40"/>
  <c r="L165" i="40"/>
  <c r="K165" i="40"/>
  <c r="I165" i="40"/>
  <c r="H165" i="40"/>
  <c r="F165" i="40"/>
  <c r="E165" i="40"/>
  <c r="O164" i="40"/>
  <c r="N164" i="40"/>
  <c r="L164" i="40"/>
  <c r="K164" i="40"/>
  <c r="I164" i="40"/>
  <c r="H164" i="40"/>
  <c r="F164" i="40"/>
  <c r="E164" i="40"/>
  <c r="O163" i="40"/>
  <c r="N163" i="40"/>
  <c r="L163" i="40"/>
  <c r="K163" i="40"/>
  <c r="I163" i="40"/>
  <c r="H163" i="40"/>
  <c r="F163" i="40"/>
  <c r="E163" i="40"/>
  <c r="O162" i="40"/>
  <c r="N162" i="40"/>
  <c r="L162" i="40"/>
  <c r="K162" i="40"/>
  <c r="I162" i="40"/>
  <c r="H162" i="40"/>
  <c r="F162" i="40"/>
  <c r="E162" i="40"/>
  <c r="O161" i="40"/>
  <c r="N161" i="40"/>
  <c r="L161" i="40"/>
  <c r="K161" i="40"/>
  <c r="I161" i="40"/>
  <c r="H161" i="40"/>
  <c r="F161" i="40"/>
  <c r="E161" i="40"/>
  <c r="O160" i="40"/>
  <c r="N160" i="40"/>
  <c r="L160" i="40"/>
  <c r="K160" i="40"/>
  <c r="I160" i="40"/>
  <c r="H160" i="40"/>
  <c r="F160" i="40"/>
  <c r="E160" i="40"/>
  <c r="O159" i="40"/>
  <c r="N159" i="40"/>
  <c r="L159" i="40"/>
  <c r="K159" i="40"/>
  <c r="I159" i="40"/>
  <c r="H159" i="40"/>
  <c r="F159" i="40"/>
  <c r="E159" i="40"/>
  <c r="O158" i="40"/>
  <c r="N158" i="40"/>
  <c r="L158" i="40"/>
  <c r="K158" i="40"/>
  <c r="I158" i="40"/>
  <c r="H158" i="40"/>
  <c r="F158" i="40"/>
  <c r="E158" i="40"/>
  <c r="O157" i="40"/>
  <c r="N157" i="40"/>
  <c r="L157" i="40"/>
  <c r="K157" i="40"/>
  <c r="I157" i="40"/>
  <c r="H157" i="40"/>
  <c r="F157" i="40"/>
  <c r="E157" i="40"/>
  <c r="O156" i="40"/>
  <c r="N156" i="40"/>
  <c r="L156" i="40"/>
  <c r="K156" i="40"/>
  <c r="I156" i="40"/>
  <c r="H156" i="40"/>
  <c r="F156" i="40"/>
  <c r="E156" i="40"/>
  <c r="O155" i="40"/>
  <c r="N155" i="40"/>
  <c r="L155" i="40"/>
  <c r="K155" i="40"/>
  <c r="I155" i="40"/>
  <c r="H155" i="40"/>
  <c r="F155" i="40"/>
  <c r="E155" i="40"/>
  <c r="O154" i="40"/>
  <c r="N154" i="40"/>
  <c r="L154" i="40"/>
  <c r="K154" i="40"/>
  <c r="I154" i="40"/>
  <c r="H154" i="40"/>
  <c r="F154" i="40"/>
  <c r="E154" i="40"/>
  <c r="O153" i="40"/>
  <c r="N153" i="40"/>
  <c r="L153" i="40"/>
  <c r="K153" i="40"/>
  <c r="I153" i="40"/>
  <c r="H153" i="40"/>
  <c r="F153" i="40"/>
  <c r="E153" i="40"/>
  <c r="O152" i="40"/>
  <c r="O172" i="40" s="1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H144" i="40"/>
  <c r="I144" i="40" s="1"/>
  <c r="I22" i="40" s="1"/>
  <c r="F144" i="40"/>
  <c r="E144" i="40"/>
  <c r="O143" i="40"/>
  <c r="N143" i="40"/>
  <c r="K143" i="40"/>
  <c r="K24" i="40" s="1"/>
  <c r="H143" i="40"/>
  <c r="I143" i="40" s="1"/>
  <c r="I24" i="40" s="1"/>
  <c r="F143" i="40"/>
  <c r="E143" i="40"/>
  <c r="O142" i="40"/>
  <c r="N142" i="40"/>
  <c r="L142" i="40"/>
  <c r="K142" i="40"/>
  <c r="H142" i="40"/>
  <c r="I142" i="40" s="1"/>
  <c r="F142" i="40"/>
  <c r="E142" i="40"/>
  <c r="O141" i="40"/>
  <c r="N141" i="40"/>
  <c r="K141" i="40"/>
  <c r="L141" i="40" s="1"/>
  <c r="H141" i="40"/>
  <c r="I141" i="40" s="1"/>
  <c r="F141" i="40"/>
  <c r="E141" i="40"/>
  <c r="O140" i="40"/>
  <c r="N140" i="40"/>
  <c r="L140" i="40"/>
  <c r="K140" i="40"/>
  <c r="H140" i="40"/>
  <c r="I140" i="40" s="1"/>
  <c r="F140" i="40"/>
  <c r="E140" i="40"/>
  <c r="O139" i="40"/>
  <c r="N139" i="40"/>
  <c r="K139" i="40"/>
  <c r="L139" i="40" s="1"/>
  <c r="H139" i="40"/>
  <c r="I139" i="40" s="1"/>
  <c r="F139" i="40"/>
  <c r="E139" i="40"/>
  <c r="O138" i="40"/>
  <c r="N138" i="40"/>
  <c r="L138" i="40"/>
  <c r="K138" i="40"/>
  <c r="H138" i="40"/>
  <c r="I138" i="40" s="1"/>
  <c r="F138" i="40"/>
  <c r="E138" i="40"/>
  <c r="O137" i="40"/>
  <c r="N137" i="40"/>
  <c r="K137" i="40"/>
  <c r="L137" i="40" s="1"/>
  <c r="H137" i="40"/>
  <c r="I137" i="40" s="1"/>
  <c r="F137" i="40"/>
  <c r="E137" i="40"/>
  <c r="O136" i="40"/>
  <c r="N136" i="40"/>
  <c r="L136" i="40"/>
  <c r="K136" i="40"/>
  <c r="H136" i="40"/>
  <c r="I136" i="40" s="1"/>
  <c r="F136" i="40"/>
  <c r="E136" i="40"/>
  <c r="O135" i="40"/>
  <c r="N135" i="40"/>
  <c r="K135" i="40"/>
  <c r="L135" i="40" s="1"/>
  <c r="H135" i="40"/>
  <c r="I135" i="40" s="1"/>
  <c r="F135" i="40"/>
  <c r="E135" i="40"/>
  <c r="O134" i="40"/>
  <c r="N134" i="40"/>
  <c r="L134" i="40"/>
  <c r="K134" i="40"/>
  <c r="H134" i="40"/>
  <c r="I134" i="40" s="1"/>
  <c r="F134" i="40"/>
  <c r="E134" i="40"/>
  <c r="O133" i="40"/>
  <c r="N133" i="40"/>
  <c r="K133" i="40"/>
  <c r="L133" i="40" s="1"/>
  <c r="H133" i="40"/>
  <c r="I133" i="40" s="1"/>
  <c r="F133" i="40"/>
  <c r="E133" i="40"/>
  <c r="O132" i="40"/>
  <c r="N132" i="40"/>
  <c r="L132" i="40"/>
  <c r="K132" i="40"/>
  <c r="H132" i="40"/>
  <c r="I132" i="40" s="1"/>
  <c r="F132" i="40"/>
  <c r="E132" i="40"/>
  <c r="O131" i="40"/>
  <c r="N131" i="40"/>
  <c r="K131" i="40"/>
  <c r="L131" i="40" s="1"/>
  <c r="H131" i="40"/>
  <c r="I131" i="40" s="1"/>
  <c r="F131" i="40"/>
  <c r="E131" i="40"/>
  <c r="O130" i="40"/>
  <c r="N130" i="40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O128" i="40"/>
  <c r="N128" i="40"/>
  <c r="L128" i="40"/>
  <c r="K128" i="40"/>
  <c r="H128" i="40"/>
  <c r="I128" i="40" s="1"/>
  <c r="F128" i="40"/>
  <c r="E128" i="40"/>
  <c r="O127" i="40"/>
  <c r="N127" i="40"/>
  <c r="K127" i="40"/>
  <c r="L127" i="40" s="1"/>
  <c r="H127" i="40"/>
  <c r="I127" i="40" s="1"/>
  <c r="F127" i="40"/>
  <c r="E127" i="40"/>
  <c r="O126" i="40"/>
  <c r="N126" i="40"/>
  <c r="L126" i="40"/>
  <c r="K126" i="40"/>
  <c r="H126" i="40"/>
  <c r="I126" i="40" s="1"/>
  <c r="F126" i="40"/>
  <c r="E126" i="40"/>
  <c r="O125" i="40"/>
  <c r="O145" i="40" s="1"/>
  <c r="N125" i="40"/>
  <c r="N145" i="40" s="1"/>
  <c r="K125" i="40"/>
  <c r="L125" i="40" s="1"/>
  <c r="H125" i="40"/>
  <c r="H145" i="40" s="1"/>
  <c r="F125" i="40"/>
  <c r="F145" i="40" s="1"/>
  <c r="E125" i="40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H117" i="40"/>
  <c r="I117" i="40" s="1"/>
  <c r="F117" i="40"/>
  <c r="E117" i="40"/>
  <c r="O116" i="40"/>
  <c r="N116" i="40"/>
  <c r="K116" i="40"/>
  <c r="L116" i="40" s="1"/>
  <c r="H116" i="40"/>
  <c r="I116" i="40" s="1"/>
  <c r="F116" i="40"/>
  <c r="E116" i="40"/>
  <c r="O115" i="40"/>
  <c r="N115" i="40"/>
  <c r="L115" i="40"/>
  <c r="K115" i="40"/>
  <c r="H115" i="40"/>
  <c r="I115" i="40" s="1"/>
  <c r="F115" i="40"/>
  <c r="E115" i="40"/>
  <c r="O114" i="40"/>
  <c r="N114" i="40"/>
  <c r="L114" i="40"/>
  <c r="K114" i="40"/>
  <c r="H114" i="40"/>
  <c r="I114" i="40" s="1"/>
  <c r="F114" i="40"/>
  <c r="E114" i="40"/>
  <c r="O113" i="40"/>
  <c r="N113" i="40"/>
  <c r="L113" i="40"/>
  <c r="K113" i="40"/>
  <c r="H113" i="40"/>
  <c r="I113" i="40" s="1"/>
  <c r="F113" i="40"/>
  <c r="E113" i="40"/>
  <c r="O112" i="40"/>
  <c r="N112" i="40"/>
  <c r="K112" i="40"/>
  <c r="L112" i="40" s="1"/>
  <c r="H112" i="40"/>
  <c r="I112" i="40" s="1"/>
  <c r="F112" i="40"/>
  <c r="E112" i="40"/>
  <c r="O111" i="40"/>
  <c r="N111" i="40"/>
  <c r="L111" i="40"/>
  <c r="K111" i="40"/>
  <c r="H111" i="40"/>
  <c r="I111" i="40" s="1"/>
  <c r="F111" i="40"/>
  <c r="E111" i="40"/>
  <c r="O110" i="40"/>
  <c r="N110" i="40"/>
  <c r="L110" i="40"/>
  <c r="K110" i="40"/>
  <c r="H110" i="40"/>
  <c r="I110" i="40" s="1"/>
  <c r="F110" i="40"/>
  <c r="E110" i="40"/>
  <c r="O109" i="40"/>
  <c r="N109" i="40"/>
  <c r="L109" i="40"/>
  <c r="K109" i="40"/>
  <c r="H109" i="40"/>
  <c r="I109" i="40" s="1"/>
  <c r="F109" i="40"/>
  <c r="E109" i="40"/>
  <c r="O108" i="40"/>
  <c r="N108" i="40"/>
  <c r="K108" i="40"/>
  <c r="L108" i="40" s="1"/>
  <c r="H108" i="40"/>
  <c r="I108" i="40" s="1"/>
  <c r="F108" i="40"/>
  <c r="E108" i="40"/>
  <c r="O107" i="40"/>
  <c r="N107" i="40"/>
  <c r="L107" i="40"/>
  <c r="K107" i="40"/>
  <c r="H107" i="40"/>
  <c r="I107" i="40" s="1"/>
  <c r="F107" i="40"/>
  <c r="E107" i="40"/>
  <c r="O106" i="40"/>
  <c r="N106" i="40"/>
  <c r="L106" i="40"/>
  <c r="K106" i="40"/>
  <c r="H106" i="40"/>
  <c r="I106" i="40" s="1"/>
  <c r="F106" i="40"/>
  <c r="E106" i="40"/>
  <c r="O105" i="40"/>
  <c r="N105" i="40"/>
  <c r="L105" i="40"/>
  <c r="K105" i="40"/>
  <c r="H105" i="40"/>
  <c r="I105" i="40" s="1"/>
  <c r="F105" i="40"/>
  <c r="E105" i="40"/>
  <c r="O104" i="40"/>
  <c r="N104" i="40"/>
  <c r="K104" i="40"/>
  <c r="L104" i="40" s="1"/>
  <c r="H104" i="40"/>
  <c r="I104" i="40" s="1"/>
  <c r="F104" i="40"/>
  <c r="E104" i="40"/>
  <c r="O103" i="40"/>
  <c r="N103" i="40"/>
  <c r="L103" i="40"/>
  <c r="K103" i="40"/>
  <c r="H103" i="40"/>
  <c r="I103" i="40" s="1"/>
  <c r="F103" i="40"/>
  <c r="E103" i="40"/>
  <c r="O102" i="40"/>
  <c r="N102" i="40"/>
  <c r="L102" i="40"/>
  <c r="K102" i="40"/>
  <c r="H102" i="40"/>
  <c r="I102" i="40" s="1"/>
  <c r="F102" i="40"/>
  <c r="E102" i="40"/>
  <c r="O101" i="40"/>
  <c r="N101" i="40"/>
  <c r="L101" i="40"/>
  <c r="K101" i="40"/>
  <c r="H101" i="40"/>
  <c r="I101" i="40" s="1"/>
  <c r="F101" i="40"/>
  <c r="E101" i="40"/>
  <c r="O100" i="40"/>
  <c r="N100" i="40"/>
  <c r="K100" i="40"/>
  <c r="L100" i="40" s="1"/>
  <c r="H100" i="40"/>
  <c r="I100" i="40" s="1"/>
  <c r="F100" i="40"/>
  <c r="E100" i="40"/>
  <c r="O99" i="40"/>
  <c r="N99" i="40"/>
  <c r="L99" i="40"/>
  <c r="K99" i="40"/>
  <c r="H99" i="40"/>
  <c r="I99" i="40" s="1"/>
  <c r="F99" i="40"/>
  <c r="E99" i="40"/>
  <c r="O98" i="40"/>
  <c r="O118" i="40" s="1"/>
  <c r="N98" i="40"/>
  <c r="N118" i="40" s="1"/>
  <c r="L98" i="40"/>
  <c r="K98" i="40"/>
  <c r="H98" i="40"/>
  <c r="H118" i="40" s="1"/>
  <c r="F98" i="40"/>
  <c r="F118" i="40" s="1"/>
  <c r="E98" i="40"/>
  <c r="E118" i="40" s="1"/>
  <c r="M96" i="40"/>
  <c r="J96" i="40"/>
  <c r="G96" i="40"/>
  <c r="D96" i="40"/>
  <c r="B96" i="40"/>
  <c r="M95" i="40"/>
  <c r="G95" i="40"/>
  <c r="N91" i="40"/>
  <c r="B91" i="40"/>
  <c r="O90" i="40"/>
  <c r="N90" i="40"/>
  <c r="L90" i="40"/>
  <c r="K90" i="40"/>
  <c r="I90" i="40"/>
  <c r="H90" i="40"/>
  <c r="E90" i="40"/>
  <c r="F90" i="40" s="1"/>
  <c r="F28" i="40" s="1"/>
  <c r="O89" i="40"/>
  <c r="N89" i="40"/>
  <c r="L89" i="40"/>
  <c r="K89" i="40"/>
  <c r="H89" i="40"/>
  <c r="I89" i="40" s="1"/>
  <c r="I17" i="40" s="1"/>
  <c r="E89" i="40"/>
  <c r="F89" i="40" s="1"/>
  <c r="F17" i="40" s="1"/>
  <c r="O88" i="40"/>
  <c r="N88" i="40"/>
  <c r="L88" i="40"/>
  <c r="K88" i="40"/>
  <c r="I88" i="40"/>
  <c r="H88" i="40"/>
  <c r="E88" i="40"/>
  <c r="F88" i="40" s="1"/>
  <c r="O87" i="40"/>
  <c r="N87" i="40"/>
  <c r="L87" i="40"/>
  <c r="K87" i="40"/>
  <c r="H87" i="40"/>
  <c r="I87" i="40" s="1"/>
  <c r="E87" i="40"/>
  <c r="F87" i="40" s="1"/>
  <c r="O86" i="40"/>
  <c r="N86" i="40"/>
  <c r="K86" i="40"/>
  <c r="L86" i="40" s="1"/>
  <c r="L25" i="40" s="1"/>
  <c r="I86" i="40"/>
  <c r="H86" i="40"/>
  <c r="E86" i="40"/>
  <c r="F86" i="40" s="1"/>
  <c r="F25" i="40" s="1"/>
  <c r="O85" i="40"/>
  <c r="N85" i="40"/>
  <c r="L85" i="40"/>
  <c r="K85" i="40"/>
  <c r="H85" i="40"/>
  <c r="I85" i="40" s="1"/>
  <c r="E85" i="40"/>
  <c r="F85" i="40" s="1"/>
  <c r="O84" i="40"/>
  <c r="N84" i="40"/>
  <c r="L84" i="40"/>
  <c r="K84" i="40"/>
  <c r="I84" i="40"/>
  <c r="H84" i="40"/>
  <c r="E84" i="40"/>
  <c r="F84" i="40" s="1"/>
  <c r="O83" i="40"/>
  <c r="N83" i="40"/>
  <c r="K83" i="40"/>
  <c r="L83" i="40" s="1"/>
  <c r="H83" i="40"/>
  <c r="I83" i="40" s="1"/>
  <c r="E83" i="40"/>
  <c r="F83" i="40" s="1"/>
  <c r="O82" i="40"/>
  <c r="N82" i="40"/>
  <c r="L82" i="40"/>
  <c r="K82" i="40"/>
  <c r="I82" i="40"/>
  <c r="H82" i="40"/>
  <c r="E82" i="40"/>
  <c r="F82" i="40" s="1"/>
  <c r="O81" i="40"/>
  <c r="N81" i="40"/>
  <c r="L81" i="40"/>
  <c r="K81" i="40"/>
  <c r="H81" i="40"/>
  <c r="I81" i="40" s="1"/>
  <c r="E81" i="40"/>
  <c r="F81" i="40" s="1"/>
  <c r="O80" i="40"/>
  <c r="N80" i="40"/>
  <c r="L80" i="40"/>
  <c r="K80" i="40"/>
  <c r="I80" i="40"/>
  <c r="H80" i="40"/>
  <c r="E80" i="40"/>
  <c r="F80" i="40" s="1"/>
  <c r="O79" i="40"/>
  <c r="N79" i="40"/>
  <c r="L79" i="40"/>
  <c r="K79" i="40"/>
  <c r="H79" i="40"/>
  <c r="I79" i="40" s="1"/>
  <c r="I19" i="40" s="1"/>
  <c r="E79" i="40"/>
  <c r="F79" i="40" s="1"/>
  <c r="F19" i="40" s="1"/>
  <c r="O78" i="40"/>
  <c r="N78" i="40"/>
  <c r="K78" i="40"/>
  <c r="L78" i="40" s="1"/>
  <c r="I78" i="40"/>
  <c r="H78" i="40"/>
  <c r="E78" i="40"/>
  <c r="F78" i="40" s="1"/>
  <c r="O77" i="40"/>
  <c r="N77" i="40"/>
  <c r="L77" i="40"/>
  <c r="K77" i="40"/>
  <c r="H77" i="40"/>
  <c r="I77" i="40" s="1"/>
  <c r="E77" i="40"/>
  <c r="F77" i="40" s="1"/>
  <c r="O76" i="40"/>
  <c r="N76" i="40"/>
  <c r="L76" i="40"/>
  <c r="K76" i="40"/>
  <c r="I76" i="40"/>
  <c r="H76" i="40"/>
  <c r="E76" i="40"/>
  <c r="F76" i="40" s="1"/>
  <c r="F26" i="40" s="1"/>
  <c r="O75" i="40"/>
  <c r="N75" i="40"/>
  <c r="K75" i="40"/>
  <c r="L75" i="40" s="1"/>
  <c r="H75" i="40"/>
  <c r="I75" i="40" s="1"/>
  <c r="E75" i="40"/>
  <c r="F75" i="40" s="1"/>
  <c r="O74" i="40"/>
  <c r="N74" i="40"/>
  <c r="L74" i="40"/>
  <c r="K74" i="40"/>
  <c r="I74" i="40"/>
  <c r="H74" i="40"/>
  <c r="E74" i="40"/>
  <c r="F74" i="40" s="1"/>
  <c r="O73" i="40"/>
  <c r="N73" i="40"/>
  <c r="L73" i="40"/>
  <c r="K73" i="40"/>
  <c r="H73" i="40"/>
  <c r="I73" i="40" s="1"/>
  <c r="E73" i="40"/>
  <c r="F73" i="40" s="1"/>
  <c r="O72" i="40"/>
  <c r="N72" i="40"/>
  <c r="L72" i="40"/>
  <c r="K72" i="40"/>
  <c r="I72" i="40"/>
  <c r="H72" i="40"/>
  <c r="E72" i="40"/>
  <c r="F72" i="40" s="1"/>
  <c r="O71" i="40"/>
  <c r="O91" i="40" s="1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K63" i="40"/>
  <c r="L63" i="40" s="1"/>
  <c r="L18" i="40" s="1"/>
  <c r="I63" i="40"/>
  <c r="H63" i="40"/>
  <c r="E63" i="40"/>
  <c r="F63" i="40" s="1"/>
  <c r="F18" i="40" s="1"/>
  <c r="O62" i="40"/>
  <c r="N62" i="40"/>
  <c r="L62" i="40"/>
  <c r="K62" i="40"/>
  <c r="H62" i="40"/>
  <c r="I62" i="40" s="1"/>
  <c r="E62" i="40"/>
  <c r="F62" i="40" s="1"/>
  <c r="O61" i="40"/>
  <c r="N61" i="40"/>
  <c r="L61" i="40"/>
  <c r="K61" i="40"/>
  <c r="I61" i="40"/>
  <c r="H61" i="40"/>
  <c r="E61" i="40"/>
  <c r="F61" i="40" s="1"/>
  <c r="O60" i="40"/>
  <c r="N60" i="40"/>
  <c r="K60" i="40"/>
  <c r="L60" i="40" s="1"/>
  <c r="H60" i="40"/>
  <c r="I60" i="40" s="1"/>
  <c r="E60" i="40"/>
  <c r="F60" i="40" s="1"/>
  <c r="O59" i="40"/>
  <c r="N59" i="40"/>
  <c r="K59" i="40"/>
  <c r="L59" i="40" s="1"/>
  <c r="I59" i="40"/>
  <c r="H59" i="40"/>
  <c r="E59" i="40"/>
  <c r="F59" i="40" s="1"/>
  <c r="O58" i="40"/>
  <c r="N58" i="40"/>
  <c r="L58" i="40"/>
  <c r="K58" i="40"/>
  <c r="H58" i="40"/>
  <c r="I58" i="40" s="1"/>
  <c r="E58" i="40"/>
  <c r="F58" i="40" s="1"/>
  <c r="O57" i="40"/>
  <c r="N57" i="40"/>
  <c r="L57" i="40"/>
  <c r="K57" i="40"/>
  <c r="I57" i="40"/>
  <c r="H57" i="40"/>
  <c r="E57" i="40"/>
  <c r="F57" i="40" s="1"/>
  <c r="O56" i="40"/>
  <c r="N56" i="40"/>
  <c r="K56" i="40"/>
  <c r="L56" i="40" s="1"/>
  <c r="H56" i="40"/>
  <c r="I56" i="40" s="1"/>
  <c r="E56" i="40"/>
  <c r="F56" i="40" s="1"/>
  <c r="O55" i="40"/>
  <c r="N55" i="40"/>
  <c r="K55" i="40"/>
  <c r="L55" i="40" s="1"/>
  <c r="I55" i="40"/>
  <c r="H55" i="40"/>
  <c r="F55" i="40"/>
  <c r="E55" i="40"/>
  <c r="O54" i="40"/>
  <c r="N54" i="40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O52" i="40"/>
  <c r="N52" i="40"/>
  <c r="K52" i="40"/>
  <c r="L52" i="40" s="1"/>
  <c r="I52" i="40"/>
  <c r="H52" i="40"/>
  <c r="F52" i="40"/>
  <c r="E52" i="40"/>
  <c r="O51" i="40"/>
  <c r="N51" i="40"/>
  <c r="K51" i="40"/>
  <c r="L51" i="40" s="1"/>
  <c r="I51" i="40"/>
  <c r="H51" i="40"/>
  <c r="F51" i="40"/>
  <c r="E51" i="40"/>
  <c r="O50" i="40"/>
  <c r="N50" i="40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O48" i="40"/>
  <c r="N48" i="40"/>
  <c r="K48" i="40"/>
  <c r="L48" i="40" s="1"/>
  <c r="I48" i="40"/>
  <c r="H48" i="40"/>
  <c r="E48" i="40"/>
  <c r="F48" i="40" s="1"/>
  <c r="O47" i="40"/>
  <c r="N47" i="40"/>
  <c r="L47" i="40"/>
  <c r="K47" i="40"/>
  <c r="H47" i="40"/>
  <c r="I47" i="40" s="1"/>
  <c r="F47" i="40"/>
  <c r="E47" i="40"/>
  <c r="O46" i="40"/>
  <c r="N46" i="40"/>
  <c r="K46" i="40"/>
  <c r="L46" i="40" s="1"/>
  <c r="H46" i="40"/>
  <c r="I46" i="40" s="1"/>
  <c r="F46" i="40"/>
  <c r="E46" i="40"/>
  <c r="O45" i="40"/>
  <c r="N45" i="40"/>
  <c r="L45" i="40"/>
  <c r="K45" i="40"/>
  <c r="H45" i="40"/>
  <c r="I45" i="40" s="1"/>
  <c r="I32" i="40" s="1"/>
  <c r="F45" i="40"/>
  <c r="E45" i="40"/>
  <c r="O44" i="40"/>
  <c r="O64" i="40" s="1"/>
  <c r="N44" i="40"/>
  <c r="N64" i="40" s="1"/>
  <c r="K44" i="40"/>
  <c r="L4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H32" i="40"/>
  <c r="G32" i="40"/>
  <c r="F32" i="40"/>
  <c r="E32" i="40"/>
  <c r="D32" i="40"/>
  <c r="C32" i="40"/>
  <c r="B32" i="40"/>
  <c r="O31" i="40"/>
  <c r="N31" i="40"/>
  <c r="M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E26" i="40"/>
  <c r="D26" i="40"/>
  <c r="C26" i="40"/>
  <c r="B26" i="40"/>
  <c r="O25" i="40"/>
  <c r="N25" i="40"/>
  <c r="M25" i="40"/>
  <c r="K25" i="40"/>
  <c r="J25" i="40"/>
  <c r="I25" i="40"/>
  <c r="H25" i="40"/>
  <c r="G25" i="40"/>
  <c r="E25" i="40"/>
  <c r="D25" i="40"/>
  <c r="C25" i="40"/>
  <c r="B25" i="40"/>
  <c r="O24" i="40"/>
  <c r="N24" i="40"/>
  <c r="M24" i="40"/>
  <c r="J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H19" i="40"/>
  <c r="G19" i="40"/>
  <c r="E19" i="40"/>
  <c r="D19" i="40"/>
  <c r="C19" i="40"/>
  <c r="B19" i="40"/>
  <c r="O18" i="40"/>
  <c r="N18" i="40"/>
  <c r="M18" i="40"/>
  <c r="K18" i="40"/>
  <c r="J18" i="40"/>
  <c r="I18" i="40"/>
  <c r="H18" i="40"/>
  <c r="G18" i="40"/>
  <c r="E18" i="40"/>
  <c r="D18" i="40"/>
  <c r="C18" i="40"/>
  <c r="B18" i="40"/>
  <c r="O17" i="40"/>
  <c r="N17" i="40"/>
  <c r="M17" i="40"/>
  <c r="L17" i="40"/>
  <c r="K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I196" i="39"/>
  <c r="H196" i="39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I188" i="39"/>
  <c r="H188" i="39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I184" i="39"/>
  <c r="H184" i="39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I180" i="39"/>
  <c r="H180" i="39"/>
  <c r="F180" i="39"/>
  <c r="E180" i="39"/>
  <c r="N179" i="39"/>
  <c r="N199" i="39" s="1"/>
  <c r="K179" i="39"/>
  <c r="H179" i="39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I171" i="39"/>
  <c r="H171" i="39"/>
  <c r="F171" i="39"/>
  <c r="E171" i="39"/>
  <c r="O170" i="39"/>
  <c r="N170" i="39"/>
  <c r="L170" i="39"/>
  <c r="K170" i="39"/>
  <c r="H170" i="39"/>
  <c r="I170" i="39" s="1"/>
  <c r="F170" i="39"/>
  <c r="E170" i="39"/>
  <c r="O169" i="39"/>
  <c r="N169" i="39"/>
  <c r="L169" i="39"/>
  <c r="K169" i="39"/>
  <c r="H169" i="39"/>
  <c r="I169" i="39" s="1"/>
  <c r="I21" i="39" s="1"/>
  <c r="F169" i="39"/>
  <c r="E169" i="39"/>
  <c r="O168" i="39"/>
  <c r="N168" i="39"/>
  <c r="L168" i="39"/>
  <c r="K168" i="39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O166" i="39"/>
  <c r="N166" i="39"/>
  <c r="L166" i="39"/>
  <c r="K166" i="39"/>
  <c r="H166" i="39"/>
  <c r="I166" i="39" s="1"/>
  <c r="F166" i="39"/>
  <c r="E166" i="39"/>
  <c r="O165" i="39"/>
  <c r="N165" i="39"/>
  <c r="K165" i="39"/>
  <c r="L165" i="39" s="1"/>
  <c r="L24" i="39" s="1"/>
  <c r="H165" i="39"/>
  <c r="I165" i="39" s="1"/>
  <c r="I24" i="39" s="1"/>
  <c r="F165" i="39"/>
  <c r="E165" i="39"/>
  <c r="O164" i="39"/>
  <c r="N164" i="39"/>
  <c r="L164" i="39"/>
  <c r="K164" i="39"/>
  <c r="H164" i="39"/>
  <c r="I164" i="39" s="1"/>
  <c r="F164" i="39"/>
  <c r="E164" i="39"/>
  <c r="O163" i="39"/>
  <c r="N163" i="39"/>
  <c r="L163" i="39"/>
  <c r="K163" i="39"/>
  <c r="H163" i="39"/>
  <c r="I163" i="39" s="1"/>
  <c r="I19" i="39" s="1"/>
  <c r="F163" i="39"/>
  <c r="E163" i="39"/>
  <c r="O162" i="39"/>
  <c r="N162" i="39"/>
  <c r="L162" i="39"/>
  <c r="K162" i="39"/>
  <c r="H162" i="39"/>
  <c r="I162" i="39" s="1"/>
  <c r="F162" i="39"/>
  <c r="E162" i="39"/>
  <c r="O161" i="39"/>
  <c r="N161" i="39"/>
  <c r="L161" i="39"/>
  <c r="K161" i="39"/>
  <c r="H161" i="39"/>
  <c r="I161" i="39" s="1"/>
  <c r="I27" i="39" s="1"/>
  <c r="F161" i="39"/>
  <c r="E161" i="39"/>
  <c r="N160" i="39"/>
  <c r="O160" i="39" s="1"/>
  <c r="K160" i="39"/>
  <c r="L160" i="39" s="1"/>
  <c r="H160" i="39"/>
  <c r="I160" i="39" s="1"/>
  <c r="F160" i="39"/>
  <c r="E160" i="39"/>
  <c r="N159" i="39"/>
  <c r="O159" i="39" s="1"/>
  <c r="K159" i="39"/>
  <c r="L159" i="39" s="1"/>
  <c r="H159" i="39"/>
  <c r="I159" i="39" s="1"/>
  <c r="F159" i="39"/>
  <c r="E159" i="39"/>
  <c r="N158" i="39"/>
  <c r="O158" i="39" s="1"/>
  <c r="O30" i="39" s="1"/>
  <c r="K158" i="39"/>
  <c r="L158" i="39" s="1"/>
  <c r="L30" i="39" s="1"/>
  <c r="H158" i="39"/>
  <c r="I158" i="39" s="1"/>
  <c r="I30" i="39" s="1"/>
  <c r="F158" i="39"/>
  <c r="E158" i="39"/>
  <c r="N157" i="39"/>
  <c r="O157" i="39" s="1"/>
  <c r="L157" i="39"/>
  <c r="K157" i="39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O26" i="39" s="1"/>
  <c r="K155" i="39"/>
  <c r="L155" i="39" s="1"/>
  <c r="L26" i="39" s="1"/>
  <c r="I155" i="39"/>
  <c r="H155" i="39"/>
  <c r="F155" i="39"/>
  <c r="E155" i="39"/>
  <c r="N154" i="39"/>
  <c r="O154" i="39" s="1"/>
  <c r="L154" i="39"/>
  <c r="K154" i="39"/>
  <c r="H154" i="39"/>
  <c r="I154" i="39" s="1"/>
  <c r="F154" i="39"/>
  <c r="E154" i="39"/>
  <c r="N153" i="39"/>
  <c r="O153" i="39" s="1"/>
  <c r="O25" i="39" s="1"/>
  <c r="L153" i="39"/>
  <c r="K153" i="39"/>
  <c r="H153" i="39"/>
  <c r="I153" i="39" s="1"/>
  <c r="I25" i="39" s="1"/>
  <c r="F153" i="39"/>
  <c r="E153" i="39"/>
  <c r="N152" i="39"/>
  <c r="N172" i="39" s="1"/>
  <c r="K152" i="39"/>
  <c r="I152" i="39"/>
  <c r="H152" i="39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N143" i="39"/>
  <c r="O143" i="39" s="1"/>
  <c r="L143" i="39"/>
  <c r="K143" i="39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K140" i="39"/>
  <c r="L140" i="39" s="1"/>
  <c r="H140" i="39"/>
  <c r="I140" i="39" s="1"/>
  <c r="F140" i="39"/>
  <c r="E140" i="39"/>
  <c r="N139" i="39"/>
  <c r="O139" i="39" s="1"/>
  <c r="L139" i="39"/>
  <c r="K139" i="39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K132" i="39"/>
  <c r="L132" i="39" s="1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K128" i="39"/>
  <c r="L128" i="39" s="1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I117" i="39"/>
  <c r="H117" i="39"/>
  <c r="F117" i="39"/>
  <c r="E117" i="39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I115" i="39"/>
  <c r="H115" i="39"/>
  <c r="F115" i="39"/>
  <c r="E115" i="39"/>
  <c r="N114" i="39"/>
  <c r="O114" i="39" s="1"/>
  <c r="K114" i="39"/>
  <c r="L114" i="39" s="1"/>
  <c r="I114" i="39"/>
  <c r="H114" i="39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L112" i="39"/>
  <c r="K112" i="39"/>
  <c r="H112" i="39"/>
  <c r="I112" i="39" s="1"/>
  <c r="F112" i="39"/>
  <c r="E112" i="39"/>
  <c r="N111" i="39"/>
  <c r="O111" i="39" s="1"/>
  <c r="K111" i="39"/>
  <c r="L111" i="39" s="1"/>
  <c r="I111" i="39"/>
  <c r="H111" i="39"/>
  <c r="F111" i="39"/>
  <c r="E111" i="39"/>
  <c r="N110" i="39"/>
  <c r="O110" i="39" s="1"/>
  <c r="K110" i="39"/>
  <c r="L110" i="39" s="1"/>
  <c r="I110" i="39"/>
  <c r="H110" i="39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L108" i="39"/>
  <c r="K108" i="39"/>
  <c r="H108" i="39"/>
  <c r="I108" i="39" s="1"/>
  <c r="F108" i="39"/>
  <c r="E108" i="39"/>
  <c r="N107" i="39"/>
  <c r="O107" i="39" s="1"/>
  <c r="L107" i="39"/>
  <c r="K107" i="39"/>
  <c r="I107" i="39"/>
  <c r="H107" i="39"/>
  <c r="F107" i="39"/>
  <c r="E107" i="39"/>
  <c r="N106" i="39"/>
  <c r="O106" i="39" s="1"/>
  <c r="K106" i="39"/>
  <c r="L106" i="39" s="1"/>
  <c r="I106" i="39"/>
  <c r="H106" i="39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N103" i="39"/>
  <c r="O103" i="39" s="1"/>
  <c r="K103" i="39"/>
  <c r="L103" i="39" s="1"/>
  <c r="I103" i="39"/>
  <c r="H103" i="39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I99" i="39"/>
  <c r="H99" i="39"/>
  <c r="F99" i="39"/>
  <c r="E99" i="39"/>
  <c r="N98" i="39"/>
  <c r="N118" i="39" s="1"/>
  <c r="K98" i="39"/>
  <c r="I98" i="39"/>
  <c r="H98" i="39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O22" i="39" s="1"/>
  <c r="L90" i="39"/>
  <c r="K90" i="39"/>
  <c r="I90" i="39"/>
  <c r="H90" i="39"/>
  <c r="F90" i="39"/>
  <c r="E90" i="39"/>
  <c r="N89" i="39"/>
  <c r="O89" i="39" s="1"/>
  <c r="K89" i="39"/>
  <c r="L89" i="39" s="1"/>
  <c r="I89" i="39"/>
  <c r="H89" i="39"/>
  <c r="F89" i="39"/>
  <c r="E89" i="39"/>
  <c r="N88" i="39"/>
  <c r="O88" i="39" s="1"/>
  <c r="K88" i="39"/>
  <c r="L88" i="39" s="1"/>
  <c r="I88" i="39"/>
  <c r="H88" i="39"/>
  <c r="F88" i="39"/>
  <c r="E88" i="39"/>
  <c r="N87" i="39"/>
  <c r="O87" i="39" s="1"/>
  <c r="O18" i="39" s="1"/>
  <c r="K87" i="39"/>
  <c r="L87" i="39" s="1"/>
  <c r="L18" i="39" s="1"/>
  <c r="I87" i="39"/>
  <c r="H87" i="39"/>
  <c r="F87" i="39"/>
  <c r="E87" i="39"/>
  <c r="O86" i="39"/>
  <c r="N86" i="39"/>
  <c r="K86" i="39"/>
  <c r="L86" i="39" s="1"/>
  <c r="I86" i="39"/>
  <c r="H86" i="39"/>
  <c r="F86" i="39"/>
  <c r="E86" i="39"/>
  <c r="N85" i="39"/>
  <c r="O85" i="39" s="1"/>
  <c r="O23" i="39" s="1"/>
  <c r="K85" i="39"/>
  <c r="L85" i="39" s="1"/>
  <c r="L23" i="39" s="1"/>
  <c r="I85" i="39"/>
  <c r="H85" i="39"/>
  <c r="F85" i="39"/>
  <c r="E85" i="39"/>
  <c r="N84" i="39"/>
  <c r="O84" i="39" s="1"/>
  <c r="O28" i="39" s="1"/>
  <c r="K84" i="39"/>
  <c r="L84" i="39" s="1"/>
  <c r="L28" i="39" s="1"/>
  <c r="I84" i="39"/>
  <c r="H84" i="39"/>
  <c r="F84" i="39"/>
  <c r="E84" i="39"/>
  <c r="O83" i="39"/>
  <c r="N83" i="39"/>
  <c r="K83" i="39"/>
  <c r="L83" i="39" s="1"/>
  <c r="I83" i="39"/>
  <c r="H83" i="39"/>
  <c r="F83" i="39"/>
  <c r="E83" i="39"/>
  <c r="O82" i="39"/>
  <c r="N82" i="39"/>
  <c r="K82" i="39"/>
  <c r="L82" i="39" s="1"/>
  <c r="L20" i="39" s="1"/>
  <c r="I82" i="39"/>
  <c r="H82" i="39"/>
  <c r="F82" i="39"/>
  <c r="E82" i="39"/>
  <c r="N81" i="39"/>
  <c r="O81" i="39" s="1"/>
  <c r="K81" i="39"/>
  <c r="L81" i="39" s="1"/>
  <c r="I81" i="39"/>
  <c r="H81" i="39"/>
  <c r="F81" i="39"/>
  <c r="E81" i="39"/>
  <c r="N80" i="39"/>
  <c r="O80" i="39" s="1"/>
  <c r="K80" i="39"/>
  <c r="L80" i="39" s="1"/>
  <c r="H80" i="39"/>
  <c r="I80" i="39" s="1"/>
  <c r="F80" i="39"/>
  <c r="E80" i="39"/>
  <c r="O79" i="39"/>
  <c r="N79" i="39"/>
  <c r="K79" i="39"/>
  <c r="L79" i="39" s="1"/>
  <c r="I79" i="39"/>
  <c r="H79" i="39"/>
  <c r="F79" i="39"/>
  <c r="E79" i="39"/>
  <c r="N78" i="39"/>
  <c r="N29" i="39" s="1"/>
  <c r="K78" i="39"/>
  <c r="L78" i="39" s="1"/>
  <c r="L29" i="39" s="1"/>
  <c r="I78" i="39"/>
  <c r="H78" i="39"/>
  <c r="F78" i="39"/>
  <c r="E78" i="39"/>
  <c r="N77" i="39"/>
  <c r="O77" i="39" s="1"/>
  <c r="O31" i="39" s="1"/>
  <c r="K77" i="39"/>
  <c r="L77" i="39" s="1"/>
  <c r="L31" i="39" s="1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K75" i="39"/>
  <c r="L75" i="39" s="1"/>
  <c r="H75" i="39"/>
  <c r="I75" i="39" s="1"/>
  <c r="F75" i="39"/>
  <c r="E75" i="39"/>
  <c r="N74" i="39"/>
  <c r="O74" i="39" s="1"/>
  <c r="K74" i="39"/>
  <c r="L74" i="39" s="1"/>
  <c r="I74" i="39"/>
  <c r="H74" i="39"/>
  <c r="F74" i="39"/>
  <c r="E74" i="39"/>
  <c r="N73" i="39"/>
  <c r="O73" i="39" s="1"/>
  <c r="K73" i="39"/>
  <c r="L73" i="39" s="1"/>
  <c r="I73" i="39"/>
  <c r="H73" i="39"/>
  <c r="F73" i="39"/>
  <c r="E73" i="39"/>
  <c r="O72" i="39"/>
  <c r="N72" i="39"/>
  <c r="K72" i="39"/>
  <c r="L72" i="39" s="1"/>
  <c r="I72" i="39"/>
  <c r="H72" i="39"/>
  <c r="F72" i="39"/>
  <c r="E72" i="39"/>
  <c r="O71" i="39"/>
  <c r="N71" i="39"/>
  <c r="K71" i="39"/>
  <c r="I71" i="39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O17" i="39" s="1"/>
  <c r="K63" i="39"/>
  <c r="L63" i="39" s="1"/>
  <c r="L17" i="39" s="1"/>
  <c r="I63" i="39"/>
  <c r="H63" i="39"/>
  <c r="E63" i="39"/>
  <c r="O62" i="39"/>
  <c r="N62" i="39"/>
  <c r="L62" i="39"/>
  <c r="K62" i="39"/>
  <c r="H62" i="39"/>
  <c r="I62" i="39" s="1"/>
  <c r="E62" i="39"/>
  <c r="F62" i="39" s="1"/>
  <c r="N61" i="39"/>
  <c r="O61" i="39" s="1"/>
  <c r="L61" i="39"/>
  <c r="K61" i="39"/>
  <c r="H61" i="39"/>
  <c r="I61" i="39" s="1"/>
  <c r="E61" i="39"/>
  <c r="F61" i="39" s="1"/>
  <c r="O60" i="39"/>
  <c r="N60" i="39"/>
  <c r="K60" i="39"/>
  <c r="L60" i="39" s="1"/>
  <c r="I60" i="39"/>
  <c r="H60" i="39"/>
  <c r="E60" i="39"/>
  <c r="F60" i="39" s="1"/>
  <c r="N59" i="39"/>
  <c r="O59" i="39" s="1"/>
  <c r="K59" i="39"/>
  <c r="L59" i="39" s="1"/>
  <c r="I59" i="39"/>
  <c r="H59" i="39"/>
  <c r="E59" i="39"/>
  <c r="F59" i="39" s="1"/>
  <c r="O58" i="39"/>
  <c r="N58" i="39"/>
  <c r="L58" i="39"/>
  <c r="K58" i="39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O56" i="39"/>
  <c r="N56" i="39"/>
  <c r="K56" i="39"/>
  <c r="L56" i="39" s="1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K54" i="39"/>
  <c r="L54" i="39" s="1"/>
  <c r="I54" i="39"/>
  <c r="H54" i="39"/>
  <c r="E54" i="39"/>
  <c r="F54" i="39" s="1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I52" i="39"/>
  <c r="H52" i="39"/>
  <c r="E52" i="39"/>
  <c r="F52" i="39" s="1"/>
  <c r="O51" i="39"/>
  <c r="N51" i="39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K47" i="39"/>
  <c r="L47" i="39" s="1"/>
  <c r="L32" i="39" s="1"/>
  <c r="H47" i="39"/>
  <c r="I47" i="39" s="1"/>
  <c r="I32" i="39" s="1"/>
  <c r="E47" i="39"/>
  <c r="F47" i="39" s="1"/>
  <c r="F32" i="39" s="1"/>
  <c r="N46" i="39"/>
  <c r="O46" i="39" s="1"/>
  <c r="L46" i="39"/>
  <c r="K46" i="39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O44" i="39"/>
  <c r="N44" i="39"/>
  <c r="K44" i="39"/>
  <c r="H44" i="39"/>
  <c r="E44" i="39"/>
  <c r="F4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K32" i="39"/>
  <c r="J32" i="39"/>
  <c r="H32" i="39"/>
  <c r="G32" i="39"/>
  <c r="E32" i="39"/>
  <c r="D32" i="39"/>
  <c r="C32" i="39"/>
  <c r="B32" i="39"/>
  <c r="N31" i="39"/>
  <c r="M31" i="39"/>
  <c r="K31" i="39"/>
  <c r="J31" i="39"/>
  <c r="I31" i="39"/>
  <c r="H31" i="39"/>
  <c r="G31" i="39"/>
  <c r="F31" i="39"/>
  <c r="E31" i="39"/>
  <c r="D31" i="39"/>
  <c r="C31" i="39"/>
  <c r="B31" i="39"/>
  <c r="N30" i="39"/>
  <c r="M30" i="39"/>
  <c r="K30" i="39"/>
  <c r="J30" i="39"/>
  <c r="H30" i="39"/>
  <c r="G30" i="39"/>
  <c r="F30" i="39"/>
  <c r="E30" i="39"/>
  <c r="D30" i="39"/>
  <c r="C30" i="39"/>
  <c r="B30" i="39"/>
  <c r="M29" i="39"/>
  <c r="K29" i="39"/>
  <c r="J29" i="39"/>
  <c r="I29" i="39"/>
  <c r="H29" i="39"/>
  <c r="G29" i="39"/>
  <c r="F29" i="39"/>
  <c r="E29" i="39"/>
  <c r="D29" i="39"/>
  <c r="C29" i="39"/>
  <c r="B29" i="39"/>
  <c r="N28" i="39"/>
  <c r="M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H27" i="39"/>
  <c r="G27" i="39"/>
  <c r="F27" i="39"/>
  <c r="E27" i="39"/>
  <c r="D27" i="39"/>
  <c r="C27" i="39"/>
  <c r="B27" i="39"/>
  <c r="N26" i="39"/>
  <c r="M26" i="39"/>
  <c r="K26" i="39"/>
  <c r="J26" i="39"/>
  <c r="I26" i="39"/>
  <c r="H26" i="39"/>
  <c r="G26" i="39"/>
  <c r="F26" i="39"/>
  <c r="E26" i="39"/>
  <c r="D26" i="39"/>
  <c r="C26" i="39"/>
  <c r="B26" i="39"/>
  <c r="N25" i="39"/>
  <c r="M25" i="39"/>
  <c r="L25" i="39"/>
  <c r="K25" i="39"/>
  <c r="J25" i="39"/>
  <c r="H25" i="39"/>
  <c r="G25" i="39"/>
  <c r="F25" i="39"/>
  <c r="E25" i="39"/>
  <c r="D25" i="39"/>
  <c r="C25" i="39"/>
  <c r="B25" i="39"/>
  <c r="O24" i="39"/>
  <c r="N24" i="39"/>
  <c r="M24" i="39"/>
  <c r="K24" i="39"/>
  <c r="J24" i="39"/>
  <c r="H24" i="39"/>
  <c r="G24" i="39"/>
  <c r="F24" i="39"/>
  <c r="E24" i="39"/>
  <c r="D24" i="39"/>
  <c r="C24" i="39"/>
  <c r="B24" i="39"/>
  <c r="N23" i="39"/>
  <c r="M23" i="39"/>
  <c r="K23" i="39"/>
  <c r="J23" i="39"/>
  <c r="I23" i="39"/>
  <c r="H23" i="39"/>
  <c r="G23" i="39"/>
  <c r="F23" i="39"/>
  <c r="E23" i="39"/>
  <c r="D23" i="39"/>
  <c r="C23" i="39"/>
  <c r="B23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H21" i="39"/>
  <c r="G21" i="39"/>
  <c r="F21" i="39"/>
  <c r="E21" i="39"/>
  <c r="D21" i="39"/>
  <c r="C21" i="39"/>
  <c r="B21" i="39"/>
  <c r="O20" i="39"/>
  <c r="N20" i="39"/>
  <c r="M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H19" i="39"/>
  <c r="G19" i="39"/>
  <c r="F19" i="39"/>
  <c r="E19" i="39"/>
  <c r="D19" i="39"/>
  <c r="C19" i="39"/>
  <c r="B19" i="39"/>
  <c r="N18" i="39"/>
  <c r="M18" i="39"/>
  <c r="K18" i="39"/>
  <c r="J18" i="39"/>
  <c r="I18" i="39"/>
  <c r="H18" i="39"/>
  <c r="G18" i="39"/>
  <c r="F18" i="39"/>
  <c r="E18" i="39"/>
  <c r="D18" i="39"/>
  <c r="C18" i="39"/>
  <c r="B18" i="39"/>
  <c r="N17" i="39"/>
  <c r="M17" i="39"/>
  <c r="K17" i="39"/>
  <c r="J17" i="39"/>
  <c r="I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D17" i="38"/>
  <c r="B199" i="38"/>
  <c r="O198" i="38"/>
  <c r="N198" i="38"/>
  <c r="L198" i="38"/>
  <c r="K198" i="38"/>
  <c r="I198" i="38"/>
  <c r="H198" i="38"/>
  <c r="E198" i="38"/>
  <c r="F198" i="38" s="1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H196" i="38"/>
  <c r="I196" i="38" s="1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H185" i="38"/>
  <c r="I185" i="38" s="1"/>
  <c r="F185" i="38"/>
  <c r="E185" i="38"/>
  <c r="O184" i="38"/>
  <c r="N184" i="38"/>
  <c r="L184" i="38"/>
  <c r="K184" i="38"/>
  <c r="H184" i="38"/>
  <c r="I184" i="38" s="1"/>
  <c r="E184" i="38"/>
  <c r="F184" i="38" s="1"/>
  <c r="O183" i="38"/>
  <c r="N183" i="38"/>
  <c r="L183" i="38"/>
  <c r="K183" i="38"/>
  <c r="I183" i="38"/>
  <c r="H183" i="38"/>
  <c r="E183" i="38"/>
  <c r="F183" i="38" s="1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N179" i="38"/>
  <c r="L179" i="38"/>
  <c r="L199" i="38" s="1"/>
  <c r="K179" i="38"/>
  <c r="K199" i="38" s="1"/>
  <c r="I179" i="38"/>
  <c r="H179" i="38"/>
  <c r="F179" i="38"/>
  <c r="E179" i="38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I169" i="38"/>
  <c r="H169" i="38"/>
  <c r="F169" i="38"/>
  <c r="E169" i="38"/>
  <c r="N168" i="38"/>
  <c r="O168" i="38" s="1"/>
  <c r="L168" i="38"/>
  <c r="K168" i="38"/>
  <c r="I168" i="38"/>
  <c r="H168" i="38"/>
  <c r="F168" i="38"/>
  <c r="E168" i="38"/>
  <c r="N167" i="38"/>
  <c r="L167" i="38"/>
  <c r="K167" i="38"/>
  <c r="H167" i="38"/>
  <c r="I167" i="38" s="1"/>
  <c r="I29" i="38" s="1"/>
  <c r="F167" i="38"/>
  <c r="E167" i="38"/>
  <c r="N166" i="38"/>
  <c r="O166" i="38" s="1"/>
  <c r="L166" i="38"/>
  <c r="K166" i="38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N164" i="38"/>
  <c r="O164" i="38" s="1"/>
  <c r="L164" i="38"/>
  <c r="K164" i="38"/>
  <c r="H164" i="38"/>
  <c r="I164" i="38" s="1"/>
  <c r="I27" i="38" s="1"/>
  <c r="F164" i="38"/>
  <c r="E164" i="38"/>
  <c r="N163" i="38"/>
  <c r="O163" i="38" s="1"/>
  <c r="O18" i="38" s="1"/>
  <c r="L163" i="38"/>
  <c r="K163" i="38"/>
  <c r="H163" i="38"/>
  <c r="I163" i="38" s="1"/>
  <c r="I18" i="38" s="1"/>
  <c r="F163" i="38"/>
  <c r="E163" i="38"/>
  <c r="N162" i="38"/>
  <c r="O162" i="38" s="1"/>
  <c r="O28" i="38" s="1"/>
  <c r="L162" i="38"/>
  <c r="K162" i="38"/>
  <c r="H162" i="38"/>
  <c r="I162" i="38" s="1"/>
  <c r="I28" i="38" s="1"/>
  <c r="F162" i="38"/>
  <c r="E162" i="38"/>
  <c r="O161" i="38"/>
  <c r="N161" i="38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I20" i="38" s="1"/>
  <c r="F159" i="38"/>
  <c r="E159" i="38"/>
  <c r="N158" i="38"/>
  <c r="O158" i="38" s="1"/>
  <c r="O21" i="38" s="1"/>
  <c r="L158" i="38"/>
  <c r="L22" i="38" s="1"/>
  <c r="K158" i="38"/>
  <c r="H158" i="38"/>
  <c r="I158" i="38" s="1"/>
  <c r="I21" i="38" s="1"/>
  <c r="F158" i="38"/>
  <c r="E158" i="38"/>
  <c r="N157" i="38"/>
  <c r="N25" i="38" s="1"/>
  <c r="K157" i="38"/>
  <c r="L157" i="38" s="1"/>
  <c r="H157" i="38"/>
  <c r="I157" i="38" s="1"/>
  <c r="I24" i="38" s="1"/>
  <c r="F157" i="38"/>
  <c r="E157" i="38"/>
  <c r="O156" i="38"/>
  <c r="N156" i="38"/>
  <c r="K156" i="38"/>
  <c r="L156" i="38" s="1"/>
  <c r="H156" i="38"/>
  <c r="F156" i="38"/>
  <c r="E156" i="38"/>
  <c r="N155" i="38"/>
  <c r="N33" i="38" s="1"/>
  <c r="L155" i="38"/>
  <c r="K155" i="38"/>
  <c r="H155" i="38"/>
  <c r="I155" i="38" s="1"/>
  <c r="I31" i="38" s="1"/>
  <c r="F155" i="38"/>
  <c r="E155" i="38"/>
  <c r="N154" i="38"/>
  <c r="O154" i="38" s="1"/>
  <c r="L154" i="38"/>
  <c r="K154" i="38"/>
  <c r="H154" i="38"/>
  <c r="I154" i="38" s="1"/>
  <c r="F154" i="38"/>
  <c r="E154" i="38"/>
  <c r="O153" i="38"/>
  <c r="O33" i="38" s="1"/>
  <c r="N153" i="38"/>
  <c r="N35" i="38" s="1"/>
  <c r="K153" i="38"/>
  <c r="L153" i="38" s="1"/>
  <c r="L33" i="38" s="1"/>
  <c r="H153" i="38"/>
  <c r="I153" i="38" s="1"/>
  <c r="I33" i="38" s="1"/>
  <c r="F153" i="38"/>
  <c r="F35" i="38" s="1"/>
  <c r="E153" i="38"/>
  <c r="N152" i="38"/>
  <c r="K152" i="38"/>
  <c r="H152" i="38"/>
  <c r="F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F117" i="38"/>
  <c r="E117" i="38"/>
  <c r="O116" i="38"/>
  <c r="N116" i="38"/>
  <c r="L116" i="38"/>
  <c r="K116" i="38"/>
  <c r="H116" i="38"/>
  <c r="I116" i="38" s="1"/>
  <c r="F116" i="38"/>
  <c r="E116" i="38"/>
  <c r="N115" i="38"/>
  <c r="O115" i="38" s="1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N112" i="38"/>
  <c r="O112" i="38" s="1"/>
  <c r="L112" i="38"/>
  <c r="K112" i="38"/>
  <c r="H112" i="38"/>
  <c r="I112" i="38" s="1"/>
  <c r="E112" i="38"/>
  <c r="F112" i="38" s="1"/>
  <c r="O111" i="38"/>
  <c r="N111" i="38"/>
  <c r="L111" i="38"/>
  <c r="K111" i="38"/>
  <c r="H111" i="38"/>
  <c r="I111" i="38" s="1"/>
  <c r="E111" i="38"/>
  <c r="F111" i="38" s="1"/>
  <c r="N110" i="38"/>
  <c r="O110" i="38" s="1"/>
  <c r="L110" i="38"/>
  <c r="K110" i="38"/>
  <c r="H110" i="38"/>
  <c r="I110" i="38" s="1"/>
  <c r="F110" i="38"/>
  <c r="E110" i="38"/>
  <c r="O109" i="38"/>
  <c r="N109" i="38"/>
  <c r="K109" i="38"/>
  <c r="L109" i="38" s="1"/>
  <c r="H109" i="38"/>
  <c r="I109" i="38" s="1"/>
  <c r="F109" i="38"/>
  <c r="E109" i="38"/>
  <c r="N108" i="38"/>
  <c r="O108" i="38" s="1"/>
  <c r="L108" i="38"/>
  <c r="K108" i="38"/>
  <c r="H108" i="38"/>
  <c r="I108" i="38" s="1"/>
  <c r="F108" i="38"/>
  <c r="E108" i="38"/>
  <c r="N107" i="38"/>
  <c r="O107" i="38" s="1"/>
  <c r="K107" i="38"/>
  <c r="L107" i="38" s="1"/>
  <c r="H107" i="38"/>
  <c r="I107" i="38" s="1"/>
  <c r="E107" i="38"/>
  <c r="F107" i="38" s="1"/>
  <c r="N106" i="38"/>
  <c r="O106" i="38" s="1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E104" i="38"/>
  <c r="F104" i="38" s="1"/>
  <c r="O103" i="38"/>
  <c r="N103" i="38"/>
  <c r="K103" i="38"/>
  <c r="L103" i="38" s="1"/>
  <c r="H103" i="38"/>
  <c r="I103" i="38" s="1"/>
  <c r="E103" i="38"/>
  <c r="F103" i="38" s="1"/>
  <c r="N102" i="38"/>
  <c r="O102" i="38" s="1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N98" i="38"/>
  <c r="N118" i="38" s="1"/>
  <c r="L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O89" i="38"/>
  <c r="O32" i="38" s="1"/>
  <c r="N89" i="38"/>
  <c r="L89" i="38"/>
  <c r="K89" i="38"/>
  <c r="H89" i="38"/>
  <c r="I89" i="38" s="1"/>
  <c r="I32" i="38" s="1"/>
  <c r="F89" i="38"/>
  <c r="E89" i="38"/>
  <c r="N88" i="38"/>
  <c r="O88" i="38" s="1"/>
  <c r="L88" i="38"/>
  <c r="K88" i="38"/>
  <c r="H88" i="38"/>
  <c r="I88" i="38" s="1"/>
  <c r="F88" i="38"/>
  <c r="E88" i="38"/>
  <c r="N87" i="38"/>
  <c r="O87" i="38" s="1"/>
  <c r="O19" i="38" s="1"/>
  <c r="K87" i="38"/>
  <c r="L87" i="38" s="1"/>
  <c r="L19" i="38" s="1"/>
  <c r="H87" i="38"/>
  <c r="F87" i="38"/>
  <c r="E87" i="38"/>
  <c r="O86" i="38"/>
  <c r="O17" i="38" s="1"/>
  <c r="N86" i="38"/>
  <c r="N17" i="38" s="1"/>
  <c r="K86" i="38"/>
  <c r="L86" i="38" s="1"/>
  <c r="L17" i="38" s="1"/>
  <c r="H86" i="38"/>
  <c r="I86" i="38" s="1"/>
  <c r="I17" i="38" s="1"/>
  <c r="F86" i="38"/>
  <c r="E86" i="38"/>
  <c r="N85" i="38"/>
  <c r="O85" i="38" s="1"/>
  <c r="L85" i="38"/>
  <c r="K85" i="38"/>
  <c r="H85" i="38"/>
  <c r="I85" i="38" s="1"/>
  <c r="F85" i="38"/>
  <c r="E85" i="38"/>
  <c r="N84" i="38"/>
  <c r="O84" i="38" s="1"/>
  <c r="L84" i="38"/>
  <c r="K84" i="38"/>
  <c r="H84" i="38"/>
  <c r="I84" i="38" s="1"/>
  <c r="F84" i="38"/>
  <c r="E84" i="38"/>
  <c r="O83" i="38"/>
  <c r="O25" i="38" s="1"/>
  <c r="N83" i="38"/>
  <c r="K83" i="38"/>
  <c r="L83" i="38" s="1"/>
  <c r="L25" i="38" s="1"/>
  <c r="H83" i="38"/>
  <c r="I83" i="38" s="1"/>
  <c r="I25" i="38" s="1"/>
  <c r="F83" i="38"/>
  <c r="E83" i="38"/>
  <c r="N82" i="38"/>
  <c r="O82" i="38" s="1"/>
  <c r="K82" i="38"/>
  <c r="L82" i="38" s="1"/>
  <c r="H82" i="38"/>
  <c r="I82" i="38" s="1"/>
  <c r="F82" i="38"/>
  <c r="E82" i="38"/>
  <c r="O81" i="38"/>
  <c r="N81" i="38"/>
  <c r="L81" i="38"/>
  <c r="K81" i="38"/>
  <c r="H81" i="38"/>
  <c r="I81" i="38" s="1"/>
  <c r="F81" i="38"/>
  <c r="E81" i="38"/>
  <c r="N80" i="38"/>
  <c r="O80" i="38" s="1"/>
  <c r="L80" i="38"/>
  <c r="K80" i="38"/>
  <c r="H80" i="38"/>
  <c r="I80" i="38" s="1"/>
  <c r="F80" i="38"/>
  <c r="E80" i="38"/>
  <c r="N79" i="38"/>
  <c r="K79" i="38"/>
  <c r="L79" i="38" s="1"/>
  <c r="L26" i="38" s="1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L77" i="38"/>
  <c r="K77" i="38"/>
  <c r="H77" i="38"/>
  <c r="I77" i="38" s="1"/>
  <c r="F77" i="38"/>
  <c r="E77" i="38"/>
  <c r="N76" i="38"/>
  <c r="O76" i="38" s="1"/>
  <c r="L76" i="38"/>
  <c r="K76" i="38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O73" i="38"/>
  <c r="O22" i="38" s="1"/>
  <c r="N73" i="38"/>
  <c r="N23" i="38" s="1"/>
  <c r="L73" i="38"/>
  <c r="K73" i="38"/>
  <c r="H73" i="38"/>
  <c r="I73" i="38" s="1"/>
  <c r="I22" i="38" s="1"/>
  <c r="F73" i="38"/>
  <c r="E73" i="38"/>
  <c r="N72" i="38"/>
  <c r="O72" i="38" s="1"/>
  <c r="L72" i="38"/>
  <c r="K72" i="38"/>
  <c r="H72" i="38"/>
  <c r="I72" i="38" s="1"/>
  <c r="F72" i="38"/>
  <c r="E72" i="38"/>
  <c r="N71" i="38"/>
  <c r="K71" i="38"/>
  <c r="K91" i="38" s="1"/>
  <c r="H71" i="38"/>
  <c r="I71" i="38" s="1"/>
  <c r="F71" i="38"/>
  <c r="E71" i="38"/>
  <c r="M69" i="38"/>
  <c r="J69" i="38"/>
  <c r="G69" i="38"/>
  <c r="D69" i="38"/>
  <c r="B69" i="38"/>
  <c r="M68" i="38"/>
  <c r="G68" i="38"/>
  <c r="B64" i="38"/>
  <c r="O63" i="38"/>
  <c r="O30" i="38" s="1"/>
  <c r="N63" i="38"/>
  <c r="K63" i="38"/>
  <c r="L63" i="38" s="1"/>
  <c r="H63" i="38"/>
  <c r="I63" i="38" s="1"/>
  <c r="I30" i="38" s="1"/>
  <c r="F63" i="38"/>
  <c r="E63" i="38"/>
  <c r="N62" i="38"/>
  <c r="O62" i="38" s="1"/>
  <c r="L62" i="38"/>
  <c r="K62" i="38"/>
  <c r="H62" i="38"/>
  <c r="I62" i="38" s="1"/>
  <c r="F62" i="38"/>
  <c r="E62" i="38"/>
  <c r="O61" i="38"/>
  <c r="O36" i="38" s="1"/>
  <c r="N61" i="38"/>
  <c r="K61" i="38"/>
  <c r="L61" i="38" s="1"/>
  <c r="L34" i="38" s="1"/>
  <c r="H61" i="38"/>
  <c r="I61" i="38" s="1"/>
  <c r="I36" i="38" s="1"/>
  <c r="F61" i="38"/>
  <c r="F34" i="38" s="1"/>
  <c r="E61" i="38"/>
  <c r="E36" i="38" s="1"/>
  <c r="N60" i="38"/>
  <c r="O60" i="38" s="1"/>
  <c r="L60" i="38"/>
  <c r="K60" i="38"/>
  <c r="H60" i="38"/>
  <c r="I60" i="38" s="1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N57" i="38"/>
  <c r="O57" i="38" s="1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N54" i="38"/>
  <c r="O54" i="38" s="1"/>
  <c r="L54" i="38"/>
  <c r="K54" i="38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N50" i="38"/>
  <c r="O50" i="38" s="1"/>
  <c r="L50" i="38"/>
  <c r="K50" i="38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N47" i="38"/>
  <c r="O47" i="38" s="1"/>
  <c r="K47" i="38"/>
  <c r="L47" i="38" s="1"/>
  <c r="H47" i="38"/>
  <c r="I47" i="38" s="1"/>
  <c r="F47" i="38"/>
  <c r="E47" i="38"/>
  <c r="O46" i="38"/>
  <c r="N46" i="38"/>
  <c r="L46" i="38"/>
  <c r="K46" i="38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F44" i="38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J34" i="38"/>
  <c r="G34" i="38"/>
  <c r="E34" i="38"/>
  <c r="D34" i="38"/>
  <c r="C34" i="38"/>
  <c r="B34" i="38"/>
  <c r="M33" i="38"/>
  <c r="J33" i="38"/>
  <c r="G33" i="38"/>
  <c r="E33" i="38"/>
  <c r="D33" i="38"/>
  <c r="C33" i="38"/>
  <c r="B33" i="38"/>
  <c r="N32" i="38"/>
  <c r="M32" i="38"/>
  <c r="L32" i="38"/>
  <c r="K32" i="38"/>
  <c r="J32" i="38"/>
  <c r="H32" i="38"/>
  <c r="G32" i="38"/>
  <c r="F32" i="38"/>
  <c r="E32" i="38"/>
  <c r="D32" i="38"/>
  <c r="C32" i="38"/>
  <c r="B32" i="38"/>
  <c r="M31" i="38"/>
  <c r="L31" i="38"/>
  <c r="K31" i="38"/>
  <c r="J31" i="38"/>
  <c r="H31" i="38"/>
  <c r="G31" i="38"/>
  <c r="E31" i="38"/>
  <c r="D31" i="38"/>
  <c r="C31" i="38"/>
  <c r="B31" i="38"/>
  <c r="N30" i="38"/>
  <c r="M30" i="38"/>
  <c r="J30" i="38"/>
  <c r="G30" i="38"/>
  <c r="F30" i="38"/>
  <c r="E30" i="38"/>
  <c r="D30" i="38"/>
  <c r="C30" i="38"/>
  <c r="B30" i="38"/>
  <c r="N29" i="38"/>
  <c r="M29" i="38"/>
  <c r="L29" i="38"/>
  <c r="K29" i="38"/>
  <c r="J29" i="38"/>
  <c r="H29" i="38"/>
  <c r="G29" i="38"/>
  <c r="F29" i="38"/>
  <c r="E29" i="38"/>
  <c r="D29" i="38"/>
  <c r="C29" i="38"/>
  <c r="B29" i="38"/>
  <c r="N28" i="38"/>
  <c r="M28" i="38"/>
  <c r="K28" i="38"/>
  <c r="J28" i="38"/>
  <c r="G28" i="38"/>
  <c r="F28" i="38"/>
  <c r="E28" i="38"/>
  <c r="D28" i="38"/>
  <c r="C28" i="38"/>
  <c r="B28" i="38"/>
  <c r="M27" i="38"/>
  <c r="L27" i="38"/>
  <c r="K27" i="38"/>
  <c r="J27" i="38"/>
  <c r="H27" i="38"/>
  <c r="G27" i="38"/>
  <c r="F27" i="38"/>
  <c r="E27" i="38"/>
  <c r="D27" i="38"/>
  <c r="C27" i="38"/>
  <c r="B27" i="38"/>
  <c r="N26" i="38"/>
  <c r="M26" i="38"/>
  <c r="K26" i="38"/>
  <c r="J26" i="38"/>
  <c r="G26" i="38"/>
  <c r="F26" i="38"/>
  <c r="E26" i="38"/>
  <c r="D26" i="38"/>
  <c r="C26" i="38"/>
  <c r="B26" i="38"/>
  <c r="M25" i="38"/>
  <c r="K25" i="38"/>
  <c r="J25" i="38"/>
  <c r="H25" i="38"/>
  <c r="G25" i="38"/>
  <c r="E25" i="38"/>
  <c r="D25" i="38"/>
  <c r="C25" i="38"/>
  <c r="B25" i="38"/>
  <c r="N24" i="38"/>
  <c r="M24" i="38"/>
  <c r="K24" i="38"/>
  <c r="J24" i="38"/>
  <c r="G24" i="38"/>
  <c r="F24" i="38"/>
  <c r="E24" i="38"/>
  <c r="D24" i="38"/>
  <c r="C24" i="38"/>
  <c r="B24" i="38"/>
  <c r="O23" i="38"/>
  <c r="M23" i="38"/>
  <c r="K23" i="38"/>
  <c r="J23" i="38"/>
  <c r="H23" i="38"/>
  <c r="G23" i="38"/>
  <c r="F23" i="38"/>
  <c r="E23" i="38"/>
  <c r="D23" i="38"/>
  <c r="C23" i="38"/>
  <c r="B23" i="38"/>
  <c r="N22" i="38"/>
  <c r="M22" i="38"/>
  <c r="K22" i="38"/>
  <c r="J22" i="38"/>
  <c r="G22" i="38"/>
  <c r="F22" i="38"/>
  <c r="E22" i="38"/>
  <c r="D22" i="38"/>
  <c r="C22" i="38"/>
  <c r="B22" i="38"/>
  <c r="M21" i="38"/>
  <c r="L21" i="38"/>
  <c r="K21" i="38"/>
  <c r="J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G20" i="38"/>
  <c r="F20" i="38"/>
  <c r="E20" i="38"/>
  <c r="D20" i="38"/>
  <c r="C20" i="38"/>
  <c r="B20" i="38"/>
  <c r="M19" i="38"/>
  <c r="K19" i="38"/>
  <c r="J19" i="38"/>
  <c r="H19" i="38"/>
  <c r="G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M17" i="38"/>
  <c r="K17" i="38"/>
  <c r="J17" i="38"/>
  <c r="H17" i="38"/>
  <c r="G17" i="38"/>
  <c r="F17" i="38"/>
  <c r="E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K199" i="40" l="1"/>
  <c r="L179" i="40"/>
  <c r="L199" i="40" s="1"/>
  <c r="L143" i="40"/>
  <c r="L24" i="40" s="1"/>
  <c r="L37" i="40" s="1"/>
  <c r="K118" i="40"/>
  <c r="L118" i="40"/>
  <c r="K91" i="40"/>
  <c r="L145" i="40"/>
  <c r="L91" i="40"/>
  <c r="L64" i="40"/>
  <c r="K64" i="40"/>
  <c r="I179" i="40"/>
  <c r="I199" i="40" s="1"/>
  <c r="I125" i="40"/>
  <c r="I145" i="40" s="1"/>
  <c r="I98" i="40"/>
  <c r="I118" i="40" s="1"/>
  <c r="H91" i="40"/>
  <c r="I71" i="40"/>
  <c r="I91" i="40" s="1"/>
  <c r="I44" i="40"/>
  <c r="I64" i="40" s="1"/>
  <c r="F71" i="40"/>
  <c r="F91" i="40" s="1"/>
  <c r="F44" i="40"/>
  <c r="F64" i="40" s="1"/>
  <c r="E145" i="40"/>
  <c r="K145" i="40"/>
  <c r="H199" i="39"/>
  <c r="K199" i="39"/>
  <c r="L179" i="39"/>
  <c r="L199" i="39" s="1"/>
  <c r="I179" i="39"/>
  <c r="I199" i="39" s="1"/>
  <c r="K172" i="39"/>
  <c r="H172" i="39"/>
  <c r="I172" i="39"/>
  <c r="L152" i="39"/>
  <c r="L172" i="39" s="1"/>
  <c r="H118" i="39"/>
  <c r="I118" i="39"/>
  <c r="K118" i="39"/>
  <c r="L98" i="39"/>
  <c r="L118" i="39" s="1"/>
  <c r="O179" i="39"/>
  <c r="O199" i="39" s="1"/>
  <c r="O152" i="39"/>
  <c r="O172" i="39" s="1"/>
  <c r="N145" i="39"/>
  <c r="O125" i="39"/>
  <c r="O145" i="39" s="1"/>
  <c r="O98" i="39"/>
  <c r="O118" i="39" s="1"/>
  <c r="O91" i="39"/>
  <c r="O78" i="39"/>
  <c r="O29" i="39" s="1"/>
  <c r="O37" i="39" s="1"/>
  <c r="N91" i="39"/>
  <c r="N64" i="39"/>
  <c r="O64" i="39"/>
  <c r="G9" i="40"/>
  <c r="G3" i="40"/>
  <c r="H37" i="40"/>
  <c r="E37" i="40"/>
  <c r="I37" i="40"/>
  <c r="F37" i="40"/>
  <c r="N37" i="40"/>
  <c r="K37" i="40"/>
  <c r="O37" i="40"/>
  <c r="G5" i="40"/>
  <c r="G7" i="40"/>
  <c r="K91" i="39"/>
  <c r="I91" i="39"/>
  <c r="L71" i="39"/>
  <c r="L91" i="39" s="1"/>
  <c r="K145" i="39"/>
  <c r="L125" i="39"/>
  <c r="L145" i="39" s="1"/>
  <c r="I125" i="39"/>
  <c r="I145" i="39" s="1"/>
  <c r="K64" i="39"/>
  <c r="H64" i="39"/>
  <c r="L44" i="39"/>
  <c r="L64" i="39" s="1"/>
  <c r="I44" i="39"/>
  <c r="I64" i="39" s="1"/>
  <c r="F64" i="39"/>
  <c r="E64" i="39"/>
  <c r="F63" i="39"/>
  <c r="F17" i="39" s="1"/>
  <c r="F37" i="39" s="1"/>
  <c r="N199" i="38"/>
  <c r="O179" i="38"/>
  <c r="O199" i="38" s="1"/>
  <c r="N27" i="38"/>
  <c r="N172" i="38"/>
  <c r="N31" i="38"/>
  <c r="O152" i="38"/>
  <c r="O155" i="38"/>
  <c r="O31" i="38" s="1"/>
  <c r="O157" i="38"/>
  <c r="O24" i="38" s="1"/>
  <c r="O167" i="38"/>
  <c r="O29" i="38" s="1"/>
  <c r="N21" i="38"/>
  <c r="O145" i="38"/>
  <c r="N145" i="38"/>
  <c r="O98" i="38"/>
  <c r="O118" i="38" s="1"/>
  <c r="N91" i="38"/>
  <c r="N19" i="38"/>
  <c r="O71" i="38"/>
  <c r="O79" i="38"/>
  <c r="O44" i="38"/>
  <c r="H37" i="39"/>
  <c r="L37" i="39"/>
  <c r="I37" i="39"/>
  <c r="N37" i="39"/>
  <c r="K37" i="39"/>
  <c r="E37" i="39"/>
  <c r="G3" i="39"/>
  <c r="G7" i="39"/>
  <c r="G9" i="39"/>
  <c r="H199" i="38"/>
  <c r="E199" i="38"/>
  <c r="F199" i="38"/>
  <c r="I199" i="38"/>
  <c r="L24" i="38"/>
  <c r="L23" i="38"/>
  <c r="K33" i="38"/>
  <c r="K172" i="38"/>
  <c r="L152" i="38"/>
  <c r="L28" i="38"/>
  <c r="K145" i="38"/>
  <c r="L125" i="38"/>
  <c r="L145" i="38" s="1"/>
  <c r="L118" i="38"/>
  <c r="K118" i="38"/>
  <c r="L71" i="38"/>
  <c r="L91" i="38" s="1"/>
  <c r="K30" i="38"/>
  <c r="K34" i="38"/>
  <c r="L64" i="38"/>
  <c r="K64" i="38"/>
  <c r="H28" i="38"/>
  <c r="H20" i="38"/>
  <c r="F21" i="38"/>
  <c r="H24" i="38"/>
  <c r="I156" i="38"/>
  <c r="I23" i="38" s="1"/>
  <c r="F31" i="38"/>
  <c r="F172" i="38"/>
  <c r="H33" i="38"/>
  <c r="H172" i="38"/>
  <c r="F33" i="38"/>
  <c r="I152" i="38"/>
  <c r="I125" i="38"/>
  <c r="I145" i="38" s="1"/>
  <c r="E118" i="38"/>
  <c r="H118" i="38"/>
  <c r="I98" i="38"/>
  <c r="I118" i="38" s="1"/>
  <c r="I87" i="38"/>
  <c r="I19" i="38" s="1"/>
  <c r="F19" i="38"/>
  <c r="F25" i="38"/>
  <c r="E91" i="38"/>
  <c r="H26" i="38"/>
  <c r="I26" i="38"/>
  <c r="H22" i="38"/>
  <c r="F91" i="38"/>
  <c r="I91" i="38"/>
  <c r="H34" i="38"/>
  <c r="I34" i="38"/>
  <c r="H64" i="38"/>
  <c r="F64" i="38"/>
  <c r="I44" i="38"/>
  <c r="I64" i="38"/>
  <c r="G5" i="38" s="1"/>
  <c r="L30" i="38"/>
  <c r="H30" i="38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E37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N37" i="38" l="1"/>
  <c r="G11" i="40"/>
  <c r="G5" i="39"/>
  <c r="O172" i="38"/>
  <c r="O27" i="38"/>
  <c r="O26" i="38"/>
  <c r="O91" i="38"/>
  <c r="G11" i="39"/>
  <c r="L37" i="38"/>
  <c r="K37" i="38"/>
  <c r="I172" i="38"/>
  <c r="G3" i="38"/>
  <c r="F37" i="38"/>
  <c r="G7" i="38"/>
  <c r="I37" i="38"/>
  <c r="H37" i="38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4" l="1"/>
  <c r="O37" i="38"/>
  <c r="G11" i="38" s="1"/>
  <c r="G11" i="33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C263" i="9"/>
  <c r="K88" i="9"/>
  <c r="H164" i="9"/>
  <c r="O66" i="3"/>
  <c r="C148" i="9"/>
  <c r="L145" i="9"/>
  <c r="H212" i="9"/>
  <c r="K221" i="9"/>
  <c r="I30" i="9"/>
  <c r="F216" i="9"/>
  <c r="I261" i="9"/>
  <c r="H146" i="9"/>
  <c r="K75" i="9"/>
  <c r="K105" i="9"/>
  <c r="C103" i="9"/>
  <c r="O99" i="9"/>
  <c r="E30" i="9"/>
  <c r="O35" i="9"/>
  <c r="N241" i="9"/>
  <c r="C159" i="9"/>
  <c r="C215" i="9"/>
  <c r="C268" i="9"/>
  <c r="N141" i="9"/>
  <c r="L112" i="9"/>
  <c r="I75" i="9"/>
  <c r="I280" i="9"/>
  <c r="E27" i="9"/>
  <c r="C213" i="9"/>
  <c r="K21" i="3"/>
  <c r="F120" i="9"/>
  <c r="H101" i="9"/>
  <c r="I196" i="9"/>
  <c r="K67" i="3"/>
  <c r="I111" i="9"/>
  <c r="I146" i="9"/>
  <c r="N266" i="9"/>
  <c r="H35" i="9"/>
  <c r="L185" i="9"/>
  <c r="L126" i="9"/>
  <c r="F198" i="9"/>
  <c r="I35" i="9"/>
  <c r="C261" i="9"/>
  <c r="K65" i="3"/>
  <c r="N127" i="9"/>
  <c r="N240" i="9"/>
  <c r="N107" i="9"/>
  <c r="E32" i="9"/>
  <c r="F47" i="9"/>
  <c r="L50" i="9"/>
  <c r="C253" i="9"/>
  <c r="E177" i="9"/>
  <c r="I264" i="9"/>
  <c r="O150" i="9"/>
  <c r="K64" i="9"/>
  <c r="L101" i="9"/>
  <c r="N202" i="9"/>
  <c r="K24" i="9"/>
  <c r="K14" i="5"/>
  <c r="O71" i="9"/>
  <c r="F223" i="9"/>
  <c r="N227" i="9"/>
  <c r="F32" i="9"/>
  <c r="O192" i="9"/>
  <c r="H192" i="9"/>
  <c r="N229" i="9"/>
  <c r="F65" i="9"/>
  <c r="C140" i="9"/>
  <c r="C229" i="9"/>
  <c r="N62" i="9"/>
  <c r="K117" i="9"/>
  <c r="O251" i="9"/>
  <c r="O181" i="9"/>
  <c r="N28" i="9"/>
  <c r="H278" i="9"/>
  <c r="N139" i="9"/>
  <c r="O232" i="9"/>
  <c r="L153" i="9"/>
  <c r="H34" i="9"/>
  <c r="F184" i="9"/>
  <c r="K50" i="9"/>
  <c r="C128" i="9"/>
  <c r="N183" i="9"/>
  <c r="L220" i="9"/>
  <c r="C99" i="9"/>
  <c r="H233" i="9"/>
  <c r="C265" i="9"/>
  <c r="L234" i="9"/>
  <c r="F155" i="9"/>
  <c r="C220" i="9"/>
  <c r="O126" i="9"/>
  <c r="F86" i="9"/>
  <c r="E218" i="9"/>
  <c r="N83" i="9"/>
  <c r="K25" i="9"/>
  <c r="N25" i="9"/>
  <c r="N102" i="9"/>
  <c r="F142" i="9"/>
  <c r="L63" i="9"/>
  <c r="C163" i="9"/>
  <c r="N114" i="9"/>
  <c r="C75" i="9"/>
  <c r="G31" i="3"/>
  <c r="L33" i="9"/>
  <c r="E251" i="9"/>
  <c r="E90" i="9"/>
  <c r="C111" i="9"/>
  <c r="I242" i="9"/>
  <c r="L111" i="9"/>
  <c r="O117" i="9"/>
  <c r="E222" i="9"/>
  <c r="O145" i="9"/>
  <c r="L217" i="9"/>
  <c r="C224" i="9"/>
  <c r="F202" i="9"/>
  <c r="O43" i="9"/>
  <c r="E29" i="9"/>
  <c r="F166" i="9"/>
  <c r="K42" i="3"/>
  <c r="C269" i="9"/>
  <c r="E181" i="9"/>
  <c r="H74" i="9"/>
  <c r="H186" i="9"/>
  <c r="O39" i="3"/>
  <c r="C162" i="9"/>
  <c r="L269" i="9"/>
  <c r="H162" i="9"/>
  <c r="C102" i="9"/>
  <c r="H117" i="9"/>
  <c r="E100" i="9"/>
  <c r="E221" i="9"/>
  <c r="N76" i="9"/>
  <c r="E195" i="9"/>
  <c r="O152" i="9"/>
  <c r="H221" i="9"/>
  <c r="C242" i="9"/>
  <c r="N34" i="9"/>
  <c r="L140" i="9"/>
  <c r="K255" i="9"/>
  <c r="N277" i="9"/>
  <c r="F43" i="9"/>
  <c r="O52" i="9"/>
  <c r="I110" i="9"/>
  <c r="C84" i="9"/>
  <c r="K28" i="9"/>
  <c r="O40" i="9"/>
  <c r="L237" i="9"/>
  <c r="C49" i="9"/>
  <c r="O28" i="9"/>
  <c r="L107" i="9"/>
  <c r="K185" i="9"/>
  <c r="F98" i="9"/>
  <c r="C252" i="9"/>
  <c r="C278" i="9"/>
  <c r="O229" i="9"/>
  <c r="K51" i="9"/>
  <c r="E120" i="9"/>
  <c r="I123" i="9"/>
  <c r="F269" i="9"/>
  <c r="O137" i="9"/>
  <c r="N187" i="9"/>
  <c r="N213" i="9"/>
  <c r="L200" i="9"/>
  <c r="E136" i="9"/>
  <c r="K19" i="5"/>
  <c r="E274" i="9"/>
  <c r="G73" i="3"/>
  <c r="F157" i="9"/>
  <c r="I41" i="9"/>
  <c r="O158" i="9"/>
  <c r="K182" i="9"/>
  <c r="H148" i="9"/>
  <c r="I150" i="9"/>
  <c r="O157" i="9"/>
  <c r="I43" i="9"/>
  <c r="G43" i="3"/>
  <c r="K39" i="9"/>
  <c r="F274" i="9"/>
  <c r="F204" i="9"/>
  <c r="K263" i="9"/>
  <c r="C250" i="9"/>
  <c r="K150" i="9"/>
  <c r="H258" i="9"/>
  <c r="N262" i="9"/>
  <c r="C237" i="9"/>
  <c r="I153" i="9"/>
  <c r="K264" i="9"/>
  <c r="K270" i="9"/>
  <c r="I254" i="9"/>
  <c r="G37" i="3"/>
  <c r="O154" i="9"/>
  <c r="F145" i="9"/>
  <c r="L86" i="9"/>
  <c r="C195" i="9"/>
  <c r="C181" i="9"/>
  <c r="N193" i="9"/>
  <c r="H196" i="9"/>
  <c r="I145" i="9"/>
  <c r="L160" i="9"/>
  <c r="O156" i="9"/>
  <c r="K151" i="9"/>
  <c r="I159" i="9"/>
  <c r="E103" i="9"/>
  <c r="E117" i="9"/>
  <c r="O79" i="9"/>
  <c r="O227" i="9"/>
  <c r="K34" i="9"/>
  <c r="O144" i="9"/>
  <c r="F140" i="9"/>
  <c r="K67" i="9"/>
  <c r="N232" i="9"/>
  <c r="L162" i="9"/>
  <c r="E125" i="9"/>
  <c r="L39" i="9"/>
  <c r="K250" i="9"/>
  <c r="I39" i="9"/>
  <c r="I136" i="9"/>
  <c r="N216" i="9"/>
  <c r="L158" i="9"/>
  <c r="H193" i="9"/>
  <c r="N163" i="9"/>
  <c r="O271" i="9"/>
  <c r="H269" i="9"/>
  <c r="H40" i="9"/>
  <c r="C42" i="9"/>
  <c r="K18" i="5"/>
  <c r="N219" i="9"/>
  <c r="H225" i="9"/>
  <c r="I32" i="9"/>
  <c r="K68" i="3"/>
  <c r="C199" i="9"/>
  <c r="O138" i="9"/>
  <c r="F118" i="9"/>
  <c r="L219" i="9"/>
  <c r="L154" i="9"/>
  <c r="F50" i="9"/>
  <c r="L143" i="9"/>
  <c r="K61" i="3"/>
  <c r="K52" i="9"/>
  <c r="H219" i="9"/>
  <c r="I154" i="9"/>
  <c r="E194" i="9"/>
  <c r="K23" i="5"/>
  <c r="F227" i="9"/>
  <c r="O81" i="9"/>
  <c r="O234" i="9"/>
  <c r="F115" i="9"/>
  <c r="E141" i="9"/>
  <c r="L77" i="9"/>
  <c r="I107" i="9"/>
  <c r="O278" i="9"/>
  <c r="I225" i="9"/>
  <c r="K201" i="9"/>
  <c r="E47" i="9"/>
  <c r="H165" i="9"/>
  <c r="O240" i="9"/>
  <c r="I161" i="9"/>
  <c r="L250" i="9"/>
  <c r="L174" i="9"/>
  <c r="L180" i="9"/>
  <c r="I218" i="9"/>
  <c r="K49" i="3"/>
  <c r="I66" i="9"/>
  <c r="E22" i="9"/>
  <c r="F203" i="9"/>
  <c r="I47" i="9"/>
  <c r="H229" i="9"/>
  <c r="L216" i="9"/>
  <c r="N89" i="9"/>
  <c r="C201" i="9"/>
  <c r="H270" i="9"/>
  <c r="C216" i="9"/>
  <c r="H280" i="9"/>
  <c r="H156" i="9"/>
  <c r="K64" i="3"/>
  <c r="O63" i="9"/>
  <c r="I99" i="9"/>
  <c r="F139" i="9"/>
  <c r="O163" i="9"/>
  <c r="G69" i="3"/>
  <c r="E138" i="9"/>
  <c r="I151" i="9"/>
  <c r="E113" i="9"/>
  <c r="L98" i="9"/>
  <c r="E75" i="9"/>
  <c r="O184" i="9"/>
  <c r="L176" i="9"/>
  <c r="I224" i="9"/>
  <c r="N250" i="9"/>
  <c r="L38" i="9"/>
  <c r="H85" i="9"/>
  <c r="K86" i="9"/>
  <c r="E204" i="9"/>
  <c r="C40" i="9"/>
  <c r="I87" i="9"/>
  <c r="L232" i="9"/>
  <c r="E121" i="9"/>
  <c r="C194" i="9"/>
  <c r="F160" i="9"/>
  <c r="K13" i="5"/>
  <c r="H22" i="9"/>
  <c r="N259" i="9"/>
  <c r="O261" i="9"/>
  <c r="O216" i="9"/>
  <c r="L149" i="9"/>
  <c r="F222" i="9"/>
  <c r="L128" i="9"/>
  <c r="H60" i="9"/>
  <c r="N236" i="9"/>
  <c r="N231" i="9"/>
  <c r="F200" i="9"/>
  <c r="K12" i="5"/>
  <c r="C24" i="9"/>
  <c r="H218" i="9"/>
  <c r="C255" i="9"/>
  <c r="O70" i="3"/>
  <c r="K229" i="9"/>
  <c r="F258" i="9"/>
  <c r="K60" i="3"/>
  <c r="H99" i="9"/>
  <c r="E216" i="9"/>
  <c r="K119" i="9"/>
  <c r="I71" i="9"/>
  <c r="I228" i="9"/>
  <c r="E257" i="9"/>
  <c r="F66" i="9"/>
  <c r="E250" i="9"/>
  <c r="K186" i="9"/>
  <c r="K233" i="9"/>
  <c r="I29" i="9"/>
  <c r="L40" i="9"/>
  <c r="E193" i="9"/>
  <c r="E99" i="9"/>
  <c r="I116" i="9"/>
  <c r="H108" i="9"/>
  <c r="O75" i="3"/>
  <c r="O104" i="9"/>
  <c r="I179" i="9"/>
  <c r="I240" i="9"/>
  <c r="N152" i="9"/>
  <c r="H238" i="9"/>
  <c r="F163" i="9"/>
  <c r="K277" i="9"/>
  <c r="I188" i="9"/>
  <c r="E227" i="9"/>
  <c r="O217" i="9"/>
  <c r="O62" i="9"/>
  <c r="E272" i="9"/>
  <c r="H82" i="9"/>
  <c r="I40" i="9"/>
  <c r="N75" i="9"/>
  <c r="F233" i="9"/>
  <c r="K72" i="3"/>
  <c r="C151" i="9"/>
  <c r="E101" i="9"/>
  <c r="H231" i="9"/>
  <c r="N122" i="9"/>
  <c r="N110" i="9"/>
  <c r="E179" i="9"/>
  <c r="I24" i="9"/>
  <c r="O219" i="9"/>
  <c r="K137" i="9"/>
  <c r="K40" i="9"/>
  <c r="H48" i="9"/>
  <c r="C160" i="9"/>
  <c r="K148" i="9"/>
  <c r="N182" i="9"/>
  <c r="E212" i="9"/>
  <c r="N23" i="9"/>
  <c r="E137" i="9"/>
  <c r="C62" i="9"/>
  <c r="H86" i="9"/>
  <c r="N198" i="9"/>
  <c r="K226" i="9"/>
  <c r="E50" i="9"/>
  <c r="H195" i="9"/>
  <c r="O82" i="9"/>
  <c r="K155" i="9"/>
  <c r="N33" i="9"/>
  <c r="F272" i="9"/>
  <c r="I89" i="9"/>
  <c r="C124" i="9"/>
  <c r="H111" i="9"/>
  <c r="K236" i="9"/>
  <c r="I50" i="9"/>
  <c r="K73" i="3"/>
  <c r="O114" i="9"/>
  <c r="K19" i="3"/>
  <c r="C31" i="9"/>
  <c r="F231" i="9"/>
  <c r="N77" i="9"/>
  <c r="I114" i="9"/>
  <c r="F270" i="9"/>
  <c r="I230" i="9"/>
  <c r="H52" i="9"/>
  <c r="L75" i="9"/>
  <c r="C51" i="9"/>
  <c r="C90" i="9"/>
  <c r="L159" i="9"/>
  <c r="K278" i="9"/>
  <c r="F185" i="9"/>
  <c r="E98" i="9"/>
  <c r="I118" i="9"/>
  <c r="C267" i="9"/>
  <c r="I117" i="9"/>
  <c r="K280" i="9"/>
  <c r="E60" i="9"/>
  <c r="O24" i="9"/>
  <c r="I147" i="9"/>
  <c r="N224" i="9"/>
  <c r="K70" i="9"/>
  <c r="C121" i="9"/>
  <c r="N60" i="9"/>
  <c r="O46" i="3"/>
  <c r="K252" i="9"/>
  <c r="C198" i="9"/>
  <c r="K269" i="9"/>
  <c r="C52" i="9"/>
  <c r="K178" i="9"/>
  <c r="G41" i="3"/>
  <c r="F37" i="9"/>
  <c r="N86" i="9"/>
  <c r="K127" i="9"/>
  <c r="G75" i="3"/>
  <c r="O26" i="9"/>
  <c r="K254" i="9"/>
  <c r="I197" i="9"/>
  <c r="C154" i="9"/>
  <c r="E232" i="9"/>
  <c r="F81" i="9"/>
  <c r="H30" i="9"/>
  <c r="O191" i="9"/>
  <c r="K183" i="9"/>
  <c r="O61" i="9"/>
  <c r="L279" i="9"/>
  <c r="E155" i="9"/>
  <c r="L276" i="9"/>
  <c r="K268" i="9"/>
  <c r="N98" i="9"/>
  <c r="N181" i="9"/>
  <c r="C183" i="9"/>
  <c r="C262" i="9"/>
  <c r="E65" i="9"/>
  <c r="E105" i="9"/>
  <c r="E149" i="9"/>
  <c r="C238" i="9"/>
  <c r="E124" i="9"/>
  <c r="K31" i="3"/>
  <c r="K121" i="9"/>
  <c r="N87" i="9"/>
  <c r="L87" i="9"/>
  <c r="L78" i="9"/>
  <c r="O44" i="3"/>
  <c r="E49" i="9"/>
  <c r="L47" i="9"/>
  <c r="N104" i="9"/>
  <c r="K165" i="9"/>
  <c r="O69" i="3"/>
  <c r="K107" i="9"/>
  <c r="N118" i="9"/>
  <c r="H163" i="9"/>
  <c r="K99" i="9"/>
  <c r="C185" i="9"/>
  <c r="L122" i="9"/>
  <c r="E238" i="9"/>
  <c r="O182" i="9"/>
  <c r="I112" i="9"/>
  <c r="H189" i="9"/>
  <c r="C235" i="9"/>
  <c r="F64" i="9"/>
  <c r="O149" i="9"/>
  <c r="E76" i="9"/>
  <c r="L60" i="9"/>
  <c r="E184" i="9"/>
  <c r="N80" i="9"/>
  <c r="I164" i="9"/>
  <c r="I221" i="9"/>
  <c r="N90" i="9"/>
  <c r="C232" i="9"/>
  <c r="L61" i="9"/>
  <c r="O214" i="9"/>
  <c r="E119" i="9"/>
  <c r="C69" i="9"/>
  <c r="C259" i="9"/>
  <c r="F159" i="9"/>
  <c r="I189" i="9"/>
  <c r="I143" i="9"/>
  <c r="I257" i="9"/>
  <c r="F267" i="9"/>
  <c r="F241" i="9"/>
  <c r="I67" i="9"/>
  <c r="I156" i="9"/>
  <c r="I102" i="9"/>
  <c r="N159" i="9"/>
  <c r="L236" i="9"/>
  <c r="H114" i="9"/>
  <c r="H141" i="9"/>
  <c r="N251" i="9"/>
  <c r="E73" i="9"/>
  <c r="O35" i="3"/>
  <c r="E156" i="9"/>
  <c r="E67" i="9"/>
  <c r="L65" i="9"/>
  <c r="I204" i="9"/>
  <c r="E145" i="9"/>
  <c r="N265" i="9"/>
  <c r="O238" i="9"/>
  <c r="H28" i="9"/>
  <c r="I160" i="9"/>
  <c r="O146" i="9"/>
  <c r="E35" i="9"/>
  <c r="I165" i="9"/>
  <c r="C35" i="9"/>
  <c r="K265" i="9"/>
  <c r="E70" i="9"/>
  <c r="F260" i="9"/>
  <c r="H239" i="9"/>
  <c r="N103" i="9"/>
  <c r="N88" i="9"/>
  <c r="F46" i="9"/>
  <c r="F112" i="9"/>
  <c r="I226" i="9"/>
  <c r="K111" i="9"/>
  <c r="E147" i="9"/>
  <c r="K10" i="5"/>
  <c r="K259" i="9"/>
  <c r="E82" i="9"/>
  <c r="E77" i="9"/>
  <c r="I219" i="9"/>
  <c r="C136" i="9"/>
  <c r="I270" i="9"/>
  <c r="L46" i="9"/>
  <c r="N81" i="9"/>
  <c r="H204" i="9"/>
  <c r="C118" i="9"/>
  <c r="K195" i="9"/>
  <c r="K24" i="5"/>
  <c r="F123" i="9"/>
  <c r="C157" i="9"/>
  <c r="N31" i="9"/>
  <c r="O48" i="3"/>
  <c r="N157" i="9"/>
  <c r="E220" i="9"/>
  <c r="F119" i="9"/>
  <c r="K101" i="9"/>
  <c r="K77" i="9"/>
  <c r="L142" i="9"/>
  <c r="H80" i="9"/>
  <c r="F62" i="9"/>
  <c r="K38" i="3"/>
  <c r="K141" i="9"/>
  <c r="K103" i="9"/>
  <c r="C147" i="9"/>
  <c r="K30" i="9"/>
  <c r="O177" i="9"/>
  <c r="E151" i="9"/>
  <c r="C190" i="9"/>
  <c r="G39" i="3"/>
  <c r="F71" i="9"/>
  <c r="G42" i="3"/>
  <c r="I231" i="9"/>
  <c r="O115" i="9"/>
  <c r="L64" i="9"/>
  <c r="E108" i="9"/>
  <c r="N237" i="9"/>
  <c r="K196" i="9"/>
  <c r="E273" i="9"/>
  <c r="E275" i="9"/>
  <c r="K11" i="3"/>
  <c r="H254" i="9"/>
  <c r="N126" i="9"/>
  <c r="K128" i="9"/>
  <c r="O67" i="9"/>
  <c r="I101" i="9"/>
  <c r="F234" i="9"/>
  <c r="F63" i="9"/>
  <c r="O218" i="9"/>
  <c r="I142" i="9"/>
  <c r="K274" i="9"/>
  <c r="N271" i="9"/>
  <c r="C276" i="9"/>
  <c r="C164" i="9"/>
  <c r="K90" i="9"/>
  <c r="C122" i="9"/>
  <c r="K156" i="9"/>
  <c r="H107" i="9"/>
  <c r="L258" i="9"/>
  <c r="F80" i="9"/>
  <c r="H190" i="9"/>
  <c r="F78" i="9"/>
  <c r="F147" i="9"/>
  <c r="H166" i="9"/>
  <c r="I65" i="9"/>
  <c r="E33" i="9"/>
  <c r="O161" i="9"/>
  <c r="C212" i="9"/>
  <c r="I267" i="9"/>
  <c r="E86" i="9"/>
  <c r="H159" i="9"/>
  <c r="K184" i="9"/>
  <c r="N136" i="9"/>
  <c r="O50" i="3"/>
  <c r="O212" i="9"/>
  <c r="F128" i="9"/>
  <c r="H200" i="9"/>
  <c r="K11" i="5"/>
  <c r="F182" i="9"/>
  <c r="C219" i="9"/>
  <c r="K21" i="5"/>
  <c r="E62" i="9"/>
  <c r="I139" i="9"/>
  <c r="K275" i="9"/>
  <c r="L144" i="9"/>
  <c r="G35" i="3"/>
  <c r="H255" i="9"/>
  <c r="E71" i="9"/>
  <c r="I34" i="9"/>
  <c r="N196" i="9"/>
  <c r="O84" i="9"/>
  <c r="O239" i="9"/>
  <c r="L273" i="9"/>
  <c r="H264" i="9"/>
  <c r="N64" i="9"/>
  <c r="C138" i="9"/>
  <c r="G67" i="3"/>
  <c r="K232" i="9"/>
  <c r="O33" i="3"/>
  <c r="I212" i="9"/>
  <c r="C74" i="9"/>
  <c r="C240" i="9"/>
  <c r="K175" i="9"/>
  <c r="F146" i="9"/>
  <c r="C139" i="9"/>
  <c r="L155" i="9"/>
  <c r="N99" i="9"/>
  <c r="F220" i="9"/>
  <c r="L197" i="9"/>
  <c r="N264" i="9"/>
  <c r="H120" i="9"/>
  <c r="I52" i="9"/>
  <c r="F149" i="9"/>
  <c r="E115" i="9"/>
  <c r="L238" i="9"/>
  <c r="K87" i="9"/>
  <c r="K84" i="9"/>
  <c r="H27" i="9"/>
  <c r="O127" i="9"/>
  <c r="C61" i="9"/>
  <c r="O36" i="9"/>
  <c r="H44" i="9"/>
  <c r="O62" i="3"/>
  <c r="K69" i="3"/>
  <c r="O38" i="9"/>
  <c r="K106" i="9"/>
  <c r="E266" i="9"/>
  <c r="O269" i="9"/>
  <c r="K13" i="3"/>
  <c r="C251" i="9"/>
  <c r="L262" i="9"/>
  <c r="N125" i="9"/>
  <c r="E162" i="9"/>
  <c r="I184" i="9"/>
  <c r="H38" i="9"/>
  <c r="H256" i="9"/>
  <c r="H226" i="9"/>
  <c r="N113" i="9"/>
  <c r="I217" i="9"/>
  <c r="O42" i="3"/>
  <c r="F224" i="9"/>
  <c r="O270" i="9"/>
  <c r="C254" i="9"/>
  <c r="H150" i="9"/>
  <c r="I273" i="9"/>
  <c r="I152" i="9"/>
  <c r="O213" i="9"/>
  <c r="E161" i="9"/>
  <c r="C36" i="9"/>
  <c r="I124" i="9"/>
  <c r="H70" i="9"/>
  <c r="F29" i="9"/>
  <c r="F137" i="9"/>
  <c r="N192" i="9"/>
  <c r="E180" i="9"/>
  <c r="C37" i="9"/>
  <c r="O215" i="9"/>
  <c r="O259" i="9"/>
  <c r="F100" i="9"/>
  <c r="N253" i="9"/>
  <c r="N140" i="9"/>
  <c r="L67" i="9"/>
  <c r="O190" i="9"/>
  <c r="O242" i="9"/>
  <c r="N137" i="9"/>
  <c r="H199" i="9"/>
  <c r="E226" i="9"/>
  <c r="F48" i="9"/>
  <c r="H201" i="9"/>
  <c r="L43" i="9"/>
  <c r="I81" i="9"/>
  <c r="F27" i="9"/>
  <c r="K43" i="3"/>
  <c r="H266" i="9"/>
  <c r="N85" i="9"/>
  <c r="N180" i="9"/>
  <c r="H45" i="9"/>
  <c r="I278" i="9"/>
  <c r="E74" i="9"/>
  <c r="O67" i="3"/>
  <c r="E196" i="9"/>
  <c r="K115" i="9"/>
  <c r="H213" i="9"/>
  <c r="O272" i="9"/>
  <c r="O49" i="3"/>
  <c r="K261" i="9"/>
  <c r="O197" i="9"/>
  <c r="F72" i="9"/>
  <c r="F38" i="9"/>
  <c r="F199" i="9"/>
  <c r="H73" i="9"/>
  <c r="C48" i="9"/>
  <c r="K18" i="3"/>
  <c r="N143" i="9"/>
  <c r="L254" i="9"/>
  <c r="F101" i="9"/>
  <c r="F275" i="9"/>
  <c r="E37" i="9"/>
  <c r="C258" i="9"/>
  <c r="O147" i="9"/>
  <c r="N73" i="9"/>
  <c r="N154" i="9"/>
  <c r="E183" i="9"/>
  <c r="H152" i="9"/>
  <c r="O77" i="9"/>
  <c r="H104" i="9"/>
  <c r="C239" i="9"/>
  <c r="N32" i="9"/>
  <c r="E159" i="9"/>
  <c r="L118" i="9"/>
  <c r="L152" i="9"/>
  <c r="C193" i="9"/>
  <c r="L139" i="9"/>
  <c r="K230" i="9"/>
  <c r="O195" i="9"/>
  <c r="H79" i="9"/>
  <c r="C26" i="9"/>
  <c r="N116" i="9"/>
  <c r="H32" i="9"/>
  <c r="K46" i="9"/>
  <c r="F45" i="9"/>
  <c r="F196" i="9"/>
  <c r="N49" i="9"/>
  <c r="H121" i="9"/>
  <c r="K35" i="9"/>
  <c r="O120" i="9"/>
  <c r="I86" i="9"/>
  <c r="E78" i="9"/>
  <c r="K163" i="9"/>
  <c r="O111" i="9"/>
  <c r="F143" i="9"/>
  <c r="L24" i="9"/>
  <c r="C86" i="9"/>
  <c r="F164" i="9"/>
  <c r="I108" i="9"/>
  <c r="O226" i="9"/>
  <c r="K179" i="9"/>
  <c r="F87" i="9"/>
  <c r="G44" i="3"/>
  <c r="I83" i="9"/>
  <c r="I82" i="9"/>
  <c r="L37" i="9"/>
  <c r="K76" i="9"/>
  <c r="K181" i="9"/>
  <c r="O37" i="3"/>
  <c r="K40" i="3"/>
  <c r="K199" i="9"/>
  <c r="F26" i="9"/>
  <c r="O275" i="9"/>
  <c r="H277" i="9"/>
  <c r="I268" i="9"/>
  <c r="K33" i="3"/>
  <c r="F265" i="9"/>
  <c r="E66" i="9"/>
  <c r="L89" i="9"/>
  <c r="H47" i="9"/>
  <c r="O174" i="9"/>
  <c r="I166" i="9"/>
  <c r="G47" i="3"/>
  <c r="L187" i="9"/>
  <c r="L270" i="9"/>
  <c r="O228" i="9"/>
  <c r="K43" i="9"/>
  <c r="H260" i="9"/>
  <c r="I33" i="9"/>
  <c r="L121" i="9"/>
  <c r="O165" i="9"/>
  <c r="C256" i="9"/>
  <c r="K104" i="9"/>
  <c r="L227" i="9"/>
  <c r="O201" i="9"/>
  <c r="F127" i="9"/>
  <c r="O103" i="9"/>
  <c r="H154" i="9"/>
  <c r="E104" i="9"/>
  <c r="K24" i="3"/>
  <c r="O86" i="9"/>
  <c r="L102" i="9"/>
  <c r="N162" i="9"/>
  <c r="H187" i="9"/>
  <c r="K188" i="9"/>
  <c r="O25" i="9"/>
  <c r="I144" i="9"/>
  <c r="O58" i="3"/>
  <c r="L69" i="9"/>
  <c r="E263" i="9"/>
  <c r="I157" i="9"/>
  <c r="C144" i="9"/>
  <c r="I85" i="9"/>
  <c r="O198" i="9"/>
  <c r="L110" i="9"/>
  <c r="G59" i="3"/>
  <c r="C117" i="9"/>
  <c r="H76" i="9"/>
  <c r="I195" i="9"/>
  <c r="L108" i="9"/>
  <c r="L184" i="9"/>
  <c r="H42" i="9"/>
  <c r="K71" i="3"/>
  <c r="K74" i="9"/>
  <c r="L280" i="9"/>
  <c r="E276" i="9"/>
  <c r="N22" i="9"/>
  <c r="E191" i="9"/>
  <c r="K73" i="9"/>
  <c r="O71" i="3"/>
  <c r="L42" i="9"/>
  <c r="L138" i="9"/>
  <c r="L115" i="9"/>
  <c r="K38" i="9"/>
  <c r="L179" i="9"/>
  <c r="H216" i="9"/>
  <c r="E228" i="9"/>
  <c r="K63" i="9"/>
  <c r="I256" i="9"/>
  <c r="E48" i="9"/>
  <c r="E233" i="9"/>
  <c r="L230" i="9"/>
  <c r="N46" i="9"/>
  <c r="L116" i="9"/>
  <c r="F226" i="9"/>
  <c r="C202" i="9"/>
  <c r="C225" i="9"/>
  <c r="N161" i="9"/>
  <c r="N184" i="9"/>
  <c r="F273" i="9"/>
  <c r="O224" i="9"/>
  <c r="N74" i="9"/>
  <c r="I42" i="9"/>
  <c r="L103" i="9"/>
  <c r="L175" i="9"/>
  <c r="K200" i="9"/>
  <c r="K242" i="9"/>
  <c r="I98" i="9"/>
  <c r="F280" i="9"/>
  <c r="H253" i="9"/>
  <c r="K162" i="9"/>
  <c r="E88" i="9"/>
  <c r="N63" i="9"/>
  <c r="K46" i="3"/>
  <c r="F138" i="9"/>
  <c r="F99" i="9"/>
  <c r="E143" i="9"/>
  <c r="I163" i="9"/>
  <c r="H273" i="9"/>
  <c r="I126" i="9"/>
  <c r="H194" i="9"/>
  <c r="O151" i="9"/>
  <c r="L263" i="9"/>
  <c r="C141" i="9"/>
  <c r="L261" i="9"/>
  <c r="E235" i="9"/>
  <c r="N225" i="9"/>
  <c r="I69" i="9"/>
  <c r="K69" i="9"/>
  <c r="N221" i="9"/>
  <c r="L27" i="9"/>
  <c r="H78" i="9"/>
  <c r="H175" i="9"/>
  <c r="I260" i="9"/>
  <c r="F136" i="9"/>
  <c r="F125" i="9"/>
  <c r="N267" i="9"/>
  <c r="O90" i="9"/>
  <c r="L123" i="9"/>
  <c r="N109" i="9"/>
  <c r="L264" i="9"/>
  <c r="I63" i="9"/>
  <c r="E26" i="9"/>
  <c r="F103" i="9"/>
  <c r="I62" i="9"/>
  <c r="L235" i="9"/>
  <c r="I279" i="9"/>
  <c r="K144" i="9"/>
  <c r="O42" i="9"/>
  <c r="O187" i="9"/>
  <c r="O273" i="9"/>
  <c r="E72" i="9"/>
  <c r="L178" i="9"/>
  <c r="F30" i="9"/>
  <c r="L73" i="9"/>
  <c r="H185" i="9"/>
  <c r="L265" i="9"/>
  <c r="N150" i="9"/>
  <c r="F73" i="9"/>
  <c r="L51" i="9"/>
  <c r="E64" i="9"/>
  <c r="N188" i="9"/>
  <c r="G66" i="3"/>
  <c r="I201" i="9"/>
  <c r="N115" i="9"/>
  <c r="K6" i="3"/>
  <c r="F22" i="9"/>
  <c r="K235" i="9"/>
  <c r="K56" i="3"/>
  <c r="O220" i="9"/>
  <c r="H67" i="9"/>
  <c r="F214" i="9"/>
  <c r="O36" i="3"/>
  <c r="I115" i="9"/>
  <c r="K62" i="3"/>
  <c r="K260" i="9"/>
  <c r="F242" i="9"/>
  <c r="F109" i="9"/>
  <c r="K75" i="3"/>
  <c r="N258" i="9"/>
  <c r="L183" i="9"/>
  <c r="E107" i="9"/>
  <c r="O223" i="9"/>
  <c r="E278" i="9"/>
  <c r="F151" i="9"/>
  <c r="C89" i="9"/>
  <c r="E84" i="9"/>
  <c r="N82" i="9"/>
  <c r="O108" i="9"/>
  <c r="I36" i="9"/>
  <c r="L148" i="9"/>
  <c r="O139" i="9"/>
  <c r="O68" i="3"/>
  <c r="O264" i="9"/>
  <c r="F252" i="9"/>
  <c r="F153" i="9"/>
  <c r="O194" i="9"/>
  <c r="L156" i="9"/>
  <c r="C277" i="9"/>
  <c r="O41" i="9"/>
  <c r="H215" i="9"/>
  <c r="E160" i="9"/>
  <c r="K116" i="9"/>
  <c r="N176" i="9"/>
  <c r="I215" i="9"/>
  <c r="L82" i="9"/>
  <c r="K44" i="9"/>
  <c r="O225" i="9"/>
  <c r="K32" i="9"/>
  <c r="E256" i="9"/>
  <c r="K147" i="9"/>
  <c r="K139" i="9"/>
  <c r="H147" i="9"/>
  <c r="K110" i="9"/>
  <c r="K29" i="9"/>
  <c r="N144" i="9"/>
  <c r="F236" i="9"/>
  <c r="N200" i="9"/>
  <c r="K15" i="3"/>
  <c r="O31" i="9"/>
  <c r="O101" i="9"/>
  <c r="L223" i="9"/>
  <c r="C82" i="9"/>
  <c r="K35" i="3"/>
  <c r="N263" i="9"/>
  <c r="H124" i="9"/>
  <c r="N272" i="9"/>
  <c r="H43" i="9"/>
  <c r="C39" i="9"/>
  <c r="F178" i="9"/>
  <c r="K118" i="9"/>
  <c r="K68" i="9"/>
  <c r="F235" i="9"/>
  <c r="H242" i="9"/>
  <c r="I128" i="9"/>
  <c r="N61" i="9"/>
  <c r="C187" i="9"/>
  <c r="K59" i="3"/>
  <c r="N36" i="9"/>
  <c r="I255" i="9"/>
  <c r="K72" i="9"/>
  <c r="C179" i="9"/>
  <c r="E261" i="9"/>
  <c r="C152" i="9"/>
  <c r="L120" i="9"/>
  <c r="E175" i="9"/>
  <c r="L215" i="9"/>
  <c r="H116" i="9"/>
  <c r="C115" i="9"/>
  <c r="L202" i="9"/>
  <c r="E215" i="9"/>
  <c r="C186" i="9"/>
  <c r="G71" i="3"/>
  <c r="C161" i="9"/>
  <c r="I251" i="9"/>
  <c r="O255" i="9"/>
  <c r="L229" i="9"/>
  <c r="H220" i="9"/>
  <c r="N201" i="9"/>
  <c r="K50" i="3"/>
  <c r="O63" i="3"/>
  <c r="L277" i="9"/>
  <c r="K16" i="5"/>
  <c r="O202" i="9"/>
  <c r="F141" i="9"/>
  <c r="O142" i="9"/>
  <c r="K194" i="9"/>
  <c r="K80" i="9"/>
  <c r="I72" i="9"/>
  <c r="L190" i="9"/>
  <c r="K220" i="9"/>
  <c r="O274" i="9"/>
  <c r="O74" i="9"/>
  <c r="I103" i="9"/>
  <c r="I178" i="9"/>
  <c r="C25" i="9"/>
  <c r="I22" i="9"/>
  <c r="E198" i="9"/>
  <c r="E230" i="9"/>
  <c r="C197" i="9"/>
  <c r="K180" i="9"/>
  <c r="L257" i="9"/>
  <c r="C280" i="9"/>
  <c r="E240" i="9"/>
  <c r="E154" i="9"/>
  <c r="O32" i="3"/>
  <c r="K202" i="9"/>
  <c r="F113" i="9"/>
  <c r="L256" i="9"/>
  <c r="I190" i="9"/>
  <c r="I192" i="9"/>
  <c r="G72" i="3"/>
  <c r="F278" i="9"/>
  <c r="E157" i="9"/>
  <c r="F262" i="9"/>
  <c r="E31" i="9"/>
  <c r="H180" i="9"/>
  <c r="K9" i="5"/>
  <c r="H75" i="9"/>
  <c r="O31" i="3"/>
  <c r="O203" i="9"/>
  <c r="L41" i="9"/>
  <c r="F279" i="9"/>
  <c r="E102" i="9"/>
  <c r="F154" i="9"/>
  <c r="O175" i="9"/>
  <c r="E239" i="9"/>
  <c r="K161" i="9"/>
  <c r="I253" i="9"/>
  <c r="N254" i="9"/>
  <c r="F41" i="9"/>
  <c r="O159" i="9"/>
  <c r="O112" i="9"/>
  <c r="G45" i="3"/>
  <c r="O33" i="9"/>
  <c r="E265" i="9"/>
  <c r="E279" i="9"/>
  <c r="C223" i="9"/>
  <c r="O119" i="9"/>
  <c r="N197" i="9"/>
  <c r="I109" i="9"/>
  <c r="H72" i="9"/>
  <c r="H259" i="9"/>
  <c r="K47" i="9"/>
  <c r="H105" i="9"/>
  <c r="I127" i="9"/>
  <c r="I84" i="9"/>
  <c r="I250" i="9"/>
  <c r="N123" i="9"/>
  <c r="O256" i="9"/>
  <c r="I193" i="9"/>
  <c r="F183" i="9"/>
  <c r="O65" i="3"/>
  <c r="N100" i="9"/>
  <c r="L214" i="9"/>
  <c r="F271" i="9"/>
  <c r="N41" i="9"/>
  <c r="C203" i="9"/>
  <c r="F228" i="9"/>
  <c r="C65" i="9"/>
  <c r="N280" i="9"/>
  <c r="E25" i="9"/>
  <c r="C189" i="9"/>
  <c r="C28" i="9"/>
  <c r="O29" i="9"/>
  <c r="N194" i="9"/>
  <c r="H119" i="9"/>
  <c r="L45" i="9"/>
  <c r="L221" i="9"/>
  <c r="E61" i="9"/>
  <c r="L83" i="9"/>
  <c r="C30" i="9"/>
  <c r="K238" i="9"/>
  <c r="I199" i="9"/>
  <c r="C228" i="9"/>
  <c r="C184" i="9"/>
  <c r="L222" i="9"/>
  <c r="E106" i="9"/>
  <c r="E199" i="9"/>
  <c r="E69" i="9"/>
  <c r="K276" i="9"/>
  <c r="C109" i="9"/>
  <c r="L146" i="9"/>
  <c r="H198" i="9"/>
  <c r="N178" i="9"/>
  <c r="I269" i="9"/>
  <c r="F276" i="9"/>
  <c r="L32" i="9"/>
  <c r="O70" i="9"/>
  <c r="C176" i="9"/>
  <c r="K66" i="3"/>
  <c r="O155" i="9"/>
  <c r="E146" i="9"/>
  <c r="K42" i="9"/>
  <c r="F114" i="9"/>
  <c r="I276" i="9"/>
  <c r="E219" i="9"/>
  <c r="C72" i="9"/>
  <c r="O87" i="9"/>
  <c r="K71" i="9"/>
  <c r="K125" i="9"/>
  <c r="L192" i="9"/>
  <c r="K237" i="9"/>
  <c r="O189" i="9"/>
  <c r="F240" i="9"/>
  <c r="L274" i="9"/>
  <c r="N223" i="9"/>
  <c r="L23" i="9"/>
  <c r="N149" i="9"/>
  <c r="F193" i="9"/>
  <c r="F111" i="9"/>
  <c r="K65" i="9"/>
  <c r="L186" i="9"/>
  <c r="F121" i="9"/>
  <c r="O56" i="3"/>
  <c r="K98" i="9"/>
  <c r="N120" i="9"/>
  <c r="C77" i="9"/>
  <c r="F28" i="9"/>
  <c r="F75" i="9"/>
  <c r="O176" i="9"/>
  <c r="K63" i="3"/>
  <c r="F176" i="9"/>
  <c r="F126" i="9"/>
  <c r="K160" i="9"/>
  <c r="E165" i="9"/>
  <c r="F85" i="9"/>
  <c r="O148" i="9"/>
  <c r="G65" i="3"/>
  <c r="O34" i="3"/>
  <c r="E174" i="9"/>
  <c r="G70" i="3"/>
  <c r="H66" i="9"/>
  <c r="K37" i="3"/>
  <c r="L151" i="9"/>
  <c r="L194" i="9"/>
  <c r="H33" i="9"/>
  <c r="L106" i="9"/>
  <c r="H184" i="9"/>
  <c r="E270" i="9"/>
  <c r="O100" i="9"/>
  <c r="E164" i="9"/>
  <c r="H261" i="9"/>
  <c r="F165" i="9"/>
  <c r="H140" i="9"/>
  <c r="O136" i="9"/>
  <c r="K222" i="9"/>
  <c r="N186" i="9"/>
  <c r="I241" i="9"/>
  <c r="H232" i="9"/>
  <c r="K37" i="9"/>
  <c r="C87" i="9"/>
  <c r="I263" i="9"/>
  <c r="O141" i="9"/>
  <c r="L164" i="9"/>
  <c r="F225" i="9"/>
  <c r="K154" i="9"/>
  <c r="L85" i="9"/>
  <c r="K17" i="3"/>
  <c r="N112" i="9"/>
  <c r="K45" i="9"/>
  <c r="H63" i="9"/>
  <c r="K102" i="9"/>
  <c r="F221" i="9"/>
  <c r="K20" i="5"/>
  <c r="E203" i="9"/>
  <c r="K126" i="9"/>
  <c r="H224" i="9"/>
  <c r="I60" i="9"/>
  <c r="H188" i="9"/>
  <c r="C104" i="9"/>
  <c r="E260" i="9"/>
  <c r="O80" i="9"/>
  <c r="F150" i="9"/>
  <c r="F108" i="9"/>
  <c r="F174" i="9"/>
  <c r="O178" i="9"/>
  <c r="E148" i="9"/>
  <c r="N138" i="9"/>
  <c r="C71" i="9"/>
  <c r="K193" i="9"/>
  <c r="L125" i="9"/>
  <c r="C114" i="9"/>
  <c r="F152" i="9"/>
  <c r="H272" i="9"/>
  <c r="I220" i="9"/>
  <c r="E269" i="9"/>
  <c r="L36" i="9"/>
  <c r="L84" i="9"/>
  <c r="H145" i="9"/>
  <c r="O43" i="3"/>
  <c r="G50" i="3"/>
  <c r="L35" i="9"/>
  <c r="E68" i="9"/>
  <c r="E118" i="9"/>
  <c r="L225" i="9"/>
  <c r="E224" i="9"/>
  <c r="K231" i="9"/>
  <c r="N29" i="9"/>
  <c r="C45" i="9"/>
  <c r="H139" i="9"/>
  <c r="F268" i="9"/>
  <c r="K60" i="9"/>
  <c r="C214" i="9"/>
  <c r="K85" i="9"/>
  <c r="K212" i="9"/>
  <c r="I148" i="9"/>
  <c r="E28" i="9"/>
  <c r="L278" i="9"/>
  <c r="G38" i="3"/>
  <c r="C47" i="9"/>
  <c r="H241" i="9"/>
  <c r="F219" i="9"/>
  <c r="K157" i="9"/>
  <c r="G33" i="3"/>
  <c r="E110" i="9"/>
  <c r="I259" i="9"/>
  <c r="H64" i="9"/>
  <c r="O277" i="9"/>
  <c r="N39" i="9"/>
  <c r="N38" i="9"/>
  <c r="H202" i="9"/>
  <c r="C66" i="9"/>
  <c r="F189" i="9"/>
  <c r="N155" i="9"/>
  <c r="L105" i="9"/>
  <c r="H128" i="9"/>
  <c r="H61" i="9"/>
  <c r="C188" i="9"/>
  <c r="L80" i="9"/>
  <c r="C85" i="9"/>
  <c r="F162" i="9"/>
  <c r="O200" i="9"/>
  <c r="L74" i="9"/>
  <c r="O254" i="9"/>
  <c r="K82" i="9"/>
  <c r="C83" i="9"/>
  <c r="I227" i="9"/>
  <c r="N195" i="9"/>
  <c r="F51" i="9"/>
  <c r="I113" i="9"/>
  <c r="O98" i="9"/>
  <c r="H125" i="9"/>
  <c r="C34" i="9"/>
  <c r="F89" i="9"/>
  <c r="L44" i="9"/>
  <c r="I46" i="9"/>
  <c r="K8" i="3"/>
  <c r="I185" i="9"/>
  <c r="K109" i="9"/>
  <c r="G63" i="3"/>
  <c r="I31" i="9"/>
  <c r="I258" i="9"/>
  <c r="L62" i="9"/>
  <c r="I138" i="9"/>
  <c r="O69" i="9"/>
  <c r="F161" i="9"/>
  <c r="F83" i="9"/>
  <c r="N160" i="9"/>
  <c r="O123" i="9"/>
  <c r="E186" i="9"/>
  <c r="H112" i="9"/>
  <c r="C113" i="9"/>
  <c r="N66" i="9"/>
  <c r="H98" i="9"/>
  <c r="N242" i="9"/>
  <c r="C182" i="9"/>
  <c r="K81" i="9"/>
  <c r="N42" i="9"/>
  <c r="F175" i="9"/>
  <c r="I37" i="9"/>
  <c r="F180" i="9"/>
  <c r="H89" i="9"/>
  <c r="H41" i="9"/>
  <c r="L161" i="9"/>
  <c r="O143" i="9"/>
  <c r="L266" i="9"/>
  <c r="L188" i="9"/>
  <c r="I275" i="9"/>
  <c r="H36" i="9"/>
  <c r="O76" i="9"/>
  <c r="H174" i="9"/>
  <c r="F25" i="9"/>
  <c r="H24" i="9"/>
  <c r="I49" i="9"/>
  <c r="K27" i="9"/>
  <c r="K22" i="3"/>
  <c r="O267" i="9"/>
  <c r="H227" i="9"/>
  <c r="O109" i="9"/>
  <c r="L198" i="9"/>
  <c r="N275" i="9"/>
  <c r="L26" i="9"/>
  <c r="N35" i="9"/>
  <c r="O265" i="9"/>
  <c r="O266" i="9"/>
  <c r="I235" i="9"/>
  <c r="E158" i="9"/>
  <c r="O204" i="9"/>
  <c r="N51" i="9"/>
  <c r="O118" i="9"/>
  <c r="O124" i="9"/>
  <c r="N228" i="9"/>
  <c r="G57" i="3"/>
  <c r="C178" i="9"/>
  <c r="N239" i="9"/>
  <c r="N175" i="9"/>
  <c r="K62" i="9"/>
  <c r="O235" i="9"/>
  <c r="K279" i="9"/>
  <c r="O110" i="9"/>
  <c r="F251" i="9"/>
  <c r="C174" i="9"/>
  <c r="F117" i="9"/>
  <c r="H234" i="9"/>
  <c r="L181" i="9"/>
  <c r="N222" i="9"/>
  <c r="K164" i="9"/>
  <c r="F69" i="9"/>
  <c r="I61" i="9"/>
  <c r="F237" i="9"/>
  <c r="O113" i="9"/>
  <c r="K253" i="9"/>
  <c r="L268" i="9"/>
  <c r="N274" i="9"/>
  <c r="H109" i="9"/>
  <c r="K41" i="9"/>
  <c r="L22" i="9"/>
  <c r="N111" i="9"/>
  <c r="E79" i="9"/>
  <c r="H29" i="9"/>
  <c r="L260" i="9"/>
  <c r="O164" i="9"/>
  <c r="N260" i="9"/>
  <c r="F105" i="9"/>
  <c r="O252" i="9"/>
  <c r="N72" i="9"/>
  <c r="O72" i="9"/>
  <c r="H37" i="9"/>
  <c r="K17" i="5"/>
  <c r="C107" i="9"/>
  <c r="F61" i="9"/>
  <c r="O183" i="9"/>
  <c r="O153" i="9"/>
  <c r="C175" i="9"/>
  <c r="L272" i="9"/>
  <c r="K234" i="9"/>
  <c r="O78" i="9"/>
  <c r="N238" i="9"/>
  <c r="O279" i="9"/>
  <c r="N255" i="9"/>
  <c r="C105" i="9"/>
  <c r="L218" i="9"/>
  <c r="N199" i="9"/>
  <c r="I232" i="9"/>
  <c r="C272" i="9"/>
  <c r="H25" i="9"/>
  <c r="I137" i="9"/>
  <c r="L259" i="9"/>
  <c r="I176" i="9"/>
  <c r="C88" i="9"/>
  <c r="L157" i="9"/>
  <c r="L28" i="9"/>
  <c r="K256" i="9"/>
  <c r="N218" i="9"/>
  <c r="K23" i="3"/>
  <c r="E153" i="9"/>
  <c r="I70" i="9"/>
  <c r="I266" i="9"/>
  <c r="H230" i="9"/>
  <c r="L251" i="9"/>
  <c r="O60" i="9"/>
  <c r="L204" i="9"/>
  <c r="C221" i="9"/>
  <c r="F23" i="9"/>
  <c r="I202" i="9"/>
  <c r="N235" i="9"/>
  <c r="N215" i="9"/>
  <c r="N78" i="9"/>
  <c r="I27" i="9"/>
  <c r="O60" i="3"/>
  <c r="N257" i="9"/>
  <c r="L239" i="9"/>
  <c r="H268" i="9"/>
  <c r="G61" i="3"/>
  <c r="F261" i="9"/>
  <c r="H110" i="9"/>
  <c r="K213" i="9"/>
  <c r="N268" i="9"/>
  <c r="K177" i="9"/>
  <c r="I200" i="9"/>
  <c r="E123" i="9"/>
  <c r="E116" i="9"/>
  <c r="E40" i="9"/>
  <c r="C241" i="9"/>
  <c r="O30" i="9"/>
  <c r="O221" i="9"/>
  <c r="C155" i="9"/>
  <c r="E89" i="9"/>
  <c r="F36" i="9"/>
  <c r="C192" i="9"/>
  <c r="F88" i="9"/>
  <c r="F212" i="9"/>
  <c r="L271" i="9"/>
  <c r="L124" i="9"/>
  <c r="E166" i="9"/>
  <c r="L25" i="9"/>
  <c r="H251" i="9"/>
  <c r="C146" i="9"/>
  <c r="N189" i="9"/>
  <c r="C156" i="9"/>
  <c r="H71" i="9"/>
  <c r="I174" i="9"/>
  <c r="K114" i="9"/>
  <c r="K218" i="9"/>
  <c r="N273" i="9"/>
  <c r="E139" i="9"/>
  <c r="H203" i="9"/>
  <c r="C177" i="9"/>
  <c r="C78" i="9"/>
  <c r="O199" i="9"/>
  <c r="C166" i="9"/>
  <c r="K57" i="3"/>
  <c r="C257" i="9"/>
  <c r="C230" i="9"/>
  <c r="F156" i="9"/>
  <c r="K120" i="9"/>
  <c r="K23" i="9"/>
  <c r="I238" i="9"/>
  <c r="C200" i="9"/>
  <c r="K7" i="5"/>
  <c r="C116" i="9"/>
  <c r="O260" i="9"/>
  <c r="F217" i="9"/>
  <c r="N230" i="9"/>
  <c r="O64" i="9"/>
  <c r="O122" i="9"/>
  <c r="H81" i="9"/>
  <c r="N108" i="9"/>
  <c r="K15" i="5"/>
  <c r="H51" i="9"/>
  <c r="K8" i="5"/>
  <c r="H197" i="9"/>
  <c r="E267" i="9"/>
  <c r="O45" i="9"/>
  <c r="H69" i="9"/>
  <c r="C70" i="9"/>
  <c r="O180" i="9"/>
  <c r="C33" i="9"/>
  <c r="C266" i="9"/>
  <c r="H250" i="9"/>
  <c r="E262" i="9"/>
  <c r="L231" i="9"/>
  <c r="C22" i="9"/>
  <c r="H87" i="9"/>
  <c r="E268" i="9"/>
  <c r="H77" i="9"/>
  <c r="N48" i="9"/>
  <c r="I237" i="9"/>
  <c r="E144" i="9"/>
  <c r="K271" i="9"/>
  <c r="K74" i="3"/>
  <c r="H191" i="9"/>
  <c r="H178" i="9"/>
  <c r="F256" i="9"/>
  <c r="E197" i="9"/>
  <c r="N270" i="9"/>
  <c r="I186" i="9"/>
  <c r="I100" i="9"/>
  <c r="C125" i="9"/>
  <c r="O186" i="9"/>
  <c r="N79" i="9"/>
  <c r="L199" i="9"/>
  <c r="H228" i="9"/>
  <c r="C273" i="9"/>
  <c r="N166" i="9"/>
  <c r="C142" i="9"/>
  <c r="C165" i="9"/>
  <c r="F60" i="9"/>
  <c r="N26" i="9"/>
  <c r="H176" i="9"/>
  <c r="I77" i="9"/>
  <c r="K219" i="9"/>
  <c r="H252" i="9"/>
  <c r="C32" i="9"/>
  <c r="I76" i="9"/>
  <c r="E142" i="9"/>
  <c r="O41" i="3"/>
  <c r="N47" i="9"/>
  <c r="K159" i="9"/>
  <c r="O44" i="9"/>
  <c r="L196" i="9"/>
  <c r="L242" i="9"/>
  <c r="I234" i="9"/>
  <c r="N164" i="9"/>
  <c r="I223" i="9"/>
  <c r="I25" i="9"/>
  <c r="F76" i="9"/>
  <c r="L267" i="9"/>
  <c r="L66" i="9"/>
  <c r="C204" i="9"/>
  <c r="I213" i="9"/>
  <c r="E126" i="9"/>
  <c r="C68" i="9"/>
  <c r="C150" i="9"/>
  <c r="G49" i="3"/>
  <c r="C218" i="9"/>
  <c r="E213" i="9"/>
  <c r="O116" i="9"/>
  <c r="I73" i="9"/>
  <c r="L253" i="9"/>
  <c r="F104" i="9"/>
  <c r="N278" i="9"/>
  <c r="K192" i="9"/>
  <c r="F35" i="9"/>
  <c r="I252" i="9"/>
  <c r="K149" i="9"/>
  <c r="F70" i="9"/>
  <c r="I140" i="9"/>
  <c r="O74" i="3"/>
  <c r="O39" i="9"/>
  <c r="O160" i="9"/>
  <c r="K6" i="5"/>
  <c r="C119" i="9"/>
  <c r="K266" i="9"/>
  <c r="C234" i="9"/>
  <c r="K176" i="9"/>
  <c r="L189" i="9"/>
  <c r="L240" i="9"/>
  <c r="L71" i="9"/>
  <c r="O88" i="9"/>
  <c r="C60" i="9"/>
  <c r="K48" i="3"/>
  <c r="L201" i="9"/>
  <c r="I38" i="9"/>
  <c r="I262" i="9"/>
  <c r="H115" i="9"/>
  <c r="L195" i="9"/>
  <c r="I141" i="9"/>
  <c r="E34" i="9"/>
  <c r="E189" i="9"/>
  <c r="N121" i="9"/>
  <c r="K20" i="3"/>
  <c r="E52" i="9"/>
  <c r="H155" i="9"/>
  <c r="K145" i="9"/>
  <c r="I233" i="9"/>
  <c r="K166" i="9"/>
  <c r="N226" i="9"/>
  <c r="G68" i="3"/>
  <c r="L163" i="9"/>
  <c r="O75" i="9"/>
  <c r="N252" i="9"/>
  <c r="H137" i="9"/>
  <c r="K241" i="9"/>
  <c r="N212" i="9"/>
  <c r="E214" i="9"/>
  <c r="E264" i="9"/>
  <c r="C149" i="9"/>
  <c r="K48" i="9"/>
  <c r="F259" i="9"/>
  <c r="I216" i="9"/>
  <c r="N44" i="9"/>
  <c r="I78" i="9"/>
  <c r="O46" i="9"/>
  <c r="N30" i="9"/>
  <c r="L191" i="9"/>
  <c r="I149" i="9"/>
  <c r="C191" i="9"/>
  <c r="O179" i="9"/>
  <c r="L52" i="9"/>
  <c r="L31" i="9"/>
  <c r="H179" i="9"/>
  <c r="F79" i="9"/>
  <c r="H158" i="9"/>
  <c r="K228" i="9"/>
  <c r="O49" i="9"/>
  <c r="L193" i="9"/>
  <c r="L141" i="9"/>
  <c r="N117" i="9"/>
  <c r="C98" i="9"/>
  <c r="N68" i="9"/>
  <c r="I236" i="9"/>
  <c r="H237" i="9"/>
  <c r="O258" i="9"/>
  <c r="I175" i="9"/>
  <c r="E200" i="9"/>
  <c r="O47" i="3"/>
  <c r="H144" i="9"/>
  <c r="H90" i="9"/>
  <c r="H26" i="9"/>
  <c r="O276" i="9"/>
  <c r="N142" i="9"/>
  <c r="F257" i="9"/>
  <c r="H153" i="9"/>
  <c r="I182" i="9"/>
  <c r="N256" i="9"/>
  <c r="E122" i="9"/>
  <c r="C106" i="9"/>
  <c r="N52" i="9"/>
  <c r="I28" i="9"/>
  <c r="F229" i="9"/>
  <c r="K9" i="3"/>
  <c r="K124" i="9"/>
  <c r="G36" i="3"/>
  <c r="F116" i="9"/>
  <c r="K136" i="9"/>
  <c r="O233" i="9"/>
  <c r="E41" i="9"/>
  <c r="C100" i="9"/>
  <c r="E23" i="9"/>
  <c r="I51" i="9"/>
  <c r="L137" i="9"/>
  <c r="I229" i="9"/>
  <c r="E271" i="9"/>
  <c r="O128" i="9"/>
  <c r="H160" i="9"/>
  <c r="K158" i="9"/>
  <c r="K32" i="3"/>
  <c r="C27" i="9"/>
  <c r="K272" i="9"/>
  <c r="K227" i="9"/>
  <c r="N128" i="9"/>
  <c r="H151" i="9"/>
  <c r="K70" i="3"/>
  <c r="N148" i="9"/>
  <c r="G64" i="3"/>
  <c r="G74" i="3"/>
  <c r="C260" i="9"/>
  <c r="I88" i="9"/>
  <c r="H103" i="9"/>
  <c r="I277" i="9"/>
  <c r="F49" i="9"/>
  <c r="H161" i="9"/>
  <c r="O59" i="3"/>
  <c r="K251" i="9"/>
  <c r="K153" i="9"/>
  <c r="E217" i="9"/>
  <c r="I198" i="9"/>
  <c r="C222" i="9"/>
  <c r="C67" i="9"/>
  <c r="C127" i="9"/>
  <c r="L212" i="9"/>
  <c r="F277" i="9"/>
  <c r="E277" i="9"/>
  <c r="I45" i="9"/>
  <c r="E252" i="9"/>
  <c r="O268" i="9"/>
  <c r="F194" i="9"/>
  <c r="F201" i="9"/>
  <c r="K140" i="9"/>
  <c r="K262" i="9"/>
  <c r="C64" i="9"/>
  <c r="C120" i="9"/>
  <c r="N276" i="9"/>
  <c r="O37" i="9"/>
  <c r="E44" i="9"/>
  <c r="C38" i="9"/>
  <c r="O72" i="3"/>
  <c r="O230" i="9"/>
  <c r="K58" i="3"/>
  <c r="E85" i="9"/>
  <c r="E259" i="9"/>
  <c r="O65" i="9"/>
  <c r="H31" i="9"/>
  <c r="E63" i="9"/>
  <c r="G48" i="3"/>
  <c r="H257" i="9"/>
  <c r="C79" i="9"/>
  <c r="I191" i="9"/>
  <c r="H181" i="9"/>
  <c r="O48" i="9"/>
  <c r="C233" i="9"/>
  <c r="O57" i="3"/>
  <c r="N191" i="9"/>
  <c r="F187" i="9"/>
  <c r="F177" i="9"/>
  <c r="F42" i="9"/>
  <c r="F195" i="9"/>
  <c r="C112" i="9"/>
  <c r="K225" i="9"/>
  <c r="I68" i="9"/>
  <c r="N71" i="9"/>
  <c r="H84" i="9"/>
  <c r="N119" i="9"/>
  <c r="F90" i="9"/>
  <c r="K187" i="9"/>
  <c r="K61" i="9"/>
  <c r="N24" i="9"/>
  <c r="K203" i="9"/>
  <c r="N151" i="9"/>
  <c r="O241" i="9"/>
  <c r="L81" i="9"/>
  <c r="E237" i="9"/>
  <c r="K190" i="9"/>
  <c r="I162" i="9"/>
  <c r="K79" i="9"/>
  <c r="F238" i="9"/>
  <c r="G60" i="3"/>
  <c r="I119" i="9"/>
  <c r="H263" i="9"/>
  <c r="F264" i="9"/>
  <c r="N261" i="9"/>
  <c r="C217" i="9"/>
  <c r="K122" i="9"/>
  <c r="C23" i="9"/>
  <c r="F232" i="9"/>
  <c r="C126" i="9"/>
  <c r="E42" i="9"/>
  <c r="F77" i="9"/>
  <c r="F124" i="9"/>
  <c r="C44" i="9"/>
  <c r="L233" i="9"/>
  <c r="N50" i="9"/>
  <c r="H279" i="9"/>
  <c r="F148" i="9"/>
  <c r="H68" i="9"/>
  <c r="O64" i="3"/>
  <c r="H157" i="9"/>
  <c r="L177" i="9"/>
  <c r="I180" i="9"/>
  <c r="K31" i="9"/>
  <c r="H267" i="9"/>
  <c r="K39" i="3"/>
  <c r="L255" i="9"/>
  <c r="L213" i="9"/>
  <c r="I222" i="9"/>
  <c r="N220" i="9"/>
  <c r="O47" i="9"/>
  <c r="C123" i="9"/>
  <c r="I214" i="9"/>
  <c r="E258" i="9"/>
  <c r="E163" i="9"/>
  <c r="C264" i="9"/>
  <c r="I79" i="9"/>
  <c r="N279" i="9"/>
  <c r="H149" i="9"/>
  <c r="F34" i="9"/>
  <c r="N217" i="9"/>
  <c r="K217" i="9"/>
  <c r="C108" i="9"/>
  <c r="N101" i="9"/>
  <c r="H83" i="9"/>
  <c r="N147" i="9"/>
  <c r="E112" i="9"/>
  <c r="F255" i="9"/>
  <c r="E39" i="9"/>
  <c r="F110" i="9"/>
  <c r="K267" i="9"/>
  <c r="H100" i="9"/>
  <c r="E236" i="9"/>
  <c r="L34" i="9"/>
  <c r="O45" i="3"/>
  <c r="L104" i="9"/>
  <c r="E178" i="9"/>
  <c r="N233" i="9"/>
  <c r="N27" i="9"/>
  <c r="C63" i="9"/>
  <c r="H235" i="9"/>
  <c r="K204" i="9"/>
  <c r="C145" i="9"/>
  <c r="F158" i="9"/>
  <c r="I158" i="9"/>
  <c r="C180" i="9"/>
  <c r="C137" i="9"/>
  <c r="I125" i="9"/>
  <c r="C158" i="9"/>
  <c r="E109" i="9"/>
  <c r="I265" i="9"/>
  <c r="L30" i="9"/>
  <c r="H222" i="9"/>
  <c r="I23" i="9"/>
  <c r="L49" i="9"/>
  <c r="O162" i="9"/>
  <c r="L76" i="9"/>
  <c r="F107" i="9"/>
  <c r="F39" i="9"/>
  <c r="E51" i="9"/>
  <c r="K142" i="9"/>
  <c r="I177" i="9"/>
  <c r="N158" i="9"/>
  <c r="H182" i="9"/>
  <c r="C29" i="9"/>
  <c r="E225" i="9"/>
  <c r="K239" i="9"/>
  <c r="F263" i="9"/>
  <c r="N177" i="9"/>
  <c r="O222" i="9"/>
  <c r="K47" i="3"/>
  <c r="L182" i="9"/>
  <c r="I104" i="9"/>
  <c r="L68" i="9"/>
  <c r="O66" i="9"/>
  <c r="H142" i="9"/>
  <c r="F254" i="9"/>
  <c r="N165" i="9"/>
  <c r="K224" i="9"/>
  <c r="C196" i="9"/>
  <c r="F250" i="9"/>
  <c r="I105" i="9"/>
  <c r="G46" i="3"/>
  <c r="K108" i="9"/>
  <c r="E24" i="9"/>
  <c r="O68" i="9"/>
  <c r="E187" i="9"/>
  <c r="F179" i="9"/>
  <c r="N145" i="9"/>
  <c r="H223" i="9"/>
  <c r="E80" i="9"/>
  <c r="K198" i="9"/>
  <c r="K146" i="9"/>
  <c r="E45" i="9"/>
  <c r="C101" i="9"/>
  <c r="H271" i="9"/>
  <c r="O121" i="9"/>
  <c r="K83" i="9"/>
  <c r="L88" i="9"/>
  <c r="C143" i="9"/>
  <c r="N214" i="9"/>
  <c r="O280" i="9"/>
  <c r="H50" i="9"/>
  <c r="L224" i="9"/>
  <c r="F191" i="9"/>
  <c r="O27" i="9"/>
  <c r="K197" i="9"/>
  <c r="H275" i="9"/>
  <c r="N105" i="9"/>
  <c r="O83" i="9"/>
  <c r="L203" i="9"/>
  <c r="N43" i="9"/>
  <c r="N124" i="9"/>
  <c r="H183" i="9"/>
  <c r="O51" i="9"/>
  <c r="O250" i="9"/>
  <c r="K49" i="9"/>
  <c r="F74" i="9"/>
  <c r="K273" i="9"/>
  <c r="E242" i="9"/>
  <c r="C271" i="9"/>
  <c r="E202" i="9"/>
  <c r="K66" i="9"/>
  <c r="K25" i="3"/>
  <c r="E152" i="9"/>
  <c r="L228" i="9"/>
  <c r="N156" i="9"/>
  <c r="E253" i="9"/>
  <c r="L100" i="9"/>
  <c r="O188" i="9"/>
  <c r="F102" i="9"/>
  <c r="H265" i="9"/>
  <c r="F190" i="9"/>
  <c r="L136" i="9"/>
  <c r="O140" i="9"/>
  <c r="K215" i="9"/>
  <c r="O231" i="9"/>
  <c r="N153" i="9"/>
  <c r="C81" i="9"/>
  <c r="F213" i="9"/>
  <c r="H23" i="9"/>
  <c r="H177" i="9"/>
  <c r="C236" i="9"/>
  <c r="G62" i="3"/>
  <c r="C274" i="9"/>
  <c r="C46" i="9"/>
  <c r="I239" i="9"/>
  <c r="L90" i="9"/>
  <c r="E111" i="9"/>
  <c r="O73" i="9"/>
  <c r="C73" i="9"/>
  <c r="K240" i="9"/>
  <c r="C80" i="9"/>
  <c r="N65" i="9"/>
  <c r="H136" i="9"/>
  <c r="E128" i="9"/>
  <c r="C226" i="9"/>
  <c r="O107" i="9"/>
  <c r="K258" i="9"/>
  <c r="I80" i="9"/>
  <c r="L241" i="9"/>
  <c r="N70" i="9"/>
  <c r="H214" i="9"/>
  <c r="K78" i="9"/>
  <c r="K34" i="3"/>
  <c r="I120" i="9"/>
  <c r="E229" i="9"/>
  <c r="N234" i="9"/>
  <c r="O102" i="9"/>
  <c r="K123" i="9"/>
  <c r="E280" i="9"/>
  <c r="O166" i="9"/>
  <c r="E185" i="9"/>
  <c r="I106" i="9"/>
  <c r="O257" i="9"/>
  <c r="E140" i="9"/>
  <c r="L275" i="9"/>
  <c r="E38" i="9"/>
  <c r="G32" i="3"/>
  <c r="O23" i="9"/>
  <c r="E43" i="9"/>
  <c r="I181" i="9"/>
  <c r="F82" i="9"/>
  <c r="H88" i="9"/>
  <c r="K25" i="5"/>
  <c r="L226" i="9"/>
  <c r="K44" i="3"/>
  <c r="L72" i="9"/>
  <c r="N204" i="9"/>
  <c r="I48" i="9"/>
  <c r="H123" i="9"/>
  <c r="O73" i="3"/>
  <c r="O89" i="9"/>
  <c r="L165" i="9"/>
  <c r="F253" i="9"/>
  <c r="N269" i="9"/>
  <c r="K36" i="9"/>
  <c r="N203" i="9"/>
  <c r="F68" i="9"/>
  <c r="N179" i="9"/>
  <c r="I274" i="9"/>
  <c r="O105" i="9"/>
  <c r="I121" i="9"/>
  <c r="O253" i="9"/>
  <c r="K214" i="9"/>
  <c r="H49" i="9"/>
  <c r="O262" i="9"/>
  <c r="K41" i="3"/>
  <c r="O22" i="9"/>
  <c r="E81" i="9"/>
  <c r="F122" i="9"/>
  <c r="I187" i="9"/>
  <c r="L252" i="9"/>
  <c r="O196" i="9"/>
  <c r="E254" i="9"/>
  <c r="K22" i="5"/>
  <c r="H262" i="9"/>
  <c r="C76" i="9"/>
  <c r="L150" i="9"/>
  <c r="F24" i="9"/>
  <c r="E182" i="9"/>
  <c r="O263" i="9"/>
  <c r="I44" i="9"/>
  <c r="F230" i="9"/>
  <c r="K189" i="9"/>
  <c r="E83" i="9"/>
  <c r="N37" i="9"/>
  <c r="E114" i="9"/>
  <c r="H46" i="9"/>
  <c r="E234" i="9"/>
  <c r="N45" i="9"/>
  <c r="I183" i="9"/>
  <c r="H65" i="9"/>
  <c r="C153" i="9"/>
  <c r="N174" i="9"/>
  <c r="C279" i="9"/>
  <c r="K45" i="3"/>
  <c r="E150" i="9"/>
  <c r="H118" i="9"/>
  <c r="K143" i="9"/>
  <c r="F144" i="9"/>
  <c r="O38" i="3"/>
  <c r="E255" i="9"/>
  <c r="F106" i="9"/>
  <c r="E190" i="9"/>
  <c r="O193" i="9"/>
  <c r="E231" i="9"/>
  <c r="I203" i="9"/>
  <c r="H102" i="9"/>
  <c r="N40" i="9"/>
  <c r="F44" i="9"/>
  <c r="N185" i="9"/>
  <c r="I272" i="9"/>
  <c r="K7" i="3"/>
  <c r="N67" i="9"/>
  <c r="F67" i="9"/>
  <c r="F192" i="9"/>
  <c r="K112" i="9"/>
  <c r="K10" i="3"/>
  <c r="E223" i="9"/>
  <c r="K113" i="9"/>
  <c r="O85" i="9"/>
  <c r="E201" i="9"/>
  <c r="E127" i="9"/>
  <c r="H113" i="9"/>
  <c r="I26" i="9"/>
  <c r="C43" i="9"/>
  <c r="L119" i="9"/>
  <c r="H274" i="9"/>
  <c r="L70" i="9"/>
  <c r="K12" i="3"/>
  <c r="F84" i="9"/>
  <c r="K36" i="3"/>
  <c r="E87" i="9"/>
  <c r="C231" i="9"/>
  <c r="H122" i="9"/>
  <c r="H138" i="9"/>
  <c r="G40" i="3"/>
  <c r="F215" i="9"/>
  <c r="H126" i="9"/>
  <c r="H217" i="9"/>
  <c r="E46" i="9"/>
  <c r="O40" i="3"/>
  <c r="K257" i="9"/>
  <c r="G58" i="3"/>
  <c r="K191" i="9"/>
  <c r="K100" i="9"/>
  <c r="L29" i="9"/>
  <c r="F31" i="9"/>
  <c r="K89" i="9"/>
  <c r="K26" i="9"/>
  <c r="O32" i="9"/>
  <c r="N190" i="9"/>
  <c r="I122" i="9"/>
  <c r="O236" i="9"/>
  <c r="L109" i="9"/>
  <c r="I271" i="9"/>
  <c r="H240" i="9"/>
  <c r="I155" i="9"/>
  <c r="I64" i="9"/>
  <c r="O185" i="9"/>
  <c r="C227" i="9"/>
  <c r="K152" i="9"/>
  <c r="O125" i="9"/>
  <c r="E241" i="9"/>
  <c r="L79" i="9"/>
  <c r="K22" i="9"/>
  <c r="G34" i="3"/>
  <c r="K16" i="3"/>
  <c r="C110" i="9"/>
  <c r="C41" i="9"/>
  <c r="O106" i="9"/>
  <c r="I194" i="9"/>
  <c r="F266" i="9"/>
  <c r="F218" i="9"/>
  <c r="N146" i="9"/>
  <c r="L147" i="9"/>
  <c r="F52" i="9"/>
  <c r="G56" i="3"/>
  <c r="K223" i="9"/>
  <c r="N84" i="9"/>
  <c r="H39" i="9"/>
  <c r="K174" i="9"/>
  <c r="N106" i="9"/>
  <c r="L48" i="9"/>
  <c r="L113" i="9"/>
  <c r="F186" i="9"/>
  <c r="H106" i="9"/>
  <c r="F181" i="9"/>
  <c r="K216" i="9"/>
  <c r="L166" i="9"/>
  <c r="E192" i="9"/>
  <c r="K14" i="3"/>
  <c r="L127" i="9"/>
  <c r="E36" i="9"/>
  <c r="I74" i="9"/>
  <c r="H143" i="9"/>
  <c r="F33" i="9"/>
  <c r="O34" i="9"/>
  <c r="C270" i="9"/>
  <c r="F197" i="9"/>
  <c r="E176" i="9"/>
  <c r="C275" i="9"/>
  <c r="N69" i="9"/>
  <c r="O50" i="9"/>
  <c r="H276" i="9"/>
  <c r="F40" i="9"/>
  <c r="E188" i="9"/>
  <c r="H127" i="9"/>
  <c r="K33" i="9"/>
  <c r="L114" i="9"/>
  <c r="F188" i="9"/>
  <c r="K138" i="9"/>
  <c r="I90" i="9"/>
  <c r="L117" i="9"/>
  <c r="C50" i="9"/>
  <c r="O61" i="3"/>
  <c r="O237" i="9"/>
  <c r="H236" i="9"/>
  <c r="F239" i="9"/>
  <c r="H62" i="9"/>
  <c r="L99" i="9"/>
  <c r="P61" i="3" l="1"/>
  <c r="Q61" i="3"/>
  <c r="R61" i="3"/>
  <c r="G50" i="9"/>
  <c r="J50" i="9"/>
  <c r="D50" i="9"/>
  <c r="M50" i="9"/>
  <c r="J275" i="9"/>
  <c r="M275" i="9"/>
  <c r="D275" i="9"/>
  <c r="G275" i="9"/>
  <c r="G270" i="9"/>
  <c r="M270" i="9"/>
  <c r="J270" i="9"/>
  <c r="D270" i="9"/>
  <c r="L14" i="3"/>
  <c r="N14" i="3"/>
  <c r="M14" i="3"/>
  <c r="H56" i="3"/>
  <c r="J56" i="3"/>
  <c r="I56" i="3"/>
  <c r="G41" i="9"/>
  <c r="D41" i="9"/>
  <c r="J41" i="9"/>
  <c r="M41" i="9"/>
  <c r="D110" i="9"/>
  <c r="G110" i="9"/>
  <c r="J110" i="9"/>
  <c r="M110" i="9"/>
  <c r="L16" i="3"/>
  <c r="M16" i="3"/>
  <c r="N16" i="3"/>
  <c r="J34" i="3"/>
  <c r="H34" i="3"/>
  <c r="I34" i="3"/>
  <c r="D227" i="9"/>
  <c r="M227" i="9"/>
  <c r="J227" i="9"/>
  <c r="G227" i="9"/>
  <c r="H58" i="3"/>
  <c r="I58" i="3"/>
  <c r="J58" i="3"/>
  <c r="R40" i="3"/>
  <c r="P40" i="3"/>
  <c r="Q40" i="3"/>
  <c r="J40" i="3"/>
  <c r="I40" i="3"/>
  <c r="H40" i="3"/>
  <c r="M231" i="9"/>
  <c r="D231" i="9"/>
  <c r="J231" i="9"/>
  <c r="G231" i="9"/>
  <c r="L36" i="3"/>
  <c r="N36" i="3"/>
  <c r="M36" i="3"/>
  <c r="L12" i="3"/>
  <c r="N12" i="3"/>
  <c r="M12" i="3"/>
  <c r="D43" i="9"/>
  <c r="J43" i="9"/>
  <c r="M43" i="9"/>
  <c r="G43" i="9"/>
  <c r="N10" i="3"/>
  <c r="L10" i="3"/>
  <c r="M10" i="3"/>
  <c r="N7" i="3"/>
  <c r="L7" i="3"/>
  <c r="M7" i="3"/>
  <c r="P38" i="3"/>
  <c r="R38" i="3"/>
  <c r="Q38" i="3"/>
  <c r="M45" i="3"/>
  <c r="L45" i="3"/>
  <c r="N45" i="3"/>
  <c r="M279" i="9"/>
  <c r="G279" i="9"/>
  <c r="D279" i="9"/>
  <c r="J279" i="9"/>
  <c r="J153" i="9"/>
  <c r="G153" i="9"/>
  <c r="M153" i="9"/>
  <c r="D153" i="9"/>
  <c r="G76" i="9"/>
  <c r="D76" i="9"/>
  <c r="M76" i="9"/>
  <c r="J76" i="9"/>
  <c r="L22" i="5"/>
  <c r="M22" i="5"/>
  <c r="N22" i="5"/>
  <c r="O54" i="9"/>
  <c r="N54" i="9" s="1"/>
  <c r="M16" i="9" s="1"/>
  <c r="N41" i="3"/>
  <c r="L41" i="3"/>
  <c r="M41" i="3"/>
  <c r="Q73" i="3"/>
  <c r="R73" i="3"/>
  <c r="P73" i="3"/>
  <c r="M44" i="3"/>
  <c r="N44" i="3"/>
  <c r="L44" i="3"/>
  <c r="N25" i="5"/>
  <c r="M25" i="5"/>
  <c r="L25" i="5"/>
  <c r="H32" i="3"/>
  <c r="J32" i="3"/>
  <c r="I32" i="3"/>
  <c r="M34" i="3"/>
  <c r="N34" i="3"/>
  <c r="L34" i="3"/>
  <c r="M226" i="9"/>
  <c r="D226" i="9"/>
  <c r="J226" i="9"/>
  <c r="G226" i="9"/>
  <c r="D80" i="9"/>
  <c r="G80" i="9"/>
  <c r="J80" i="9"/>
  <c r="M80" i="9"/>
  <c r="G73" i="9"/>
  <c r="D73" i="9"/>
  <c r="M73" i="9"/>
  <c r="J73" i="9"/>
  <c r="M46" i="9"/>
  <c r="J46" i="9"/>
  <c r="G46" i="9"/>
  <c r="D46" i="9"/>
  <c r="D274" i="9"/>
  <c r="M274" i="9"/>
  <c r="G274" i="9"/>
  <c r="J274" i="9"/>
  <c r="J62" i="3"/>
  <c r="I62" i="3"/>
  <c r="H62" i="3"/>
  <c r="J236" i="9"/>
  <c r="D236" i="9"/>
  <c r="M236" i="9"/>
  <c r="G236" i="9"/>
  <c r="M81" i="9"/>
  <c r="J81" i="9"/>
  <c r="G81" i="9"/>
  <c r="D81" i="9"/>
  <c r="L168" i="9"/>
  <c r="K168" i="9" s="1"/>
  <c r="J12" i="9" s="1"/>
  <c r="L25" i="3"/>
  <c r="N25" i="3"/>
  <c r="M25" i="3"/>
  <c r="D271" i="9"/>
  <c r="J271" i="9"/>
  <c r="G271" i="9"/>
  <c r="M271" i="9"/>
  <c r="O282" i="9"/>
  <c r="N282" i="9" s="1"/>
  <c r="M14" i="9" s="1"/>
  <c r="J143" i="9"/>
  <c r="G143" i="9"/>
  <c r="M143" i="9"/>
  <c r="D143" i="9"/>
  <c r="G101" i="9"/>
  <c r="M101" i="9"/>
  <c r="D101" i="9"/>
  <c r="J101" i="9"/>
  <c r="J46" i="3"/>
  <c r="I46" i="3"/>
  <c r="H46" i="3"/>
  <c r="F282" i="9"/>
  <c r="E282" i="9" s="1"/>
  <c r="D14" i="9" s="1"/>
  <c r="J196" i="9"/>
  <c r="M196" i="9"/>
  <c r="D196" i="9"/>
  <c r="G196" i="9"/>
  <c r="L47" i="3"/>
  <c r="M47" i="3"/>
  <c r="N47" i="3"/>
  <c r="M29" i="9"/>
  <c r="J29" i="9"/>
  <c r="D29" i="9"/>
  <c r="G29" i="9"/>
  <c r="J158" i="9"/>
  <c r="G158" i="9"/>
  <c r="M158" i="9"/>
  <c r="D158" i="9"/>
  <c r="D137" i="9"/>
  <c r="M137" i="9"/>
  <c r="G137" i="9"/>
  <c r="J137" i="9"/>
  <c r="G180" i="9"/>
  <c r="J180" i="9"/>
  <c r="M180" i="9"/>
  <c r="D180" i="9"/>
  <c r="J145" i="9"/>
  <c r="G145" i="9"/>
  <c r="M145" i="9"/>
  <c r="D145" i="9"/>
  <c r="G63" i="9"/>
  <c r="D63" i="9"/>
  <c r="M63" i="9"/>
  <c r="J63" i="9"/>
  <c r="R45" i="3"/>
  <c r="P45" i="3"/>
  <c r="Q45" i="3"/>
  <c r="D108" i="9"/>
  <c r="G108" i="9"/>
  <c r="J108" i="9"/>
  <c r="M108" i="9"/>
  <c r="M264" i="9"/>
  <c r="G264" i="9"/>
  <c r="D264" i="9"/>
  <c r="J264" i="9"/>
  <c r="J123" i="9"/>
  <c r="D123" i="9"/>
  <c r="G123" i="9"/>
  <c r="M123" i="9"/>
  <c r="L39" i="3"/>
  <c r="M39" i="3"/>
  <c r="N39" i="3"/>
  <c r="P64" i="3"/>
  <c r="R64" i="3"/>
  <c r="Q64" i="3"/>
  <c r="M44" i="9"/>
  <c r="G44" i="9"/>
  <c r="J44" i="9"/>
  <c r="D44" i="9"/>
  <c r="J126" i="9"/>
  <c r="G126" i="9"/>
  <c r="M126" i="9"/>
  <c r="D126" i="9"/>
  <c r="M23" i="9"/>
  <c r="J23" i="9"/>
  <c r="G23" i="9"/>
  <c r="D23" i="9"/>
  <c r="D217" i="9"/>
  <c r="M217" i="9"/>
  <c r="J217" i="9"/>
  <c r="G217" i="9"/>
  <c r="H60" i="3"/>
  <c r="I60" i="3"/>
  <c r="J60" i="3"/>
  <c r="M112" i="9"/>
  <c r="D112" i="9"/>
  <c r="G112" i="9"/>
  <c r="J112" i="9"/>
  <c r="R57" i="3"/>
  <c r="Q57" i="3"/>
  <c r="P57" i="3"/>
  <c r="G233" i="9"/>
  <c r="J233" i="9"/>
  <c r="M233" i="9"/>
  <c r="D233" i="9"/>
  <c r="J79" i="9"/>
  <c r="G79" i="9"/>
  <c r="M79" i="9"/>
  <c r="D79" i="9"/>
  <c r="J48" i="3"/>
  <c r="H48" i="3"/>
  <c r="I48" i="3"/>
  <c r="N58" i="3"/>
  <c r="L58" i="3"/>
  <c r="M58" i="3"/>
  <c r="P72" i="3"/>
  <c r="Q72" i="3"/>
  <c r="R72" i="3"/>
  <c r="G38" i="9"/>
  <c r="M38" i="9"/>
  <c r="D38" i="9"/>
  <c r="J38" i="9"/>
  <c r="G120" i="9"/>
  <c r="J120" i="9"/>
  <c r="D120" i="9"/>
  <c r="M120" i="9"/>
  <c r="J64" i="9"/>
  <c r="M64" i="9"/>
  <c r="D64" i="9"/>
  <c r="G64" i="9"/>
  <c r="L244" i="9"/>
  <c r="K244" i="9" s="1"/>
  <c r="J10" i="9" s="1"/>
  <c r="G127" i="9"/>
  <c r="D127" i="9"/>
  <c r="J127" i="9"/>
  <c r="M127" i="9"/>
  <c r="M67" i="9"/>
  <c r="J67" i="9"/>
  <c r="D67" i="9"/>
  <c r="G67" i="9"/>
  <c r="D222" i="9"/>
  <c r="G222" i="9"/>
  <c r="J222" i="9"/>
  <c r="M222" i="9"/>
  <c r="Q59" i="3"/>
  <c r="R59" i="3"/>
  <c r="P59" i="3"/>
  <c r="M260" i="9"/>
  <c r="G260" i="9"/>
  <c r="J260" i="9"/>
  <c r="D260" i="9"/>
  <c r="J74" i="3"/>
  <c r="I74" i="3"/>
  <c r="H74" i="3"/>
  <c r="H64" i="3"/>
  <c r="J64" i="3"/>
  <c r="I64" i="3"/>
  <c r="N70" i="3"/>
  <c r="L70" i="3"/>
  <c r="M70" i="3"/>
  <c r="G27" i="9"/>
  <c r="J27" i="9"/>
  <c r="D27" i="9"/>
  <c r="M27" i="9"/>
  <c r="N32" i="3"/>
  <c r="M32" i="3"/>
  <c r="L32" i="3"/>
  <c r="G100" i="9"/>
  <c r="J100" i="9"/>
  <c r="M100" i="9"/>
  <c r="D100" i="9"/>
  <c r="I36" i="3"/>
  <c r="H36" i="3"/>
  <c r="J36" i="3"/>
  <c r="M9" i="3"/>
  <c r="L9" i="3"/>
  <c r="N9" i="3"/>
  <c r="J106" i="9"/>
  <c r="D106" i="9"/>
  <c r="M106" i="9"/>
  <c r="G106" i="9"/>
  <c r="Q47" i="3"/>
  <c r="R47" i="3"/>
  <c r="P47" i="3"/>
  <c r="C130" i="9"/>
  <c r="J98" i="9"/>
  <c r="D98" i="9"/>
  <c r="G98" i="9"/>
  <c r="M98" i="9"/>
  <c r="G191" i="9"/>
  <c r="J191" i="9"/>
  <c r="D191" i="9"/>
  <c r="M191" i="9"/>
  <c r="D149" i="9"/>
  <c r="G149" i="9"/>
  <c r="J149" i="9"/>
  <c r="M149" i="9"/>
  <c r="H68" i="3"/>
  <c r="J68" i="3"/>
  <c r="I68" i="3"/>
  <c r="N20" i="3"/>
  <c r="L20" i="3"/>
  <c r="M20" i="3"/>
  <c r="M48" i="3"/>
  <c r="N48" i="3"/>
  <c r="L48" i="3"/>
  <c r="G60" i="9"/>
  <c r="M60" i="9"/>
  <c r="C92" i="9"/>
  <c r="D60" i="9"/>
  <c r="J60" i="9"/>
  <c r="M234" i="9"/>
  <c r="D234" i="9"/>
  <c r="J234" i="9"/>
  <c r="G234" i="9"/>
  <c r="G119" i="9"/>
  <c r="D119" i="9"/>
  <c r="M119" i="9"/>
  <c r="J119" i="9"/>
  <c r="N6" i="5"/>
  <c r="M6" i="5"/>
  <c r="L6" i="5"/>
  <c r="P74" i="3"/>
  <c r="Q74" i="3"/>
  <c r="R74" i="3"/>
  <c r="M218" i="9"/>
  <c r="G218" i="9"/>
  <c r="J218" i="9"/>
  <c r="D218" i="9"/>
  <c r="I49" i="3"/>
  <c r="H49" i="3"/>
  <c r="J49" i="3"/>
  <c r="M150" i="9"/>
  <c r="D150" i="9"/>
  <c r="J150" i="9"/>
  <c r="G150" i="9"/>
  <c r="G68" i="9"/>
  <c r="J68" i="9"/>
  <c r="D68" i="9"/>
  <c r="M68" i="9"/>
  <c r="G204" i="9"/>
  <c r="M204" i="9"/>
  <c r="J204" i="9"/>
  <c r="D204" i="9"/>
  <c r="Q41" i="3"/>
  <c r="R41" i="3"/>
  <c r="P41" i="3"/>
  <c r="M32" i="9"/>
  <c r="D32" i="9"/>
  <c r="G32" i="9"/>
  <c r="J32" i="9"/>
  <c r="F92" i="9"/>
  <c r="E92" i="9" s="1"/>
  <c r="D4" i="9" s="1"/>
  <c r="G165" i="9"/>
  <c r="J165" i="9"/>
  <c r="D165" i="9"/>
  <c r="M165" i="9"/>
  <c r="J142" i="9"/>
  <c r="D142" i="9"/>
  <c r="M142" i="9"/>
  <c r="G142" i="9"/>
  <c r="G273" i="9"/>
  <c r="D273" i="9"/>
  <c r="J273" i="9"/>
  <c r="M273" i="9"/>
  <c r="G125" i="9"/>
  <c r="M125" i="9"/>
  <c r="J125" i="9"/>
  <c r="D125" i="9"/>
  <c r="N74" i="3"/>
  <c r="M74" i="3"/>
  <c r="L74" i="3"/>
  <c r="D22" i="9"/>
  <c r="M22" i="9"/>
  <c r="J22" i="9"/>
  <c r="C54" i="9"/>
  <c r="G22" i="9"/>
  <c r="M266" i="9"/>
  <c r="D266" i="9"/>
  <c r="G266" i="9"/>
  <c r="J266" i="9"/>
  <c r="G33" i="9"/>
  <c r="M33" i="9"/>
  <c r="D33" i="9"/>
  <c r="J33" i="9"/>
  <c r="D70" i="9"/>
  <c r="G70" i="9"/>
  <c r="J70" i="9"/>
  <c r="M70" i="9"/>
  <c r="N8" i="5"/>
  <c r="L8" i="5"/>
  <c r="M8" i="5"/>
  <c r="N15" i="5"/>
  <c r="L15" i="5"/>
  <c r="M15" i="5"/>
  <c r="D116" i="9"/>
  <c r="M116" i="9"/>
  <c r="J116" i="9"/>
  <c r="G116" i="9"/>
  <c r="N7" i="5"/>
  <c r="L7" i="5"/>
  <c r="M7" i="5"/>
  <c r="G200" i="9"/>
  <c r="J200" i="9"/>
  <c r="D200" i="9"/>
  <c r="M200" i="9"/>
  <c r="D230" i="9"/>
  <c r="J230" i="9"/>
  <c r="M230" i="9"/>
  <c r="G230" i="9"/>
  <c r="J257" i="9"/>
  <c r="G257" i="9"/>
  <c r="M257" i="9"/>
  <c r="D257" i="9"/>
  <c r="N57" i="3"/>
  <c r="M57" i="3"/>
  <c r="L57" i="3"/>
  <c r="M166" i="9"/>
  <c r="G166" i="9"/>
  <c r="J166" i="9"/>
  <c r="D166" i="9"/>
  <c r="J78" i="9"/>
  <c r="D78" i="9"/>
  <c r="M78" i="9"/>
  <c r="G78" i="9"/>
  <c r="D177" i="9"/>
  <c r="J177" i="9"/>
  <c r="G177" i="9"/>
  <c r="M177" i="9"/>
  <c r="I206" i="9"/>
  <c r="H206" i="9" s="1"/>
  <c r="G8" i="9" s="1"/>
  <c r="J156" i="9"/>
  <c r="M156" i="9"/>
  <c r="D156" i="9"/>
  <c r="G156" i="9"/>
  <c r="M146" i="9"/>
  <c r="J146" i="9"/>
  <c r="G146" i="9"/>
  <c r="D146" i="9"/>
  <c r="F244" i="9"/>
  <c r="E244" i="9" s="1"/>
  <c r="D10" i="9" s="1"/>
  <c r="D192" i="9"/>
  <c r="M192" i="9"/>
  <c r="G192" i="9"/>
  <c r="J192" i="9"/>
  <c r="D155" i="9"/>
  <c r="J155" i="9"/>
  <c r="G155" i="9"/>
  <c r="M155" i="9"/>
  <c r="G241" i="9"/>
  <c r="J241" i="9"/>
  <c r="M241" i="9"/>
  <c r="D241" i="9"/>
  <c r="H61" i="3"/>
  <c r="J61" i="3"/>
  <c r="I61" i="3"/>
  <c r="Q60" i="3"/>
  <c r="R60" i="3"/>
  <c r="P60" i="3"/>
  <c r="J221" i="9"/>
  <c r="G221" i="9"/>
  <c r="M221" i="9"/>
  <c r="D221" i="9"/>
  <c r="O92" i="9"/>
  <c r="N92" i="9" s="1"/>
  <c r="M4" i="9" s="1"/>
  <c r="M23" i="3"/>
  <c r="N23" i="3"/>
  <c r="L23" i="3"/>
  <c r="G88" i="9"/>
  <c r="D88" i="9"/>
  <c r="J88" i="9"/>
  <c r="M88" i="9"/>
  <c r="D272" i="9"/>
  <c r="M272" i="9"/>
  <c r="G272" i="9"/>
  <c r="J272" i="9"/>
  <c r="G105" i="9"/>
  <c r="M105" i="9"/>
  <c r="D105" i="9"/>
  <c r="J105" i="9"/>
  <c r="J175" i="9"/>
  <c r="M175" i="9"/>
  <c r="G175" i="9"/>
  <c r="D175" i="9"/>
  <c r="J107" i="9"/>
  <c r="D107" i="9"/>
  <c r="G107" i="9"/>
  <c r="M107" i="9"/>
  <c r="M17" i="5"/>
  <c r="N17" i="5"/>
  <c r="L17" i="5"/>
  <c r="L54" i="9"/>
  <c r="K54" i="9" s="1"/>
  <c r="J16" i="9" s="1"/>
  <c r="G174" i="9"/>
  <c r="D174" i="9"/>
  <c r="C206" i="9"/>
  <c r="M174" i="9"/>
  <c r="J174" i="9"/>
  <c r="J178" i="9"/>
  <c r="D178" i="9"/>
  <c r="M178" i="9"/>
  <c r="G178" i="9"/>
  <c r="J57" i="3"/>
  <c r="I57" i="3"/>
  <c r="H57" i="3"/>
  <c r="M22" i="3"/>
  <c r="N22" i="3"/>
  <c r="L22" i="3"/>
  <c r="G182" i="9"/>
  <c r="J182" i="9"/>
  <c r="D182" i="9"/>
  <c r="M182" i="9"/>
  <c r="J113" i="9"/>
  <c r="M113" i="9"/>
  <c r="D113" i="9"/>
  <c r="G113" i="9"/>
  <c r="H63" i="3"/>
  <c r="J63" i="3"/>
  <c r="I63" i="3"/>
  <c r="L8" i="3"/>
  <c r="M8" i="3"/>
  <c r="N8" i="3"/>
  <c r="M34" i="9"/>
  <c r="G34" i="9"/>
  <c r="D34" i="9"/>
  <c r="J34" i="9"/>
  <c r="O130" i="9"/>
  <c r="N130" i="9" s="1"/>
  <c r="M6" i="9" s="1"/>
  <c r="G83" i="9"/>
  <c r="J83" i="9"/>
  <c r="D83" i="9"/>
  <c r="M83" i="9"/>
  <c r="J85" i="9"/>
  <c r="M85" i="9"/>
  <c r="D85" i="9"/>
  <c r="G85" i="9"/>
  <c r="D188" i="9"/>
  <c r="G188" i="9"/>
  <c r="J188" i="9"/>
  <c r="M188" i="9"/>
  <c r="G66" i="9"/>
  <c r="D66" i="9"/>
  <c r="M66" i="9"/>
  <c r="J66" i="9"/>
  <c r="I33" i="3"/>
  <c r="J33" i="3"/>
  <c r="H33" i="3"/>
  <c r="M47" i="9"/>
  <c r="D47" i="9"/>
  <c r="G47" i="9"/>
  <c r="J47" i="9"/>
  <c r="J38" i="3"/>
  <c r="I38" i="3"/>
  <c r="H38" i="3"/>
  <c r="G214" i="9"/>
  <c r="D214" i="9"/>
  <c r="J214" i="9"/>
  <c r="M214" i="9"/>
  <c r="G45" i="9"/>
  <c r="M45" i="9"/>
  <c r="J45" i="9"/>
  <c r="D45" i="9"/>
  <c r="H50" i="3"/>
  <c r="I50" i="3"/>
  <c r="J50" i="3"/>
  <c r="P43" i="3"/>
  <c r="Q43" i="3"/>
  <c r="R43" i="3"/>
  <c r="D114" i="9"/>
  <c r="G114" i="9"/>
  <c r="J114" i="9"/>
  <c r="M114" i="9"/>
  <c r="D71" i="9"/>
  <c r="M71" i="9"/>
  <c r="J71" i="9"/>
  <c r="G71" i="9"/>
  <c r="F206" i="9"/>
  <c r="E206" i="9" s="1"/>
  <c r="D8" i="9" s="1"/>
  <c r="D104" i="9"/>
  <c r="M104" i="9"/>
  <c r="G104" i="9"/>
  <c r="J104" i="9"/>
  <c r="I92" i="9"/>
  <c r="H92" i="9" s="1"/>
  <c r="G4" i="9" s="1"/>
  <c r="L20" i="5"/>
  <c r="N20" i="5"/>
  <c r="M20" i="5"/>
  <c r="M17" i="3"/>
  <c r="L17" i="3"/>
  <c r="N17" i="3"/>
  <c r="J87" i="9"/>
  <c r="G87" i="9"/>
  <c r="D87" i="9"/>
  <c r="M87" i="9"/>
  <c r="O168" i="9"/>
  <c r="N168" i="9" s="1"/>
  <c r="M12" i="9" s="1"/>
  <c r="N37" i="3"/>
  <c r="M37" i="3"/>
  <c r="L37" i="3"/>
  <c r="H70" i="3"/>
  <c r="I70" i="3"/>
  <c r="J70" i="3"/>
  <c r="P34" i="3"/>
  <c r="Q34" i="3"/>
  <c r="R34" i="3"/>
  <c r="H65" i="3"/>
  <c r="J65" i="3"/>
  <c r="I65" i="3"/>
  <c r="M63" i="3"/>
  <c r="L63" i="3"/>
  <c r="N63" i="3"/>
  <c r="D77" i="9"/>
  <c r="M77" i="9"/>
  <c r="G77" i="9"/>
  <c r="J77" i="9"/>
  <c r="Q56" i="3"/>
  <c r="R56" i="3"/>
  <c r="P56" i="3"/>
  <c r="D72" i="9"/>
  <c r="J72" i="9"/>
  <c r="M72" i="9"/>
  <c r="G72" i="9"/>
  <c r="L66" i="3"/>
  <c r="M66" i="3"/>
  <c r="N66" i="3"/>
  <c r="J176" i="9"/>
  <c r="M176" i="9"/>
  <c r="G176" i="9"/>
  <c r="D176" i="9"/>
  <c r="J109" i="9"/>
  <c r="D109" i="9"/>
  <c r="G109" i="9"/>
  <c r="M109" i="9"/>
  <c r="M184" i="9"/>
  <c r="J184" i="9"/>
  <c r="G184" i="9"/>
  <c r="D184" i="9"/>
  <c r="J228" i="9"/>
  <c r="M228" i="9"/>
  <c r="G228" i="9"/>
  <c r="D228" i="9"/>
  <c r="J30" i="9"/>
  <c r="D30" i="9"/>
  <c r="G30" i="9"/>
  <c r="M30" i="9"/>
  <c r="M28" i="9"/>
  <c r="J28" i="9"/>
  <c r="D28" i="9"/>
  <c r="G28" i="9"/>
  <c r="M189" i="9"/>
  <c r="D189" i="9"/>
  <c r="G189" i="9"/>
  <c r="J189" i="9"/>
  <c r="D65" i="9"/>
  <c r="J65" i="9"/>
  <c r="M65" i="9"/>
  <c r="G65" i="9"/>
  <c r="D203" i="9"/>
  <c r="G203" i="9"/>
  <c r="M203" i="9"/>
  <c r="J203" i="9"/>
  <c r="R65" i="3"/>
  <c r="Q65" i="3"/>
  <c r="P65" i="3"/>
  <c r="I282" i="9"/>
  <c r="H282" i="9" s="1"/>
  <c r="G14" i="9" s="1"/>
  <c r="J223" i="9"/>
  <c r="M223" i="9"/>
  <c r="D223" i="9"/>
  <c r="G223" i="9"/>
  <c r="J45" i="3"/>
  <c r="H45" i="3"/>
  <c r="I45" i="3"/>
  <c r="R31" i="3"/>
  <c r="P31" i="3"/>
  <c r="Q31" i="3"/>
  <c r="N9" i="5"/>
  <c r="L9" i="5"/>
  <c r="M9" i="5"/>
  <c r="J72" i="3"/>
  <c r="I72" i="3"/>
  <c r="H72" i="3"/>
  <c r="R32" i="3"/>
  <c r="P32" i="3"/>
  <c r="Q32" i="3"/>
  <c r="J280" i="9"/>
  <c r="D280" i="9"/>
  <c r="M280" i="9"/>
  <c r="G280" i="9"/>
  <c r="M197" i="9"/>
  <c r="D197" i="9"/>
  <c r="G197" i="9"/>
  <c r="J197" i="9"/>
  <c r="I54" i="9"/>
  <c r="H54" i="9" s="1"/>
  <c r="G16" i="9" s="1"/>
  <c r="J25" i="9"/>
  <c r="G25" i="9"/>
  <c r="M25" i="9"/>
  <c r="D25" i="9"/>
  <c r="L16" i="5"/>
  <c r="M16" i="5"/>
  <c r="N16" i="5"/>
  <c r="Q63" i="3"/>
  <c r="P63" i="3"/>
  <c r="R63" i="3"/>
  <c r="M50" i="3"/>
  <c r="N50" i="3"/>
  <c r="L50" i="3"/>
  <c r="G161" i="9"/>
  <c r="M161" i="9"/>
  <c r="D161" i="9"/>
  <c r="J161" i="9"/>
  <c r="H71" i="3"/>
  <c r="J71" i="3"/>
  <c r="I71" i="3"/>
  <c r="J186" i="9"/>
  <c r="M186" i="9"/>
  <c r="D186" i="9"/>
  <c r="G186" i="9"/>
  <c r="D115" i="9"/>
  <c r="M115" i="9"/>
  <c r="G115" i="9"/>
  <c r="J115" i="9"/>
  <c r="J152" i="9"/>
  <c r="G152" i="9"/>
  <c r="M152" i="9"/>
  <c r="D152" i="9"/>
  <c r="J179" i="9"/>
  <c r="M179" i="9"/>
  <c r="D179" i="9"/>
  <c r="G179" i="9"/>
  <c r="N59" i="3"/>
  <c r="L59" i="3"/>
  <c r="M59" i="3"/>
  <c r="M187" i="9"/>
  <c r="G187" i="9"/>
  <c r="D187" i="9"/>
  <c r="J187" i="9"/>
  <c r="D39" i="9"/>
  <c r="J39" i="9"/>
  <c r="M39" i="9"/>
  <c r="G39" i="9"/>
  <c r="N35" i="3"/>
  <c r="L35" i="3"/>
  <c r="M35" i="3"/>
  <c r="M82" i="9"/>
  <c r="G82" i="9"/>
  <c r="D82" i="9"/>
  <c r="J82" i="9"/>
  <c r="L15" i="3"/>
  <c r="M15" i="3"/>
  <c r="N15" i="3"/>
  <c r="M277" i="9"/>
  <c r="G277" i="9"/>
  <c r="D277" i="9"/>
  <c r="J277" i="9"/>
  <c r="P68" i="3"/>
  <c r="R68" i="3"/>
  <c r="Q68" i="3"/>
  <c r="G89" i="9"/>
  <c r="M89" i="9"/>
  <c r="J89" i="9"/>
  <c r="D89" i="9"/>
  <c r="N75" i="3"/>
  <c r="M75" i="3"/>
  <c r="L75" i="3"/>
  <c r="N62" i="3"/>
  <c r="M62" i="3"/>
  <c r="L62" i="3"/>
  <c r="Q36" i="3"/>
  <c r="P36" i="3"/>
  <c r="R36" i="3"/>
  <c r="M56" i="3"/>
  <c r="L56" i="3"/>
  <c r="N56" i="3"/>
  <c r="F54" i="9"/>
  <c r="M6" i="3"/>
  <c r="L6" i="3"/>
  <c r="N6" i="3"/>
  <c r="I66" i="3"/>
  <c r="H66" i="3"/>
  <c r="J66" i="3"/>
  <c r="F168" i="9"/>
  <c r="E168" i="9" s="1"/>
  <c r="D12" i="9" s="1"/>
  <c r="D141" i="9"/>
  <c r="G141" i="9"/>
  <c r="M141" i="9"/>
  <c r="J141" i="9"/>
  <c r="N46" i="3"/>
  <c r="M46" i="3"/>
  <c r="L46" i="3"/>
  <c r="I130" i="9"/>
  <c r="H130" i="9" s="1"/>
  <c r="G6" i="9" s="1"/>
  <c r="G225" i="9"/>
  <c r="D225" i="9"/>
  <c r="J225" i="9"/>
  <c r="M225" i="9"/>
  <c r="M202" i="9"/>
  <c r="J202" i="9"/>
  <c r="D202" i="9"/>
  <c r="G202" i="9"/>
  <c r="R71" i="3"/>
  <c r="P71" i="3"/>
  <c r="Q71" i="3"/>
  <c r="N71" i="3"/>
  <c r="M71" i="3"/>
  <c r="L71" i="3"/>
  <c r="G117" i="9"/>
  <c r="J117" i="9"/>
  <c r="M117" i="9"/>
  <c r="D117" i="9"/>
  <c r="I59" i="3"/>
  <c r="J59" i="3"/>
  <c r="H59" i="3"/>
  <c r="M144" i="9"/>
  <c r="G144" i="9"/>
  <c r="J144" i="9"/>
  <c r="D144" i="9"/>
  <c r="Q58" i="3"/>
  <c r="R58" i="3"/>
  <c r="P58" i="3"/>
  <c r="L24" i="3"/>
  <c r="M24" i="3"/>
  <c r="N24" i="3"/>
  <c r="M256" i="9"/>
  <c r="D256" i="9"/>
  <c r="J256" i="9"/>
  <c r="G256" i="9"/>
  <c r="H47" i="3"/>
  <c r="I47" i="3"/>
  <c r="J47" i="3"/>
  <c r="O206" i="9"/>
  <c r="N206" i="9" s="1"/>
  <c r="M8" i="9" s="1"/>
  <c r="L33" i="3"/>
  <c r="N33" i="3"/>
  <c r="M33" i="3"/>
  <c r="M40" i="3"/>
  <c r="L40" i="3"/>
  <c r="N40" i="3"/>
  <c r="R37" i="3"/>
  <c r="P37" i="3"/>
  <c r="Q37" i="3"/>
  <c r="I44" i="3"/>
  <c r="H44" i="3"/>
  <c r="J44" i="3"/>
  <c r="J86" i="9"/>
  <c r="D86" i="9"/>
  <c r="G86" i="9"/>
  <c r="M86" i="9"/>
  <c r="G26" i="9"/>
  <c r="J26" i="9"/>
  <c r="M26" i="9"/>
  <c r="D26" i="9"/>
  <c r="J193" i="9"/>
  <c r="M193" i="9"/>
  <c r="D193" i="9"/>
  <c r="G193" i="9"/>
  <c r="M239" i="9"/>
  <c r="J239" i="9"/>
  <c r="G239" i="9"/>
  <c r="D239" i="9"/>
  <c r="M258" i="9"/>
  <c r="G258" i="9"/>
  <c r="J258" i="9"/>
  <c r="D258" i="9"/>
  <c r="M18" i="3"/>
  <c r="L18" i="3"/>
  <c r="N18" i="3"/>
  <c r="J48" i="9"/>
  <c r="M48" i="9"/>
  <c r="D48" i="9"/>
  <c r="G48" i="9"/>
  <c r="R49" i="3"/>
  <c r="P49" i="3"/>
  <c r="Q49" i="3"/>
  <c r="R67" i="3"/>
  <c r="Q67" i="3"/>
  <c r="P67" i="3"/>
  <c r="L43" i="3"/>
  <c r="M43" i="3"/>
  <c r="N43" i="3"/>
  <c r="D37" i="9"/>
  <c r="G37" i="9"/>
  <c r="M37" i="9"/>
  <c r="J37" i="9"/>
  <c r="M36" i="9"/>
  <c r="D36" i="9"/>
  <c r="J36" i="9"/>
  <c r="G36" i="9"/>
  <c r="D254" i="9"/>
  <c r="J254" i="9"/>
  <c r="G254" i="9"/>
  <c r="M254" i="9"/>
  <c r="Q42" i="3"/>
  <c r="R42" i="3"/>
  <c r="P42" i="3"/>
  <c r="M251" i="9"/>
  <c r="G251" i="9"/>
  <c r="D251" i="9"/>
  <c r="J251" i="9"/>
  <c r="M13" i="3"/>
  <c r="N13" i="3"/>
  <c r="L13" i="3"/>
  <c r="N69" i="3"/>
  <c r="M69" i="3"/>
  <c r="L69" i="3"/>
  <c r="Q62" i="3"/>
  <c r="P62" i="3"/>
  <c r="R62" i="3"/>
  <c r="J61" i="9"/>
  <c r="M61" i="9"/>
  <c r="D61" i="9"/>
  <c r="G61" i="9"/>
  <c r="G139" i="9"/>
  <c r="J139" i="9"/>
  <c r="M139" i="9"/>
  <c r="D139" i="9"/>
  <c r="M240" i="9"/>
  <c r="J240" i="9"/>
  <c r="G240" i="9"/>
  <c r="D240" i="9"/>
  <c r="J74" i="9"/>
  <c r="M74" i="9"/>
  <c r="G74" i="9"/>
  <c r="D74" i="9"/>
  <c r="I244" i="9"/>
  <c r="H244" i="9" s="1"/>
  <c r="G10" i="9" s="1"/>
  <c r="Q33" i="3"/>
  <c r="R33" i="3"/>
  <c r="P33" i="3"/>
  <c r="H67" i="3"/>
  <c r="J67" i="3"/>
  <c r="I67" i="3"/>
  <c r="G138" i="9"/>
  <c r="J138" i="9"/>
  <c r="M138" i="9"/>
  <c r="D138" i="9"/>
  <c r="H35" i="3"/>
  <c r="J35" i="3"/>
  <c r="I35" i="3"/>
  <c r="N21" i="5"/>
  <c r="L21" i="5"/>
  <c r="M21" i="5"/>
  <c r="D219" i="9"/>
  <c r="M219" i="9"/>
  <c r="G219" i="9"/>
  <c r="J219" i="9"/>
  <c r="M11" i="5"/>
  <c r="L11" i="5"/>
  <c r="N11" i="5"/>
  <c r="O244" i="9"/>
  <c r="N244" i="9" s="1"/>
  <c r="M10" i="9" s="1"/>
  <c r="R50" i="3"/>
  <c r="P50" i="3"/>
  <c r="Q50" i="3"/>
  <c r="J212" i="9"/>
  <c r="M212" i="9"/>
  <c r="G212" i="9"/>
  <c r="D212" i="9"/>
  <c r="C244" i="9"/>
  <c r="G122" i="9"/>
  <c r="D122" i="9"/>
  <c r="M122" i="9"/>
  <c r="J122" i="9"/>
  <c r="J164" i="9"/>
  <c r="M164" i="9"/>
  <c r="G164" i="9"/>
  <c r="D164" i="9"/>
  <c r="D276" i="9"/>
  <c r="G276" i="9"/>
  <c r="J276" i="9"/>
  <c r="M276" i="9"/>
  <c r="L11" i="3"/>
  <c r="N11" i="3"/>
  <c r="M11" i="3"/>
  <c r="I42" i="3"/>
  <c r="J42" i="3"/>
  <c r="H42" i="3"/>
  <c r="J39" i="3"/>
  <c r="I39" i="3"/>
  <c r="H39" i="3"/>
  <c r="M190" i="9"/>
  <c r="D190" i="9"/>
  <c r="G190" i="9"/>
  <c r="J190" i="9"/>
  <c r="J147" i="9"/>
  <c r="D147" i="9"/>
  <c r="M147" i="9"/>
  <c r="G147" i="9"/>
  <c r="L38" i="3"/>
  <c r="N38" i="3"/>
  <c r="M38" i="3"/>
  <c r="Q48" i="3"/>
  <c r="R48" i="3"/>
  <c r="P48" i="3"/>
  <c r="D157" i="9"/>
  <c r="M157" i="9"/>
  <c r="G157" i="9"/>
  <c r="J157" i="9"/>
  <c r="L24" i="5"/>
  <c r="N24" i="5"/>
  <c r="M24" i="5"/>
  <c r="J118" i="9"/>
  <c r="D118" i="9"/>
  <c r="M118" i="9"/>
  <c r="G118" i="9"/>
  <c r="M136" i="9"/>
  <c r="J136" i="9"/>
  <c r="D136" i="9"/>
  <c r="G136" i="9"/>
  <c r="C168" i="9"/>
  <c r="L10" i="5"/>
  <c r="N10" i="5"/>
  <c r="M10" i="5"/>
  <c r="G35" i="9"/>
  <c r="M35" i="9"/>
  <c r="D35" i="9"/>
  <c r="J35" i="9"/>
  <c r="R35" i="3"/>
  <c r="P35" i="3"/>
  <c r="Q35" i="3"/>
  <c r="D259" i="9"/>
  <c r="G259" i="9"/>
  <c r="M259" i="9"/>
  <c r="J259" i="9"/>
  <c r="M69" i="9"/>
  <c r="J69" i="9"/>
  <c r="D69" i="9"/>
  <c r="G69" i="9"/>
  <c r="D232" i="9"/>
  <c r="G232" i="9"/>
  <c r="M232" i="9"/>
  <c r="J232" i="9"/>
  <c r="L92" i="9"/>
  <c r="K92" i="9" s="1"/>
  <c r="J4" i="9" s="1"/>
  <c r="J235" i="9"/>
  <c r="M235" i="9"/>
  <c r="G235" i="9"/>
  <c r="D235" i="9"/>
  <c r="D185" i="9"/>
  <c r="G185" i="9"/>
  <c r="J185" i="9"/>
  <c r="M185" i="9"/>
  <c r="Q69" i="3"/>
  <c r="P69" i="3"/>
  <c r="R69" i="3"/>
  <c r="Q44" i="3"/>
  <c r="P44" i="3"/>
  <c r="R44" i="3"/>
  <c r="M31" i="3"/>
  <c r="N31" i="3"/>
  <c r="L31" i="3"/>
  <c r="G238" i="9"/>
  <c r="J238" i="9"/>
  <c r="D238" i="9"/>
  <c r="M238" i="9"/>
  <c r="M262" i="9"/>
  <c r="D262" i="9"/>
  <c r="G262" i="9"/>
  <c r="J262" i="9"/>
  <c r="D183" i="9"/>
  <c r="M183" i="9"/>
  <c r="J183" i="9"/>
  <c r="G183" i="9"/>
  <c r="M154" i="9"/>
  <c r="D154" i="9"/>
  <c r="J154" i="9"/>
  <c r="G154" i="9"/>
  <c r="H75" i="3"/>
  <c r="J75" i="3"/>
  <c r="I75" i="3"/>
  <c r="J41" i="3"/>
  <c r="H41" i="3"/>
  <c r="I41" i="3"/>
  <c r="G52" i="9"/>
  <c r="J52" i="9"/>
  <c r="M52" i="9"/>
  <c r="D52" i="9"/>
  <c r="D198" i="9"/>
  <c r="G198" i="9"/>
  <c r="J198" i="9"/>
  <c r="M198" i="9"/>
  <c r="Q46" i="3"/>
  <c r="P46" i="3"/>
  <c r="R46" i="3"/>
  <c r="D121" i="9"/>
  <c r="M121" i="9"/>
  <c r="G121" i="9"/>
  <c r="J121" i="9"/>
  <c r="J267" i="9"/>
  <c r="M267" i="9"/>
  <c r="D267" i="9"/>
  <c r="G267" i="9"/>
  <c r="M90" i="9"/>
  <c r="G90" i="9"/>
  <c r="J90" i="9"/>
  <c r="D90" i="9"/>
  <c r="D51" i="9"/>
  <c r="M51" i="9"/>
  <c r="G51" i="9"/>
  <c r="J51" i="9"/>
  <c r="G31" i="9"/>
  <c r="M31" i="9"/>
  <c r="J31" i="9"/>
  <c r="D31" i="9"/>
  <c r="N19" i="3"/>
  <c r="L19" i="3"/>
  <c r="M19" i="3"/>
  <c r="M73" i="3"/>
  <c r="N73" i="3"/>
  <c r="L73" i="3"/>
  <c r="G124" i="9"/>
  <c r="M124" i="9"/>
  <c r="D124" i="9"/>
  <c r="J124" i="9"/>
  <c r="G62" i="9"/>
  <c r="D62" i="9"/>
  <c r="J62" i="9"/>
  <c r="M62" i="9"/>
  <c r="G160" i="9"/>
  <c r="J160" i="9"/>
  <c r="M160" i="9"/>
  <c r="D160" i="9"/>
  <c r="G151" i="9"/>
  <c r="D151" i="9"/>
  <c r="M151" i="9"/>
  <c r="J151" i="9"/>
  <c r="M72" i="3"/>
  <c r="L72" i="3"/>
  <c r="N72" i="3"/>
  <c r="P75" i="3"/>
  <c r="R75" i="3"/>
  <c r="Q75" i="3"/>
  <c r="L60" i="3"/>
  <c r="N60" i="3"/>
  <c r="M60" i="3"/>
  <c r="R70" i="3"/>
  <c r="P70" i="3"/>
  <c r="Q70" i="3"/>
  <c r="M255" i="9"/>
  <c r="G255" i="9"/>
  <c r="J255" i="9"/>
  <c r="D255" i="9"/>
  <c r="D24" i="9"/>
  <c r="J24" i="9"/>
  <c r="M24" i="9"/>
  <c r="G24" i="9"/>
  <c r="M12" i="5"/>
  <c r="N12" i="5"/>
  <c r="L12" i="5"/>
  <c r="N13" i="5"/>
  <c r="L13" i="5"/>
  <c r="M13" i="5"/>
  <c r="D194" i="9"/>
  <c r="G194" i="9"/>
  <c r="M194" i="9"/>
  <c r="J194" i="9"/>
  <c r="G40" i="9"/>
  <c r="J40" i="9"/>
  <c r="D40" i="9"/>
  <c r="M40" i="9"/>
  <c r="L130" i="9"/>
  <c r="K130" i="9" s="1"/>
  <c r="J6" i="9" s="1"/>
  <c r="H69" i="3"/>
  <c r="J69" i="3"/>
  <c r="I69" i="3"/>
  <c r="L64" i="3"/>
  <c r="M64" i="3"/>
  <c r="N64" i="3"/>
  <c r="D216" i="9"/>
  <c r="G216" i="9"/>
  <c r="J216" i="9"/>
  <c r="M216" i="9"/>
  <c r="J201" i="9"/>
  <c r="G201" i="9"/>
  <c r="M201" i="9"/>
  <c r="D201" i="9"/>
  <c r="L49" i="3"/>
  <c r="M49" i="3"/>
  <c r="N49" i="3"/>
  <c r="L206" i="9"/>
  <c r="K206" i="9" s="1"/>
  <c r="J8" i="9" s="1"/>
  <c r="L282" i="9"/>
  <c r="K282" i="9" s="1"/>
  <c r="J14" i="9" s="1"/>
  <c r="L23" i="5"/>
  <c r="N23" i="5"/>
  <c r="M23" i="5"/>
  <c r="N61" i="3"/>
  <c r="M61" i="3"/>
  <c r="L61" i="3"/>
  <c r="D199" i="9"/>
  <c r="J199" i="9"/>
  <c r="M199" i="9"/>
  <c r="G199" i="9"/>
  <c r="M68" i="3"/>
  <c r="L68" i="3"/>
  <c r="N68" i="3"/>
  <c r="M18" i="5"/>
  <c r="N18" i="5"/>
  <c r="L18" i="5"/>
  <c r="D42" i="9"/>
  <c r="G42" i="9"/>
  <c r="J42" i="9"/>
  <c r="M42" i="9"/>
  <c r="I168" i="9"/>
  <c r="H168" i="9" s="1"/>
  <c r="G12" i="9" s="1"/>
  <c r="J181" i="9"/>
  <c r="M181" i="9"/>
  <c r="D181" i="9"/>
  <c r="G181" i="9"/>
  <c r="J195" i="9"/>
  <c r="D195" i="9"/>
  <c r="M195" i="9"/>
  <c r="G195" i="9"/>
  <c r="J37" i="3"/>
  <c r="I37" i="3"/>
  <c r="H37" i="3"/>
  <c r="M237" i="9"/>
  <c r="D237" i="9"/>
  <c r="J237" i="9"/>
  <c r="G237" i="9"/>
  <c r="D250" i="9"/>
  <c r="C282" i="9"/>
  <c r="G250" i="9"/>
  <c r="M250" i="9"/>
  <c r="J250" i="9"/>
  <c r="I43" i="3"/>
  <c r="J43" i="3"/>
  <c r="H43" i="3"/>
  <c r="H73" i="3"/>
  <c r="J73" i="3"/>
  <c r="I73" i="3"/>
  <c r="M19" i="5"/>
  <c r="L19" i="5"/>
  <c r="N19" i="5"/>
  <c r="D278" i="9"/>
  <c r="G278" i="9"/>
  <c r="M278" i="9"/>
  <c r="J278" i="9"/>
  <c r="J252" i="9"/>
  <c r="G252" i="9"/>
  <c r="D252" i="9"/>
  <c r="M252" i="9"/>
  <c r="F130" i="9"/>
  <c r="E130" i="9" s="1"/>
  <c r="D6" i="9" s="1"/>
  <c r="M49" i="9"/>
  <c r="J49" i="9"/>
  <c r="D49" i="9"/>
  <c r="G49" i="9"/>
  <c r="J84" i="9"/>
  <c r="D84" i="9"/>
  <c r="G84" i="9"/>
  <c r="M84" i="9"/>
  <c r="G242" i="9"/>
  <c r="D242" i="9"/>
  <c r="M242" i="9"/>
  <c r="J242" i="9"/>
  <c r="D102" i="9"/>
  <c r="J102" i="9"/>
  <c r="M102" i="9"/>
  <c r="G102" i="9"/>
  <c r="J162" i="9"/>
  <c r="D162" i="9"/>
  <c r="G162" i="9"/>
  <c r="M162" i="9"/>
  <c r="Q39" i="3"/>
  <c r="R39" i="3"/>
  <c r="P39" i="3"/>
  <c r="J269" i="9"/>
  <c r="D269" i="9"/>
  <c r="G269" i="9"/>
  <c r="M269" i="9"/>
  <c r="N42" i="3"/>
  <c r="M42" i="3"/>
  <c r="L42" i="3"/>
  <c r="G224" i="9"/>
  <c r="J224" i="9"/>
  <c r="D224" i="9"/>
  <c r="M224" i="9"/>
  <c r="D111" i="9"/>
  <c r="G111" i="9"/>
  <c r="M111" i="9"/>
  <c r="J111" i="9"/>
  <c r="I31" i="3"/>
  <c r="H31" i="3"/>
  <c r="J31" i="3"/>
  <c r="J75" i="9"/>
  <c r="G75" i="9"/>
  <c r="D75" i="9"/>
  <c r="M75" i="9"/>
  <c r="D163" i="9"/>
  <c r="J163" i="9"/>
  <c r="M163" i="9"/>
  <c r="G163" i="9"/>
  <c r="G220" i="9"/>
  <c r="D220" i="9"/>
  <c r="J220" i="9"/>
  <c r="M220" i="9"/>
  <c r="M265" i="9"/>
  <c r="D265" i="9"/>
  <c r="J265" i="9"/>
  <c r="G265" i="9"/>
  <c r="D99" i="9"/>
  <c r="M99" i="9"/>
  <c r="J99" i="9"/>
  <c r="G99" i="9"/>
  <c r="G128" i="9"/>
  <c r="J128" i="9"/>
  <c r="D128" i="9"/>
  <c r="M128" i="9"/>
  <c r="D229" i="9"/>
  <c r="G229" i="9"/>
  <c r="M229" i="9"/>
  <c r="J229" i="9"/>
  <c r="G140" i="9"/>
  <c r="J140" i="9"/>
  <c r="D140" i="9"/>
  <c r="M140" i="9"/>
  <c r="L14" i="5"/>
  <c r="N14" i="5"/>
  <c r="M14" i="5"/>
  <c r="D253" i="9"/>
  <c r="J253" i="9"/>
  <c r="M253" i="9"/>
  <c r="G253" i="9"/>
  <c r="L65" i="3"/>
  <c r="M65" i="3"/>
  <c r="N65" i="3"/>
  <c r="D261" i="9"/>
  <c r="M261" i="9"/>
  <c r="G261" i="9"/>
  <c r="J261" i="9"/>
  <c r="L67" i="3"/>
  <c r="N67" i="3"/>
  <c r="M67" i="3"/>
  <c r="L21" i="3"/>
  <c r="N21" i="3"/>
  <c r="M21" i="3"/>
  <c r="M213" i="9"/>
  <c r="G213" i="9"/>
  <c r="J213" i="9"/>
  <c r="D213" i="9"/>
  <c r="M268" i="9"/>
  <c r="D268" i="9"/>
  <c r="G268" i="9"/>
  <c r="J268" i="9"/>
  <c r="M215" i="9"/>
  <c r="G215" i="9"/>
  <c r="J215" i="9"/>
  <c r="D215" i="9"/>
  <c r="J159" i="9"/>
  <c r="D159" i="9"/>
  <c r="M159" i="9"/>
  <c r="G159" i="9"/>
  <c r="D103" i="9"/>
  <c r="M103" i="9"/>
  <c r="G103" i="9"/>
  <c r="J103" i="9"/>
  <c r="J148" i="9"/>
  <c r="G148" i="9"/>
  <c r="D148" i="9"/>
  <c r="M148" i="9"/>
  <c r="Q66" i="3"/>
  <c r="P66" i="3"/>
  <c r="R66" i="3"/>
  <c r="M263" i="9"/>
  <c r="J263" i="9"/>
  <c r="G263" i="9"/>
  <c r="D263" i="9"/>
  <c r="D244" i="9" l="1"/>
  <c r="G282" i="9"/>
  <c r="M168" i="9"/>
  <c r="G92" i="9"/>
  <c r="D130" i="9"/>
  <c r="G168" i="9"/>
  <c r="D206" i="9"/>
  <c r="J54" i="9"/>
  <c r="J130" i="9"/>
  <c r="J282" i="9"/>
  <c r="D282" i="9"/>
  <c r="D168" i="9"/>
  <c r="J206" i="9"/>
  <c r="G206" i="9"/>
  <c r="M54" i="9"/>
  <c r="M130" i="9"/>
  <c r="M282" i="9"/>
  <c r="J168" i="9"/>
  <c r="J244" i="9"/>
  <c r="M206" i="9"/>
  <c r="G54" i="9"/>
  <c r="D54" i="9"/>
  <c r="M92" i="9"/>
  <c r="G130" i="9"/>
  <c r="J92" i="9"/>
  <c r="G244" i="9"/>
  <c r="D92" i="9"/>
  <c r="M244" i="9"/>
  <c r="E54" i="9"/>
  <c r="D16" i="9" s="1"/>
  <c r="B12" i="9" s="1"/>
  <c r="B9" i="9"/>
  <c r="B11" i="9"/>
  <c r="B3" i="9"/>
  <c r="B14" i="9"/>
  <c r="B10" i="9"/>
  <c r="B6" i="9"/>
  <c r="B5" i="9"/>
  <c r="B16" i="9"/>
  <c r="B8" i="9"/>
  <c r="B4" i="9"/>
  <c r="B15" i="9"/>
  <c r="B7" i="9"/>
  <c r="B13" i="9"/>
</calcChain>
</file>

<file path=xl/sharedStrings.xml><?xml version="1.0" encoding="utf-8"?>
<sst xmlns="http://schemas.openxmlformats.org/spreadsheetml/2006/main" count="7656" uniqueCount="409">
  <si>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</si>
  <si>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</si>
  <si>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</si>
  <si>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</si>
  <si>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</si>
  <si>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</si>
  <si>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</si>
  <si>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</si>
  <si>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</si>
  <si>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</si>
  <si>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</si>
  <si>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</si>
  <si>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</si>
  <si>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</si>
  <si>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</si>
  <si>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</si>
  <si>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</si>
  <si>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</si>
  <si>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</si>
  <si>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</si>
  <si>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</si>
  <si>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</si>
  <si>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</si>
  <si>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</si>
  <si>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</si>
  <si>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</si>
  <si>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</si>
  <si>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</si>
  <si>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</si>
  <si>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</si>
  <si>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</si>
  <si>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</si>
  <si>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</si>
  <si>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</si>
  <si>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</si>
  <si>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</si>
  <si>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</si>
  <si>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</si>
  <si>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</si>
  <si>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</si>
  <si>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</si>
  <si>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</si>
  <si>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</si>
  <si>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</si>
  <si>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</si>
  <si>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</si>
  <si>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</si>
  <si>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</si>
  <si>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</si>
  <si>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</si>
  <si>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</si>
  <si>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</si>
  <si>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</si>
  <si>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</si>
  <si>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</si>
  <si>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</si>
  <si>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</si>
  <si>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</si>
  <si>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</si>
  <si>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</si>
  <si>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</si>
  <si>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</si>
  <si>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</si>
  <si>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</si>
  <si>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</si>
  <si>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</si>
  <si>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</si>
  <si>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</si>
  <si>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</si>
  <si>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</si>
  <si>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</si>
  <si>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</si>
  <si>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</si>
  <si>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</si>
  <si>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</si>
  <si>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</si>
  <si>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</si>
  <si>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</si>
  <si>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</si>
  <si>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</si>
  <si>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</si>
  <si>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</si>
  <si>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</si>
  <si>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</si>
  <si>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</si>
  <si>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</si>
  <si>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</si>
  <si>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</si>
  <si>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</si>
  <si>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</si>
  <si>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</si>
  <si>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</si>
  <si>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</si>
  <si>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</si>
  <si>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</si>
  <si>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</si>
  <si>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</si>
  <si>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</si>
  <si>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</si>
  <si>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</si>
  <si>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</si>
  <si>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</si>
  <si>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</si>
  <si>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</si>
  <si>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</si>
  <si>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</si>
  <si>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</si>
  <si>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</si>
  <si>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</si>
  <si>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</si>
  <si>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</si>
  <si>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</si>
  <si>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</si>
  <si>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</si>
  <si>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</si>
  <si>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</si>
  <si>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</si>
  <si>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</si>
  <si>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</si>
  <si>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</si>
  <si>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</si>
  <si>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</si>
  <si>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</si>
  <si>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</si>
  <si>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</si>
  <si>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</si>
  <si>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</si>
  <si>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</si>
  <si>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</si>
  <si>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</si>
  <si>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</si>
  <si>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</si>
  <si>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</si>
  <si>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</si>
  <si>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</si>
  <si>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</si>
  <si>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</si>
  <si>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</si>
  <si>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</si>
  <si>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</si>
  <si>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</si>
  <si>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</si>
  <si>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</si>
  <si>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</si>
  <si>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</si>
  <si>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</si>
  <si>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</si>
  <si>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</si>
  <si>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</si>
  <si>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</si>
  <si>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</si>
  <si>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</si>
  <si>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</si>
  <si>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</si>
  <si>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</si>
  <si>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</si>
  <si>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</si>
  <si>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</si>
  <si>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</si>
  <si>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</si>
  <si>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</si>
  <si>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</si>
  <si>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</si>
  <si>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</si>
  <si>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</si>
  <si>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</si>
  <si>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</si>
  <si>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</si>
  <si>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</si>
  <si>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</si>
  <si>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</si>
  <si>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</si>
  <si>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</si>
  <si>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</si>
  <si>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</si>
  <si>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</si>
  <si>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</si>
  <si>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</si>
  <si>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</si>
  <si>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</si>
  <si>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</si>
  <si>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</si>
  <si>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</si>
  <si>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</si>
  <si>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</si>
  <si>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</si>
  <si>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</si>
  <si>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</si>
  <si>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</si>
  <si>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</si>
  <si>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</si>
  <si>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</si>
  <si>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</si>
  <si>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</si>
  <si>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</si>
  <si>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</si>
  <si>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</si>
  <si>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</si>
  <si>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</si>
  <si>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</si>
  <si>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</si>
  <si>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</si>
  <si>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</si>
  <si>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</si>
  <si>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</si>
  <si>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</si>
  <si>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</si>
  <si>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</si>
  <si>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</si>
  <si>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</si>
  <si>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</si>
  <si>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</si>
  <si>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</si>
  <si>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</si>
  <si>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</si>
  <si>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</si>
  <si>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</si>
  <si>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</si>
  <si>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</si>
  <si>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</si>
  <si>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</si>
  <si>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</si>
  <si>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</si>
  <si>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</si>
  <si>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</si>
  <si>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</si>
  <si>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</si>
  <si>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</si>
  <si>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</si>
  <si>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</si>
  <si>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</si>
  <si>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</si>
  <si>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</si>
  <si>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</si>
  <si>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</si>
  <si>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</si>
  <si>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</si>
  <si>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</si>
  <si>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</si>
  <si>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</si>
  <si>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</si>
  <si>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</si>
  <si>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</si>
  <si>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</si>
  <si>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</si>
  <si>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</si>
  <si>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</si>
  <si>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</si>
  <si>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</si>
  <si>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</si>
  <si>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</si>
  <si>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</si>
  <si>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</si>
  <si>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</si>
  <si>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</si>
  <si>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</si>
  <si>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</si>
  <si>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</si>
  <si>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</si>
  <si>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</si>
  <si>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</si>
  <si>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</si>
  <si>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</si>
  <si>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</si>
  <si>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</si>
  <si>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</si>
  <si>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</si>
  <si>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</si>
  <si>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</si>
  <si>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</si>
  <si>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</si>
  <si>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</si>
  <si>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</si>
  <si>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</si>
  <si>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</si>
  <si>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</si>
  <si>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</si>
  <si>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</si>
  <si>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</si>
  <si>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</si>
  <si>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</si>
  <si>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</si>
  <si>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</si>
  <si>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</si>
  <si>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</si>
  <si>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</si>
  <si>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</si>
  <si>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</si>
  <si>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</si>
  <si>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</si>
  <si>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</si>
  <si>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</si>
  <si>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</si>
  <si>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</si>
  <si>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</si>
  <si>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</si>
  <si>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</si>
  <si>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</si>
  <si>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</si>
  <si>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</si>
  <si>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</si>
  <si>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</si>
  <si>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</si>
  <si>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</si>
  <si>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</si>
  <si>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</si>
  <si>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</si>
  <si>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</si>
  <si>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</si>
  <si>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</si>
  <si>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</si>
  <si>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</si>
  <si>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</si>
  <si>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</si>
  <si>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</si>
  <si>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</si>
  <si>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</si>
  <si>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</si>
  <si>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</si>
  <si>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</si>
  <si>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</si>
  <si>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</si>
  <si>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</si>
  <si>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</si>
  <si>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</si>
  <si>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</si>
  <si>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</si>
  <si>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</si>
  <si>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</si>
  <si>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</si>
  <si>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</si>
  <si>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</si>
  <si>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</si>
  <si>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</si>
  <si>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</si>
  <si>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</si>
  <si>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</si>
  <si>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</si>
  <si>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</si>
  <si>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</si>
  <si>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</si>
  <si>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</si>
  <si>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</si>
  <si>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</si>
  <si>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</si>
  <si>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</si>
  <si>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</si>
  <si>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</si>
  <si>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</si>
  <si>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</si>
  <si>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</si>
  <si>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</si>
  <si>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</si>
  <si>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</si>
  <si>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</si>
  <si>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</si>
  <si>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</si>
  <si>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</si>
  <si>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</si>
  <si>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</si>
  <si>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</si>
  <si>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</si>
  <si>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</si>
  <si>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</si>
  <si>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</si>
  <si>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</si>
  <si>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</si>
  <si>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</si>
  <si>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</si>
  <si>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</si>
  <si>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</si>
  <si>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</si>
  <si>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</si>
  <si>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</si>
  <si>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</si>
  <si>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</si>
  <si>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</si>
  <si>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</si>
  <si>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</si>
  <si>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</si>
  <si>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</si>
  <si>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</si>
  <si>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</si>
  <si>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</si>
  <si>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</si>
  <si>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</si>
  <si>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</si>
  <si>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</si>
  <si>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</si>
  <si>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</si>
  <si>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</si>
  <si>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</si>
  <si>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</si>
  <si>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</si>
  <si>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</si>
  <si>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</si>
  <si>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</si>
  <si>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</si>
  <si>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</si>
  <si>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</si>
  <si>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</si>
  <si>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</si>
  <si>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</si>
  <si>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</si>
  <si>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플레이댑</t>
    <phoneticPr fontId="1" type="noConversion"/>
  </si>
  <si>
    <t>솔브케어</t>
    <phoneticPr fontId="1" type="noConversion"/>
  </si>
  <si>
    <t>2021.05.17</t>
    <phoneticPr fontId="1" type="noConversion"/>
  </si>
  <si>
    <t>크립토닷컴체인</t>
    <phoneticPr fontId="1" type="noConversion"/>
  </si>
  <si>
    <t>아르고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</si>
</sst>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48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63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44287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" t="s">
        <v>3</v>
      </c>
      <c r="B2" s="313" t="s">
        <v>4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5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4" t="s">
        <v>7</v>
      </c>
      <c r="B3" s="304" t="s">
        <v>8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01"/>
      <c r="I3" s="302"/>
      <c r="J3" s="4" t="s">
        <v>7</v>
      </c>
      <c r="K3" s="304" t="s">
        <v>9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04" t="s">
        <v>12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13</v>
      </c>
      <c r="L4" s="305"/>
      <c r="M4" s="305"/>
      <c r="N4" s="305"/>
      <c r="O4" s="306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04" t="s">
        <v>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01"/>
      <c r="I5" s="302"/>
      <c r="J5" s="4" t="s">
        <v>15</v>
      </c>
      <c r="K5" s="304" t="s">
        <v>17</v>
      </c>
      <c r="L5" s="305"/>
      <c r="M5" s="305"/>
      <c r="N5" s="305"/>
      <c r="O5" s="306"/>
    </row>
    <row r="6" spans="1:19">
      <c r="A6" s="4" t="s">
        <v>18</v>
      </c>
      <c r="B6" s="304" t="s">
        <v>19</v>
      </c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20</v>
      </c>
      <c r="L6" s="305"/>
      <c r="M6" s="305"/>
      <c r="N6" s="305"/>
      <c r="O6" s="306"/>
    </row>
    <row r="7" spans="1:19" ht="17.25" thickBot="1">
      <c r="A7" s="4" t="s">
        <v>21</v>
      </c>
      <c r="B7" s="304" t="s">
        <v>22</v>
      </c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01"/>
      <c r="I7" s="302"/>
      <c r="J7" s="4" t="s">
        <v>21</v>
      </c>
      <c r="K7" s="304" t="s">
        <v>23</v>
      </c>
      <c r="L7" s="305"/>
      <c r="M7" s="305"/>
      <c r="N7" s="305"/>
      <c r="O7" s="306"/>
    </row>
    <row r="8" spans="1:19" ht="17.25" thickBot="1">
      <c r="A8" s="4" t="s">
        <v>24</v>
      </c>
      <c r="B8" s="304" t="s">
        <v>25</v>
      </c>
      <c r="C8" s="305"/>
      <c r="D8" s="305"/>
      <c r="E8" s="305"/>
      <c r="F8" s="306"/>
      <c r="G8" s="307" t="s">
        <v>285</v>
      </c>
      <c r="H8" s="308"/>
      <c r="I8" s="309"/>
      <c r="J8" s="4" t="s">
        <v>24</v>
      </c>
      <c r="K8" s="304" t="s">
        <v>26</v>
      </c>
      <c r="L8" s="305"/>
      <c r="M8" s="305"/>
      <c r="N8" s="305"/>
      <c r="O8" s="306"/>
      <c r="Q8" s="279" t="s">
        <v>27</v>
      </c>
      <c r="R8" s="281"/>
    </row>
    <row r="9" spans="1:19" ht="17.25" thickBot="1">
      <c r="A9" s="4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01"/>
      <c r="I9" s="302"/>
      <c r="J9" s="4" t="s">
        <v>28</v>
      </c>
      <c r="K9" s="304" t="s">
        <v>293</v>
      </c>
      <c r="L9" s="305"/>
      <c r="M9" s="305"/>
      <c r="N9" s="305"/>
      <c r="O9" s="306"/>
      <c r="Q9" s="2" t="s">
        <v>29</v>
      </c>
      <c r="R9" s="6">
        <v>10</v>
      </c>
    </row>
    <row r="10" spans="1:19">
      <c r="A10" s="4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/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7" t="s">
        <v>32</v>
      </c>
      <c r="B11" s="297"/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/>
      <c r="L11" s="298"/>
      <c r="M11" s="298"/>
      <c r="N11" s="298"/>
      <c r="O11" s="299"/>
      <c r="Q11" s="61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07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55555000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-3.6323266700000002E-2</v>
      </c>
      <c r="N14" s="286"/>
      <c r="O14" s="287"/>
      <c r="Q14" s="278"/>
      <c r="R14" s="278"/>
      <c r="S14" s="278"/>
    </row>
    <row r="15" spans="1:19" ht="17.25" customHeight="1" thickBot="1">
      <c r="A15" s="303" t="s">
        <v>39</v>
      </c>
      <c r="B15" s="295" t="str">
        <f>TEXT($G$1, "[$-ko-KR]yyyy-mm-dd(ddd) ") &amp; "오전 00:00"</f>
        <v>2021-04-01(목) 오전 00:00</v>
      </c>
      <c r="C15" s="296"/>
      <c r="D15" s="292" t="str">
        <f>TEXT($G$1, "[$-ko-KR]yyyy-mm-dd(ddd) ") &amp; "오후 14:00"</f>
        <v>2021-04-01(목) 오후 14:00</v>
      </c>
      <c r="E15" s="293"/>
      <c r="F15" s="294"/>
      <c r="G15" s="292" t="str">
        <f>TEXT($G$1, "[$-ko-KR]yyyy-mm-dd(ddd) ") &amp; "오후 19:00"</f>
        <v>2021-04-01(목) 오후 19:00</v>
      </c>
      <c r="H15" s="293"/>
      <c r="I15" s="294"/>
      <c r="J15" s="292" t="str">
        <f>TEXT($G$1, "[$-ko-KR]yyyy-mm-dd(ddd) ") &amp; "오후 21:00"</f>
        <v>2021-04-01(목) 오후 21:00</v>
      </c>
      <c r="K15" s="293"/>
      <c r="L15" s="294"/>
      <c r="M15" s="292" t="str">
        <f>TEXT($G$1+1, "[$-ko-KR]yyyy-mm-dd(ddd) ") &amp; "오전 00:00"</f>
        <v>2021-04-02(금) 오전 00:00</v>
      </c>
      <c r="N15" s="293"/>
      <c r="O15" s="294"/>
      <c r="Q15" s="278"/>
      <c r="R15" s="278"/>
      <c r="S15" s="278"/>
    </row>
    <row r="16" spans="1:19" ht="17.25" customHeight="1" thickBot="1">
      <c r="A16" s="30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8"/>
      <c r="R16" s="268"/>
      <c r="S16" s="26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68"/>
      <c r="R22" s="268"/>
      <c r="S22" s="26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69"/>
      <c r="R26" s="270"/>
      <c r="S26" s="27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68"/>
      <c r="R32" s="268"/>
      <c r="S32" s="26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60"/>
      <c r="R36" s="261"/>
      <c r="S36" s="262"/>
    </row>
    <row r="37" spans="1:19" ht="17.25" customHeight="1" thickBot="1">
      <c r="A37" s="26" t="s">
        <v>42</v>
      </c>
      <c r="B37" s="266">
        <v>300000</v>
      </c>
      <c r="C37" s="26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07" t="s">
        <v>298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55555000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-3.6323266700000002E-2</v>
      </c>
      <c r="N41" s="286"/>
      <c r="O41" s="287"/>
      <c r="Q41" s="278"/>
      <c r="R41" s="278"/>
      <c r="S41" s="278"/>
    </row>
    <row r="42" spans="1:19" ht="17.25" customHeight="1" thickBot="1">
      <c r="A42" s="288" t="s">
        <v>55</v>
      </c>
      <c r="B42" s="290" t="str">
        <f>TEXT($G$1, "[$-ko-KR]yyyy-mm-dd(ddd) ") &amp; "오전 00:00"</f>
        <v>2021-04-01(목) 오전 00:00</v>
      </c>
      <c r="C42" s="291"/>
      <c r="D42" s="292" t="str">
        <f>TEXT($G$1, "[$-ko-KR]yyyy-mm-dd(ddd) ") &amp; "오후 14:00"</f>
        <v>2021-04-01(목) 오후 14:00</v>
      </c>
      <c r="E42" s="293"/>
      <c r="F42" s="294"/>
      <c r="G42" s="292" t="str">
        <f>TEXT($G$1, "[$-ko-KR]yyyy-mm-dd(ddd) ") &amp; "오후 19:00"</f>
        <v>2021-04-01(목) 오후 19:00</v>
      </c>
      <c r="H42" s="293"/>
      <c r="I42" s="294"/>
      <c r="J42" s="292" t="str">
        <f>TEXT($G$1, "[$-ko-KR]yyyy-mm-dd(ddd) ") &amp; "오후 21:00"</f>
        <v>2021-04-01(목) 오후 21:00</v>
      </c>
      <c r="K42" s="293"/>
      <c r="L42" s="294"/>
      <c r="M42" s="292" t="str">
        <f>TEXT($G$1+1, "[$-ko-KR]yyyy-mm-dd(ddd) ") &amp; "오전 00:00"</f>
        <v>2021-04-02(금) 오전 00:00</v>
      </c>
      <c r="N42" s="293"/>
      <c r="O42" s="294"/>
      <c r="Q42" s="278"/>
      <c r="R42" s="278"/>
      <c r="S42" s="278"/>
    </row>
    <row r="43" spans="1:19" ht="17.25" customHeight="1" thickBot="1">
      <c r="A43" s="28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8"/>
      <c r="R43" s="268"/>
      <c r="S43" s="26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78"/>
      <c r="R44" s="278"/>
      <c r="S44" s="27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78"/>
      <c r="R45" s="278"/>
      <c r="S45" s="27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8"/>
      <c r="R46" s="268"/>
      <c r="S46" s="26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8"/>
      <c r="R47" s="268"/>
      <c r="S47" s="26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8"/>
      <c r="R48" s="268"/>
      <c r="S48" s="268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268"/>
      <c r="R49" s="268"/>
      <c r="S49" s="26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8"/>
      <c r="R50" s="268"/>
      <c r="S50" s="26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8"/>
      <c r="R51" s="268"/>
      <c r="S51" s="26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269"/>
      <c r="R53" s="270"/>
      <c r="S53" s="27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2"/>
      <c r="R54" s="273"/>
      <c r="S54" s="27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5"/>
      <c r="R55" s="276"/>
      <c r="S55" s="27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8"/>
      <c r="R56" s="268"/>
      <c r="S56" s="26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78"/>
      <c r="R57" s="278"/>
      <c r="S57" s="27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78"/>
      <c r="R58" s="278"/>
      <c r="S58" s="278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268"/>
      <c r="R59" s="268"/>
      <c r="S59" s="26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8"/>
      <c r="R60" s="268"/>
      <c r="S60" s="26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260"/>
      <c r="R63" s="261"/>
      <c r="S63" s="262"/>
    </row>
    <row r="64" spans="1:19" ht="17.25" customHeight="1" thickBot="1">
      <c r="A64" s="26" t="s">
        <v>301</v>
      </c>
      <c r="B64" s="266">
        <f>$B$37</f>
        <v>300000</v>
      </c>
      <c r="C64" s="267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07" t="s">
        <v>298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55555000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-3.6323266700000002E-2</v>
      </c>
      <c r="N68" s="286"/>
      <c r="O68" s="287"/>
      <c r="Q68" s="278"/>
      <c r="R68" s="278"/>
      <c r="S68" s="278"/>
    </row>
    <row r="69" spans="1:19" ht="17.25" thickBot="1">
      <c r="A69" s="288" t="s">
        <v>55</v>
      </c>
      <c r="B69" s="290" t="str">
        <f>TEXT($G$1, "[$-ko-KR]yyyy-mm-dd(ddd) ") &amp; "오전 00:00"</f>
        <v>2021-04-01(목) 오전 00:00</v>
      </c>
      <c r="C69" s="291"/>
      <c r="D69" s="292" t="str">
        <f>TEXT($G$1, "[$-ko-KR]yyyy-mm-dd(ddd) ") &amp; "오후 14:00"</f>
        <v>2021-04-01(목) 오후 14:00</v>
      </c>
      <c r="E69" s="293"/>
      <c r="F69" s="294"/>
      <c r="G69" s="292" t="str">
        <f>TEXT($G$1, "[$-ko-KR]yyyy-mm-dd(ddd) ") &amp; "오후 19:00"</f>
        <v>2021-04-01(목) 오후 19:00</v>
      </c>
      <c r="H69" s="293"/>
      <c r="I69" s="294"/>
      <c r="J69" s="292" t="str">
        <f>TEXT($G$1, "[$-ko-KR]yyyy-mm-dd(ddd) ") &amp; "오후 21:00"</f>
        <v>2021-04-01(목) 오후 21:00</v>
      </c>
      <c r="K69" s="293"/>
      <c r="L69" s="294"/>
      <c r="M69" s="292" t="str">
        <f>TEXT($G$1+1, "[$-ko-KR]yyyy-mm-dd(ddd) ") &amp; "오전 00:00"</f>
        <v>2021-04-02(금) 오전 00:00</v>
      </c>
      <c r="N69" s="293"/>
      <c r="O69" s="294"/>
      <c r="Q69" s="278"/>
      <c r="R69" s="278"/>
      <c r="S69" s="278"/>
    </row>
    <row r="70" spans="1:19" ht="17.25" thickBot="1">
      <c r="A70" s="28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8"/>
      <c r="R70" s="268"/>
      <c r="S70" s="26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78"/>
      <c r="R71" s="278"/>
      <c r="S71" s="27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78"/>
      <c r="R72" s="278"/>
      <c r="S72" s="27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8"/>
      <c r="R73" s="268"/>
      <c r="S73" s="26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8"/>
      <c r="R74" s="268"/>
      <c r="S74" s="26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8"/>
      <c r="R75" s="268"/>
      <c r="S75" s="268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268"/>
      <c r="R76" s="268"/>
      <c r="S76" s="26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8"/>
      <c r="R77" s="268"/>
      <c r="S77" s="26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8"/>
      <c r="R78" s="268"/>
      <c r="S78" s="26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269"/>
      <c r="R80" s="270"/>
      <c r="S80" s="27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2"/>
      <c r="R81" s="273"/>
      <c r="S81" s="27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5"/>
      <c r="R82" s="276"/>
      <c r="S82" s="27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8"/>
      <c r="R83" s="268"/>
      <c r="S83" s="26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78"/>
      <c r="R84" s="278"/>
      <c r="S84" s="27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78"/>
      <c r="R85" s="278"/>
      <c r="S85" s="278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268"/>
      <c r="R86" s="268"/>
      <c r="S86" s="26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8"/>
      <c r="R87" s="268"/>
      <c r="S87" s="26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8"/>
      <c r="R88" s="268"/>
      <c r="S88" s="26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57"/>
      <c r="R89" s="258"/>
      <c r="S89" s="25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260"/>
      <c r="R90" s="261"/>
      <c r="S90" s="262"/>
    </row>
    <row r="91" spans="1:19" ht="17.25" thickBot="1">
      <c r="A91" s="26" t="s">
        <v>301</v>
      </c>
      <c r="B91" s="266">
        <f>$B$37</f>
        <v>300000</v>
      </c>
      <c r="C91" s="267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07" t="s">
        <v>298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55555000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-3.6323266700000002E-2</v>
      </c>
      <c r="N95" s="286"/>
      <c r="O95" s="287"/>
      <c r="Q95" s="278"/>
      <c r="R95" s="278"/>
      <c r="S95" s="278"/>
    </row>
    <row r="96" spans="1:19" ht="17.25" thickBot="1">
      <c r="A96" s="288" t="s">
        <v>55</v>
      </c>
      <c r="B96" s="290" t="str">
        <f>TEXT($G$1, "[$-ko-KR]yyyy-mm-dd(ddd) ") &amp; "오전 00:00"</f>
        <v>2021-04-01(목) 오전 00:00</v>
      </c>
      <c r="C96" s="291"/>
      <c r="D96" s="292" t="str">
        <f>TEXT($G$1, "[$-ko-KR]yyyy-mm-dd(ddd) ") &amp; "오후 14:00"</f>
        <v>2021-04-01(목) 오후 14:00</v>
      </c>
      <c r="E96" s="293"/>
      <c r="F96" s="294"/>
      <c r="G96" s="292" t="str">
        <f>TEXT($G$1, "[$-ko-KR]yyyy-mm-dd(ddd) ") &amp; "오후 19:00"</f>
        <v>2021-04-01(목) 오후 19:00</v>
      </c>
      <c r="H96" s="293"/>
      <c r="I96" s="294"/>
      <c r="J96" s="292" t="str">
        <f>TEXT($G$1, "[$-ko-KR]yyyy-mm-dd(ddd) ") &amp; "오후 21:00"</f>
        <v>2021-04-01(목) 오후 21:00</v>
      </c>
      <c r="K96" s="293"/>
      <c r="L96" s="294"/>
      <c r="M96" s="292" t="str">
        <f>TEXT($G$1+1, "[$-ko-KR]yyyy-mm-dd(ddd) ") &amp; "오전 00:00"</f>
        <v>2021-04-02(금) 오전 00:00</v>
      </c>
      <c r="N96" s="293"/>
      <c r="O96" s="294"/>
      <c r="Q96" s="278"/>
      <c r="R96" s="278"/>
      <c r="S96" s="278"/>
    </row>
    <row r="97" spans="1:19" ht="17.25" thickBot="1">
      <c r="A97" s="28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8"/>
      <c r="R97" s="268"/>
      <c r="S97" s="26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78"/>
      <c r="R98" s="278"/>
      <c r="S98" s="27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78"/>
      <c r="R99" s="278"/>
      <c r="S99" s="27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8"/>
      <c r="R100" s="268"/>
      <c r="S100" s="26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8"/>
      <c r="R101" s="268"/>
      <c r="S101" s="26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8"/>
      <c r="R102" s="268"/>
      <c r="S102" s="268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268"/>
      <c r="R103" s="268"/>
      <c r="S103" s="26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8"/>
      <c r="R104" s="268"/>
      <c r="S104" s="26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8"/>
      <c r="R105" s="268"/>
      <c r="S105" s="26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269"/>
      <c r="R107" s="270"/>
      <c r="S107" s="27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2"/>
      <c r="R108" s="273"/>
      <c r="S108" s="27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5"/>
      <c r="R109" s="276"/>
      <c r="S109" s="27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8"/>
      <c r="R110" s="268"/>
      <c r="S110" s="26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78"/>
      <c r="R111" s="278"/>
      <c r="S111" s="27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78"/>
      <c r="R112" s="278"/>
      <c r="S112" s="278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268"/>
      <c r="R113" s="268"/>
      <c r="S113" s="26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8"/>
      <c r="R114" s="268"/>
      <c r="S114" s="26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8"/>
      <c r="R115" s="268"/>
      <c r="S115" s="26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57"/>
      <c r="R116" s="258"/>
      <c r="S116" s="25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260"/>
      <c r="R117" s="261"/>
      <c r="S117" s="262"/>
    </row>
    <row r="118" spans="1:19" ht="17.25" thickBot="1">
      <c r="A118" s="26" t="s">
        <v>301</v>
      </c>
      <c r="B118" s="266">
        <f>$B$37</f>
        <v>300000</v>
      </c>
      <c r="C118" s="267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79" t="s">
        <v>288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07" t="s">
        <v>298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55555000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-3.6323266700000002E-2</v>
      </c>
      <c r="N122" s="286"/>
      <c r="O122" s="287"/>
      <c r="Q122" s="278"/>
      <c r="R122" s="278"/>
      <c r="S122" s="278"/>
    </row>
    <row r="123" spans="1:19" ht="17.25" thickBot="1">
      <c r="A123" s="288" t="s">
        <v>55</v>
      </c>
      <c r="B123" s="290" t="str">
        <f>TEXT($G$1, "[$-ko-KR]yyyy-mm-dd(ddd) ") &amp; "오전 00:00"</f>
        <v>2021-04-01(목) 오전 00:00</v>
      </c>
      <c r="C123" s="291"/>
      <c r="D123" s="292" t="str">
        <f>TEXT($G$1, "[$-ko-KR]yyyy-mm-dd(ddd) ") &amp; "오후 14:00"</f>
        <v>2021-04-01(목) 오후 14:00</v>
      </c>
      <c r="E123" s="293"/>
      <c r="F123" s="294"/>
      <c r="G123" s="292" t="str">
        <f>TEXT($G$1, "[$-ko-KR]yyyy-mm-dd(ddd) ") &amp; "오후 19:00"</f>
        <v>2021-04-01(목) 오후 19:00</v>
      </c>
      <c r="H123" s="293"/>
      <c r="I123" s="294"/>
      <c r="J123" s="292" t="str">
        <f>TEXT($G$1, "[$-ko-KR]yyyy-mm-dd(ddd) ") &amp; "오후 21:00"</f>
        <v>2021-04-01(목) 오후 21:00</v>
      </c>
      <c r="K123" s="293"/>
      <c r="L123" s="294"/>
      <c r="M123" s="292" t="str">
        <f>TEXT($G$1+1, "[$-ko-KR]yyyy-mm-dd(ddd) ") &amp; "오전 00:00"</f>
        <v>2021-04-02(금) 오전 00:00</v>
      </c>
      <c r="N123" s="293"/>
      <c r="O123" s="294"/>
      <c r="Q123" s="278"/>
      <c r="R123" s="278"/>
      <c r="S123" s="278"/>
    </row>
    <row r="124" spans="1:19" ht="17.25" thickBot="1">
      <c r="A124" s="28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8"/>
      <c r="R124" s="268"/>
      <c r="S124" s="26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78"/>
      <c r="R125" s="278"/>
      <c r="S125" s="27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78"/>
      <c r="R126" s="278"/>
      <c r="S126" s="27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8"/>
      <c r="R127" s="268"/>
      <c r="S127" s="26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8"/>
      <c r="R128" s="268"/>
      <c r="S128" s="26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8"/>
      <c r="R129" s="268"/>
      <c r="S129" s="268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268"/>
      <c r="R130" s="268"/>
      <c r="S130" s="26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8"/>
      <c r="R131" s="268"/>
      <c r="S131" s="26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8"/>
      <c r="R132" s="268"/>
      <c r="S132" s="26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269"/>
      <c r="R134" s="270"/>
      <c r="S134" s="27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2"/>
      <c r="R135" s="273"/>
      <c r="S135" s="27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5"/>
      <c r="R136" s="276"/>
      <c r="S136" s="27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8"/>
      <c r="R137" s="268"/>
      <c r="S137" s="26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78"/>
      <c r="R138" s="278"/>
      <c r="S138" s="27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78"/>
      <c r="R139" s="278"/>
      <c r="S139" s="278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268"/>
      <c r="R140" s="268"/>
      <c r="S140" s="26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8"/>
      <c r="R141" s="268"/>
      <c r="S141" s="26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260"/>
      <c r="R144" s="261"/>
      <c r="S144" s="262"/>
    </row>
    <row r="145" spans="1:19" ht="17.25" thickBot="1">
      <c r="A145" s="26" t="s">
        <v>301</v>
      </c>
      <c r="B145" s="266">
        <f>$B$37</f>
        <v>300000</v>
      </c>
      <c r="C145" s="267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79" t="s">
        <v>289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07" t="s">
        <v>298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55555000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-3.6323266700000002E-2</v>
      </c>
      <c r="N149" s="286"/>
      <c r="O149" s="287"/>
      <c r="Q149" s="278"/>
      <c r="R149" s="278"/>
      <c r="S149" s="278"/>
    </row>
    <row r="150" spans="1:19" ht="17.25" thickBot="1">
      <c r="A150" s="288" t="s">
        <v>55</v>
      </c>
      <c r="B150" s="290" t="str">
        <f>TEXT($G$1, "[$-ko-KR]yyyy-mm-dd(ddd) ") &amp; "오전 00:00"</f>
        <v>2021-04-01(목) 오전 00:00</v>
      </c>
      <c r="C150" s="291"/>
      <c r="D150" s="292" t="str">
        <f>TEXT($G$1, "[$-ko-KR]yyyy-mm-dd(ddd) ") &amp; "오후 14:00"</f>
        <v>2021-04-01(목) 오후 14:00</v>
      </c>
      <c r="E150" s="293"/>
      <c r="F150" s="294"/>
      <c r="G150" s="292" t="str">
        <f>TEXT($G$1, "[$-ko-KR]yyyy-mm-dd(ddd) ") &amp; "오후 19:00"</f>
        <v>2021-04-01(목) 오후 19:00</v>
      </c>
      <c r="H150" s="293"/>
      <c r="I150" s="294"/>
      <c r="J150" s="292" t="str">
        <f>TEXT($G$1, "[$-ko-KR]yyyy-mm-dd(ddd) ") &amp; "오후 21:00"</f>
        <v>2021-04-01(목) 오후 21:00</v>
      </c>
      <c r="K150" s="293"/>
      <c r="L150" s="294"/>
      <c r="M150" s="292" t="str">
        <f>TEXT($G$1+1, "[$-ko-KR]yyyy-mm-dd(ddd) ") &amp; "오전 00:00"</f>
        <v>2021-04-02(금) 오전 00:00</v>
      </c>
      <c r="N150" s="293"/>
      <c r="O150" s="294"/>
      <c r="Q150" s="278"/>
      <c r="R150" s="278"/>
      <c r="S150" s="278"/>
    </row>
    <row r="151" spans="1:19" ht="17.25" thickBot="1">
      <c r="A151" s="28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8"/>
      <c r="R151" s="268"/>
      <c r="S151" s="26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78"/>
      <c r="R152" s="278"/>
      <c r="S152" s="27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78"/>
      <c r="R153" s="278"/>
      <c r="S153" s="27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8"/>
      <c r="R154" s="268"/>
      <c r="S154" s="26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8"/>
      <c r="R155" s="268"/>
      <c r="S155" s="26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8"/>
      <c r="R156" s="268"/>
      <c r="S156" s="268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268"/>
      <c r="R157" s="268"/>
      <c r="S157" s="26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8"/>
      <c r="R158" s="268"/>
      <c r="S158" s="26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8"/>
      <c r="R159" s="268"/>
      <c r="S159" s="26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269"/>
      <c r="R161" s="270"/>
      <c r="S161" s="27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2"/>
      <c r="R162" s="273"/>
      <c r="S162" s="27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5"/>
      <c r="R163" s="276"/>
      <c r="S163" s="27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8"/>
      <c r="R164" s="268"/>
      <c r="S164" s="26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78"/>
      <c r="R165" s="278"/>
      <c r="S165" s="27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78"/>
      <c r="R166" s="278"/>
      <c r="S166" s="278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268"/>
      <c r="R167" s="268"/>
      <c r="S167" s="26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8"/>
      <c r="R168" s="268"/>
      <c r="S168" s="26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8"/>
      <c r="R169" s="268"/>
      <c r="S169" s="26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57"/>
      <c r="R170" s="258"/>
      <c r="S170" s="25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260"/>
      <c r="R171" s="261"/>
      <c r="S171" s="262"/>
    </row>
    <row r="172" spans="1:19" ht="17.25" thickBot="1">
      <c r="A172" s="26" t="s">
        <v>301</v>
      </c>
      <c r="B172" s="266">
        <f>$B$37</f>
        <v>300000</v>
      </c>
      <c r="C172" s="267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79" t="s">
        <v>285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07" t="s">
        <v>298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55555000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-3.6323266700000002E-2</v>
      </c>
      <c r="N176" s="286"/>
      <c r="O176" s="287"/>
      <c r="Q176" s="278"/>
      <c r="R176" s="278"/>
      <c r="S176" s="278"/>
    </row>
    <row r="177" spans="1:19" ht="17.25" thickBot="1">
      <c r="A177" s="288" t="s">
        <v>55</v>
      </c>
      <c r="B177" s="290" t="str">
        <f>TEXT($G$1, "[$-ko-KR]yyyy-mm-dd(ddd) ") &amp; "오전 00:00"</f>
        <v>2021-04-01(목) 오전 00:00</v>
      </c>
      <c r="C177" s="291"/>
      <c r="D177" s="292" t="str">
        <f>TEXT($G$1, "[$-ko-KR]yyyy-mm-dd(ddd) ") &amp; "오후 14:00"</f>
        <v>2021-04-01(목) 오후 14:00</v>
      </c>
      <c r="E177" s="293"/>
      <c r="F177" s="294"/>
      <c r="G177" s="292" t="str">
        <f>TEXT($G$1, "[$-ko-KR]yyyy-mm-dd(ddd) ") &amp; "오후 19:00"</f>
        <v>2021-04-01(목) 오후 19:00</v>
      </c>
      <c r="H177" s="293"/>
      <c r="I177" s="294"/>
      <c r="J177" s="292" t="str">
        <f>TEXT($G$1, "[$-ko-KR]yyyy-mm-dd(ddd) ") &amp; "오후 21:00"</f>
        <v>2021-04-01(목) 오후 21:00</v>
      </c>
      <c r="K177" s="293"/>
      <c r="L177" s="294"/>
      <c r="M177" s="292" t="str">
        <f>TEXT($G$1+1, "[$-ko-KR]yyyy-mm-dd(ddd) ") &amp; "오전 00:00"</f>
        <v>2021-04-02(금) 오전 00:00</v>
      </c>
      <c r="N177" s="293"/>
      <c r="O177" s="294"/>
      <c r="Q177" s="278"/>
      <c r="R177" s="278"/>
      <c r="S177" s="278"/>
    </row>
    <row r="178" spans="1:19" ht="17.25" thickBot="1">
      <c r="A178" s="28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8"/>
      <c r="R178" s="268"/>
      <c r="S178" s="26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78"/>
      <c r="R179" s="278"/>
      <c r="S179" s="27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78"/>
      <c r="R180" s="278"/>
      <c r="S180" s="27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8"/>
      <c r="R181" s="268"/>
      <c r="S181" s="26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8"/>
      <c r="R182" s="268"/>
      <c r="S182" s="26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8"/>
      <c r="R183" s="268"/>
      <c r="S183" s="268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268"/>
      <c r="R184" s="268"/>
      <c r="S184" s="26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8"/>
      <c r="R185" s="268"/>
      <c r="S185" s="26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8"/>
      <c r="R186" s="268"/>
      <c r="S186" s="26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269"/>
      <c r="R188" s="270"/>
      <c r="S188" s="27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2"/>
      <c r="R189" s="273"/>
      <c r="S189" s="27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5"/>
      <c r="R190" s="276"/>
      <c r="S190" s="27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8"/>
      <c r="R191" s="268"/>
      <c r="S191" s="26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78"/>
      <c r="R192" s="278"/>
      <c r="S192" s="27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78"/>
      <c r="R193" s="278"/>
      <c r="S193" s="278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268"/>
      <c r="R194" s="268"/>
      <c r="S194" s="26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8"/>
      <c r="R195" s="268"/>
      <c r="S195" s="26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8"/>
      <c r="R196" s="268"/>
      <c r="S196" s="26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57"/>
      <c r="R197" s="258"/>
      <c r="S197" s="25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260"/>
      <c r="R198" s="261"/>
      <c r="S198" s="262"/>
    </row>
    <row r="199" spans="1:19" ht="17.25" thickBot="1">
      <c r="A199" s="26" t="s">
        <v>301</v>
      </c>
      <c r="B199" s="266">
        <f>$B$37</f>
        <v>300000</v>
      </c>
      <c r="C199" s="267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6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23" priority="157">
      <formula>AND($N17 &gt; 0, ISNUMBER($N17))</formula>
    </cfRule>
    <cfRule type="expression" dxfId="3622" priority="158">
      <formula>AND($N17 = 0 * ISNUMBER($N17))</formula>
    </cfRule>
    <cfRule type="expression" dxfId="3621" priority="159">
      <formula>AND($N17 &lt; 0, ISNUMBER($N17))</formula>
    </cfRule>
  </conditionalFormatting>
  <conditionalFormatting sqref="A17:F36">
    <cfRule type="expression" dxfId="3620" priority="166">
      <formula>AND($E17 &gt; 0, ISNUMBER($E17))</formula>
    </cfRule>
    <cfRule type="expression" dxfId="3619" priority="167">
      <formula>AND($E17 = 0 * ISNUMBER($E17))</formula>
    </cfRule>
    <cfRule type="expression" dxfId="3618" priority="168">
      <formula>AND($E17 &lt; 0, ISNUMBER($E17))</formula>
    </cfRule>
  </conditionalFormatting>
  <conditionalFormatting sqref="A17:C36 G17:I36">
    <cfRule type="expression" dxfId="3617" priority="163">
      <formula>AND($H17 &gt; 0, ISNUMBER($H17))</formula>
    </cfRule>
    <cfRule type="expression" dxfId="3616" priority="164">
      <formula>AND($H17 = 0 * ISNUMBER($H17))</formula>
    </cfRule>
    <cfRule type="expression" dxfId="3615" priority="165">
      <formula>AND($H17 &lt; 0, ISNUMBER($H17))</formula>
    </cfRule>
  </conditionalFormatting>
  <conditionalFormatting sqref="A17:C36 J17:L36">
    <cfRule type="expression" dxfId="3614" priority="160">
      <formula>AND($K17 &gt; 0, ISNUMBER($K17))</formula>
    </cfRule>
    <cfRule type="expression" dxfId="3613" priority="161">
      <formula>AND($K17 = 0 * ISNUMBER($K17))</formula>
    </cfRule>
    <cfRule type="expression" dxfId="3612" priority="162">
      <formula>AND($K17 &lt; 0, ISNUMBER($K17))</formula>
    </cfRule>
  </conditionalFormatting>
  <conditionalFormatting sqref="D15:F16 E37:F37">
    <cfRule type="expression" dxfId="3611" priority="154">
      <formula>$E$37 &gt; 0</formula>
    </cfRule>
    <cfRule type="expression" dxfId="3610" priority="155">
      <formula>$E$37 = 0</formula>
    </cfRule>
    <cfRule type="expression" dxfId="3609" priority="156">
      <formula>$E$37 &lt; 0</formula>
    </cfRule>
  </conditionalFormatting>
  <conditionalFormatting sqref="G15:I16 H37:I37">
    <cfRule type="expression" dxfId="3608" priority="151">
      <formula>$H$37 &gt; 0</formula>
    </cfRule>
    <cfRule type="expression" dxfId="3607" priority="152">
      <formula>$H$37 = 0</formula>
    </cfRule>
    <cfRule type="expression" dxfId="3606" priority="153">
      <formula>$H$37 &lt; 0</formula>
    </cfRule>
  </conditionalFormatting>
  <conditionalFormatting sqref="J15:L16 K37:L37">
    <cfRule type="expression" dxfId="3605" priority="148">
      <formula>$K$37 &gt; 0</formula>
    </cfRule>
    <cfRule type="expression" dxfId="3604" priority="149">
      <formula>$K$37 = 0</formula>
    </cfRule>
    <cfRule type="expression" dxfId="3603" priority="150">
      <formula>$K$37 &lt; 0</formula>
    </cfRule>
  </conditionalFormatting>
  <conditionalFormatting sqref="M15:O16 N37:O37">
    <cfRule type="expression" dxfId="3602" priority="145">
      <formula>$N$37 &gt; 0</formula>
    </cfRule>
    <cfRule type="expression" dxfId="3601" priority="146">
      <formula>$N$37 = 0</formula>
    </cfRule>
    <cfRule type="expression" dxfId="3600" priority="147">
      <formula>$N$37 &lt; 0</formula>
    </cfRule>
  </conditionalFormatting>
  <conditionalFormatting sqref="A44:C63 M44:O63">
    <cfRule type="expression" dxfId="3599" priority="133">
      <formula>AND($N44 &gt; 0, ISNUMBER($N44))</formula>
    </cfRule>
    <cfRule type="expression" dxfId="3598" priority="134">
      <formula>AND($N44 = 0 * ISNUMBER($N44))</formula>
    </cfRule>
    <cfRule type="expression" dxfId="3597" priority="135">
      <formula>AND($N44 &lt; 0, ISNUMBER($N44))</formula>
    </cfRule>
  </conditionalFormatting>
  <conditionalFormatting sqref="A44:F63">
    <cfRule type="expression" dxfId="3596" priority="142">
      <formula>AND($E44 &gt; 0, ISNUMBER($E44))</formula>
    </cfRule>
    <cfRule type="expression" dxfId="3595" priority="143">
      <formula>AND($E44 = 0 * ISNUMBER($E44))</formula>
    </cfRule>
    <cfRule type="expression" dxfId="3594" priority="144">
      <formula>AND($E44 &lt; 0, ISNUMBER($E44))</formula>
    </cfRule>
  </conditionalFormatting>
  <conditionalFormatting sqref="A44:C63 G44:I63">
    <cfRule type="expression" dxfId="3593" priority="139">
      <formula>AND($H44 &gt; 0, ISNUMBER($H44))</formula>
    </cfRule>
    <cfRule type="expression" dxfId="3592" priority="140">
      <formula>AND($H44 = 0 * ISNUMBER($H44))</formula>
    </cfRule>
    <cfRule type="expression" dxfId="3591" priority="141">
      <formula>AND($H44 &lt; 0, ISNUMBER($H44))</formula>
    </cfRule>
  </conditionalFormatting>
  <conditionalFormatting sqref="A44:C63 J44:L63">
    <cfRule type="expression" dxfId="3590" priority="136">
      <formula>AND($K44 &gt; 0, ISNUMBER($K44))</formula>
    </cfRule>
    <cfRule type="expression" dxfId="3589" priority="137">
      <formula>AND($K44 = 0 * ISNUMBER($K44))</formula>
    </cfRule>
    <cfRule type="expression" dxfId="3588" priority="138">
      <formula>AND($K44 &lt; 0, ISNUMBER($K44))</formula>
    </cfRule>
  </conditionalFormatting>
  <conditionalFormatting sqref="D42:F43 E64:F64">
    <cfRule type="expression" dxfId="3587" priority="130">
      <formula>$E$64 &gt; 0</formula>
    </cfRule>
    <cfRule type="expression" dxfId="3586" priority="131">
      <formula>$E$64 = 0</formula>
    </cfRule>
    <cfRule type="expression" dxfId="3585" priority="132">
      <formula>$E$64 &lt; 0</formula>
    </cfRule>
  </conditionalFormatting>
  <conditionalFormatting sqref="G42:I43 H64:I64">
    <cfRule type="expression" dxfId="3584" priority="127">
      <formula>$H$64 &gt; 0</formula>
    </cfRule>
    <cfRule type="expression" dxfId="3583" priority="128">
      <formula>$H$64 = 0</formula>
    </cfRule>
    <cfRule type="expression" dxfId="3582" priority="129">
      <formula>$H$64 &lt; 0</formula>
    </cfRule>
  </conditionalFormatting>
  <conditionalFormatting sqref="J42:L43 K64:L64">
    <cfRule type="expression" dxfId="3581" priority="124">
      <formula>$K$64 &gt; 0</formula>
    </cfRule>
    <cfRule type="expression" dxfId="3580" priority="125">
      <formula>$K$64 = 0</formula>
    </cfRule>
    <cfRule type="expression" dxfId="3579" priority="126">
      <formula>$K$64 &lt; 0</formula>
    </cfRule>
  </conditionalFormatting>
  <conditionalFormatting sqref="M42:O43 N64:O64">
    <cfRule type="expression" dxfId="3578" priority="121">
      <formula>$N$64 &gt; 0</formula>
    </cfRule>
    <cfRule type="expression" dxfId="3577" priority="122">
      <formula>$N$64 = 0</formula>
    </cfRule>
    <cfRule type="expression" dxfId="3576" priority="123">
      <formula>$N$64 &lt; 0</formula>
    </cfRule>
  </conditionalFormatting>
  <conditionalFormatting sqref="A71:C90 M71:O90">
    <cfRule type="expression" dxfId="3575" priority="109">
      <formula>AND($N71 &gt; 0, ISNUMBER($N71))</formula>
    </cfRule>
    <cfRule type="expression" dxfId="3574" priority="110">
      <formula>AND($N71 = 0 * ISNUMBER($N71))</formula>
    </cfRule>
    <cfRule type="expression" dxfId="3573" priority="111">
      <formula>AND($N71 &lt; 0, ISNUMBER($N71))</formula>
    </cfRule>
  </conditionalFormatting>
  <conditionalFormatting sqref="A71:F90">
    <cfRule type="expression" dxfId="3572" priority="118">
      <formula>AND($E71 &gt; 0, ISNUMBER($E71))</formula>
    </cfRule>
    <cfRule type="expression" dxfId="3571" priority="119">
      <formula>AND($E71 = 0 * ISNUMBER($E71))</formula>
    </cfRule>
    <cfRule type="expression" dxfId="3570" priority="120">
      <formula>AND($E71 &lt; 0, ISNUMBER($E71))</formula>
    </cfRule>
  </conditionalFormatting>
  <conditionalFormatting sqref="A71:C90 G71:I90">
    <cfRule type="expression" dxfId="3569" priority="115">
      <formula>AND($H71 &gt; 0, ISNUMBER($H71))</formula>
    </cfRule>
    <cfRule type="expression" dxfId="3568" priority="116">
      <formula>AND($H71 = 0 * ISNUMBER($H71))</formula>
    </cfRule>
    <cfRule type="expression" dxfId="3567" priority="117">
      <formula>AND($H71 &lt; 0, ISNUMBER($H71))</formula>
    </cfRule>
  </conditionalFormatting>
  <conditionalFormatting sqref="A71:C90 J71:L90">
    <cfRule type="expression" dxfId="3566" priority="112">
      <formula>AND($K71 &gt; 0, ISNUMBER($K71))</formula>
    </cfRule>
    <cfRule type="expression" dxfId="3565" priority="113">
      <formula>AND($K71 = 0 * ISNUMBER($K71))</formula>
    </cfRule>
    <cfRule type="expression" dxfId="3564" priority="114">
      <formula>AND($K71 &lt; 0, ISNUMBER($K71))</formula>
    </cfRule>
  </conditionalFormatting>
  <conditionalFormatting sqref="D69:F70 E91:F91">
    <cfRule type="expression" dxfId="3563" priority="106">
      <formula>$E$91 &gt; 0</formula>
    </cfRule>
    <cfRule type="expression" dxfId="3562" priority="107">
      <formula>$E$91 = 0</formula>
    </cfRule>
    <cfRule type="expression" dxfId="3561" priority="108">
      <formula>$E$91 &lt; 0</formula>
    </cfRule>
  </conditionalFormatting>
  <conditionalFormatting sqref="G69:I70 H91:I91">
    <cfRule type="expression" dxfId="3560" priority="103">
      <formula>$H$91 &gt; 0</formula>
    </cfRule>
    <cfRule type="expression" dxfId="3559" priority="104">
      <formula>$H$91 = 0</formula>
    </cfRule>
    <cfRule type="expression" dxfId="3558" priority="105">
      <formula>$H$91 &lt; 0</formula>
    </cfRule>
  </conditionalFormatting>
  <conditionalFormatting sqref="J69:L70 K91:L91">
    <cfRule type="expression" dxfId="3557" priority="100">
      <formula>$K$91 &gt; 0</formula>
    </cfRule>
    <cfRule type="expression" dxfId="3556" priority="101">
      <formula>$K$91 = 0</formula>
    </cfRule>
    <cfRule type="expression" dxfId="3555" priority="102">
      <formula>$K$91 &lt; 0</formula>
    </cfRule>
  </conditionalFormatting>
  <conditionalFormatting sqref="M69:O70 N91:O91">
    <cfRule type="expression" dxfId="3554" priority="97">
      <formula>$N$91 &gt; 0</formula>
    </cfRule>
    <cfRule type="expression" dxfId="3553" priority="98">
      <formula>$N$91 = 0</formula>
    </cfRule>
    <cfRule type="expression" dxfId="3552" priority="99">
      <formula>$N$91 &lt; 0</formula>
    </cfRule>
  </conditionalFormatting>
  <conditionalFormatting sqref="A98:C117 M98:O117">
    <cfRule type="expression" dxfId="3551" priority="85">
      <formula>AND($N98 &gt; 0, ISNUMBER($N98))</formula>
    </cfRule>
    <cfRule type="expression" dxfId="3550" priority="86">
      <formula>AND($N98 = 0 * ISNUMBER($N98))</formula>
    </cfRule>
    <cfRule type="expression" dxfId="3549" priority="87">
      <formula>AND($N98 &lt; 0, ISNUMBER($N98))</formula>
    </cfRule>
  </conditionalFormatting>
  <conditionalFormatting sqref="A98:F117">
    <cfRule type="expression" dxfId="3548" priority="94">
      <formula>AND($E98 &gt; 0, ISNUMBER($E98))</formula>
    </cfRule>
    <cfRule type="expression" dxfId="3547" priority="95">
      <formula>AND($E98 = 0 * ISNUMBER($E98))</formula>
    </cfRule>
    <cfRule type="expression" dxfId="3546" priority="96">
      <formula>AND($E98 &lt; 0, ISNUMBER($E98))</formula>
    </cfRule>
  </conditionalFormatting>
  <conditionalFormatting sqref="A98:C117 G98:I117">
    <cfRule type="expression" dxfId="3545" priority="91">
      <formula>AND($H98 &gt; 0, ISNUMBER($H98))</formula>
    </cfRule>
    <cfRule type="expression" dxfId="3544" priority="92">
      <formula>AND($H98 = 0 * ISNUMBER($H98))</formula>
    </cfRule>
    <cfRule type="expression" dxfId="3543" priority="93">
      <formula>AND($H98 &lt; 0, ISNUMBER($H98))</formula>
    </cfRule>
  </conditionalFormatting>
  <conditionalFormatting sqref="A98:C117 J98:L117">
    <cfRule type="expression" dxfId="3542" priority="88">
      <formula>AND($K98 &gt; 0, ISNUMBER($K98))</formula>
    </cfRule>
    <cfRule type="expression" dxfId="3541" priority="89">
      <formula>AND($K98 = 0 * ISNUMBER($K98))</formula>
    </cfRule>
    <cfRule type="expression" dxfId="3540" priority="90">
      <formula>AND($K98 &lt; 0, ISNUMBER($K98))</formula>
    </cfRule>
  </conditionalFormatting>
  <conditionalFormatting sqref="D96:F97 E118:F118">
    <cfRule type="expression" dxfId="3539" priority="82">
      <formula>$E$118 &gt; 0</formula>
    </cfRule>
    <cfRule type="expression" dxfId="3538" priority="83">
      <formula>$E$118 = 0</formula>
    </cfRule>
    <cfRule type="expression" dxfId="3537" priority="84">
      <formula>$E$118 &lt; 0</formula>
    </cfRule>
  </conditionalFormatting>
  <conditionalFormatting sqref="G96:I97 H118:I118">
    <cfRule type="expression" dxfId="3536" priority="79">
      <formula>$H$118 &gt; 0</formula>
    </cfRule>
    <cfRule type="expression" dxfId="3535" priority="80">
      <formula>$H$118 = 0</formula>
    </cfRule>
    <cfRule type="expression" dxfId="3534" priority="81">
      <formula>$H$118 &lt; 0</formula>
    </cfRule>
  </conditionalFormatting>
  <conditionalFormatting sqref="J96:L97 K118:L118">
    <cfRule type="expression" dxfId="3533" priority="76">
      <formula>$K$118 &gt; 0</formula>
    </cfRule>
    <cfRule type="expression" dxfId="3532" priority="77">
      <formula>$K$118 = 0</formula>
    </cfRule>
    <cfRule type="expression" dxfId="3531" priority="78">
      <formula>$K$118 &lt; 0</formula>
    </cfRule>
  </conditionalFormatting>
  <conditionalFormatting sqref="M96:O97 N118:O118">
    <cfRule type="expression" dxfId="3530" priority="73">
      <formula>$N$118 &gt; 0</formula>
    </cfRule>
    <cfRule type="expression" dxfId="3529" priority="74">
      <formula>$N$118 = 0</formula>
    </cfRule>
    <cfRule type="expression" dxfId="3528" priority="75">
      <formula>$N$118 &lt; 0</formula>
    </cfRule>
  </conditionalFormatting>
  <conditionalFormatting sqref="A125:C144 M125:O144">
    <cfRule type="expression" dxfId="3527" priority="61">
      <formula>AND($N125 &gt; 0, ISNUMBER($N125))</formula>
    </cfRule>
    <cfRule type="expression" dxfId="3526" priority="62">
      <formula>AND($N125 = 0 * ISNUMBER($N125))</formula>
    </cfRule>
    <cfRule type="expression" dxfId="3525" priority="63">
      <formula>AND($N125 &lt; 0, ISNUMBER($N125))</formula>
    </cfRule>
  </conditionalFormatting>
  <conditionalFormatting sqref="A125:F144">
    <cfRule type="expression" dxfId="3524" priority="70">
      <formula>AND($E125 &gt; 0, ISNUMBER($E125))</formula>
    </cfRule>
    <cfRule type="expression" dxfId="3523" priority="71">
      <formula>AND($E125 = 0 * ISNUMBER($E125))</formula>
    </cfRule>
    <cfRule type="expression" dxfId="3522" priority="72">
      <formula>AND($E125 &lt; 0, ISNUMBER($E125))</formula>
    </cfRule>
  </conditionalFormatting>
  <conditionalFormatting sqref="A125:C144 G125:I144">
    <cfRule type="expression" dxfId="3521" priority="67">
      <formula>AND($H125 &gt; 0, ISNUMBER($H125))</formula>
    </cfRule>
    <cfRule type="expression" dxfId="3520" priority="68">
      <formula>AND($H125 = 0 * ISNUMBER($H125))</formula>
    </cfRule>
    <cfRule type="expression" dxfId="3519" priority="69">
      <formula>AND($H125 &lt; 0, ISNUMBER($H125))</formula>
    </cfRule>
  </conditionalFormatting>
  <conditionalFormatting sqref="A125:C144 J125:L144">
    <cfRule type="expression" dxfId="3518" priority="64">
      <formula>AND($K125 &gt; 0, ISNUMBER($K125))</formula>
    </cfRule>
    <cfRule type="expression" dxfId="3517" priority="65">
      <formula>AND($K125 = 0 * ISNUMBER($K125))</formula>
    </cfRule>
    <cfRule type="expression" dxfId="3516" priority="66">
      <formula>AND($K125 &lt; 0, ISNUMBER($K125))</formula>
    </cfRule>
  </conditionalFormatting>
  <conditionalFormatting sqref="D123:F124 E145:F145">
    <cfRule type="expression" dxfId="3515" priority="58">
      <formula>$E$145 &gt; 0</formula>
    </cfRule>
    <cfRule type="expression" dxfId="3514" priority="59">
      <formula>$E$145 = 0</formula>
    </cfRule>
    <cfRule type="expression" dxfId="3513" priority="60">
      <formula>$E$145 &lt; 0</formula>
    </cfRule>
  </conditionalFormatting>
  <conditionalFormatting sqref="G123:I124 H145:I145">
    <cfRule type="expression" dxfId="3512" priority="55">
      <formula>$H$145 &gt; 0</formula>
    </cfRule>
    <cfRule type="expression" dxfId="3511" priority="56">
      <formula>$H$145 = 0</formula>
    </cfRule>
    <cfRule type="expression" dxfId="3510" priority="57">
      <formula>$H$145 &lt; 0</formula>
    </cfRule>
  </conditionalFormatting>
  <conditionalFormatting sqref="J123:L124 K145:L145">
    <cfRule type="expression" dxfId="3509" priority="52">
      <formula>$K$145 &gt; 0</formula>
    </cfRule>
    <cfRule type="expression" dxfId="3508" priority="53">
      <formula>$K$145 = 0</formula>
    </cfRule>
    <cfRule type="expression" dxfId="3507" priority="54">
      <formula>$K$145 &lt; 0</formula>
    </cfRule>
  </conditionalFormatting>
  <conditionalFormatting sqref="M123:O124 N145:O145">
    <cfRule type="expression" dxfId="3506" priority="49">
      <formula>$N$145 &gt; 0</formula>
    </cfRule>
    <cfRule type="expression" dxfId="3505" priority="50">
      <formula>$N$145 = 0</formula>
    </cfRule>
    <cfRule type="expression" dxfId="3504" priority="51">
      <formula>$N$145 &lt; 0</formula>
    </cfRule>
  </conditionalFormatting>
  <conditionalFormatting sqref="A152:C171 M152:O171">
    <cfRule type="expression" dxfId="3503" priority="37">
      <formula>AND($N152 &gt; 0, ISNUMBER($N152))</formula>
    </cfRule>
    <cfRule type="expression" dxfId="3502" priority="38">
      <formula>AND($N152 = 0 * ISNUMBER($N152))</formula>
    </cfRule>
    <cfRule type="expression" dxfId="3501" priority="39">
      <formula>AND($N152 &lt; 0, ISNUMBER($N152))</formula>
    </cfRule>
  </conditionalFormatting>
  <conditionalFormatting sqref="A152:F171">
    <cfRule type="expression" dxfId="3500" priority="46">
      <formula>AND($E152 &gt; 0, ISNUMBER($E152))</formula>
    </cfRule>
    <cfRule type="expression" dxfId="3499" priority="47">
      <formula>AND($E152 = 0 * ISNUMBER($E152))</formula>
    </cfRule>
    <cfRule type="expression" dxfId="3498" priority="48">
      <formula>AND($E152 &lt; 0, ISNUMBER($E152))</formula>
    </cfRule>
  </conditionalFormatting>
  <conditionalFormatting sqref="A152:C171 G152:I171">
    <cfRule type="expression" dxfId="3497" priority="43">
      <formula>AND($H152 &gt; 0, ISNUMBER($H152))</formula>
    </cfRule>
    <cfRule type="expression" dxfId="3496" priority="44">
      <formula>AND($H152 = 0 * ISNUMBER($H152))</formula>
    </cfRule>
    <cfRule type="expression" dxfId="3495" priority="45">
      <formula>AND($H152 &lt; 0, ISNUMBER($H152))</formula>
    </cfRule>
  </conditionalFormatting>
  <conditionalFormatting sqref="A152:C171 J152:L171">
    <cfRule type="expression" dxfId="3494" priority="40">
      <formula>AND($K152 &gt; 0, ISNUMBER($K152))</formula>
    </cfRule>
    <cfRule type="expression" dxfId="3493" priority="41">
      <formula>AND($K152 = 0 * ISNUMBER($K152))</formula>
    </cfRule>
    <cfRule type="expression" dxfId="3492" priority="42">
      <formula>AND($K152 &lt; 0, ISNUMBER($K152))</formula>
    </cfRule>
  </conditionalFormatting>
  <conditionalFormatting sqref="D150:F151 E172:F172">
    <cfRule type="expression" dxfId="3491" priority="34">
      <formula>$E$172 &gt; 0</formula>
    </cfRule>
    <cfRule type="expression" dxfId="3490" priority="35">
      <formula>$E$172 = 0</formula>
    </cfRule>
    <cfRule type="expression" dxfId="3489" priority="36">
      <formula>$E$172 &lt; 0</formula>
    </cfRule>
  </conditionalFormatting>
  <conditionalFormatting sqref="G150:I151 H172:I172">
    <cfRule type="expression" dxfId="3488" priority="31">
      <formula>$H$172 &gt; 0</formula>
    </cfRule>
    <cfRule type="expression" dxfId="3487" priority="32">
      <formula>$H$172 = 0</formula>
    </cfRule>
    <cfRule type="expression" dxfId="3486" priority="33">
      <formula>$H$172 &lt; 0</formula>
    </cfRule>
  </conditionalFormatting>
  <conditionalFormatting sqref="J150:L151 K172:L172">
    <cfRule type="expression" dxfId="3485" priority="28">
      <formula>$K$172 &gt; 0</formula>
    </cfRule>
    <cfRule type="expression" dxfId="3484" priority="29">
      <formula>$K$172 = 0</formula>
    </cfRule>
    <cfRule type="expression" dxfId="3483" priority="30">
      <formula>$K$172 &lt; 0</formula>
    </cfRule>
  </conditionalFormatting>
  <conditionalFormatting sqref="M150:O151 N172:O172">
    <cfRule type="expression" dxfId="3482" priority="25">
      <formula>$N$172 &gt; 0</formula>
    </cfRule>
    <cfRule type="expression" dxfId="3481" priority="26">
      <formula>$N$172 = 0</formula>
    </cfRule>
    <cfRule type="expression" dxfId="3480" priority="27">
      <formula>$N$172 &lt; 0</formula>
    </cfRule>
  </conditionalFormatting>
  <conditionalFormatting sqref="A179:C198 M179:O198">
    <cfRule type="expression" dxfId="3479" priority="13">
      <formula>AND($N179 &gt; 0, ISNUMBER($N179))</formula>
    </cfRule>
    <cfRule type="expression" dxfId="3478" priority="14">
      <formula>AND($N179 = 0 * ISNUMBER($N179))</formula>
    </cfRule>
    <cfRule type="expression" dxfId="3477" priority="15">
      <formula>AND($N179 &lt; 0, ISNUMBER($N179))</formula>
    </cfRule>
  </conditionalFormatting>
  <conditionalFormatting sqref="A179:F198">
    <cfRule type="expression" dxfId="3476" priority="22">
      <formula>AND($E179 &gt; 0, ISNUMBER($E179))</formula>
    </cfRule>
    <cfRule type="expression" dxfId="3475" priority="23">
      <formula>AND($E179 = 0 * ISNUMBER($E179))</formula>
    </cfRule>
    <cfRule type="expression" dxfId="3474" priority="24">
      <formula>AND($E179 &lt; 0, ISNUMBER($E179))</formula>
    </cfRule>
  </conditionalFormatting>
  <conditionalFormatting sqref="A179:C198 G179:I198">
    <cfRule type="expression" dxfId="3473" priority="19">
      <formula>AND($H179 &gt; 0, ISNUMBER($H179))</formula>
    </cfRule>
    <cfRule type="expression" dxfId="3472" priority="20">
      <formula>AND($H179 = 0 * ISNUMBER($H179))</formula>
    </cfRule>
    <cfRule type="expression" dxfId="3471" priority="21">
      <formula>AND($H179 &lt; 0, ISNUMBER($H179))</formula>
    </cfRule>
  </conditionalFormatting>
  <conditionalFormatting sqref="A179:C198 J179:L198">
    <cfRule type="expression" dxfId="3470" priority="16">
      <formula>AND($K179 &gt; 0, ISNUMBER($K179))</formula>
    </cfRule>
    <cfRule type="expression" dxfId="3469" priority="17">
      <formula>AND($K179 = 0 * ISNUMBER($K179))</formula>
    </cfRule>
    <cfRule type="expression" dxfId="3468" priority="18">
      <formula>AND($K179 &lt; 0, ISNUMBER($K179))</formula>
    </cfRule>
  </conditionalFormatting>
  <conditionalFormatting sqref="D177:F178 E199:F199">
    <cfRule type="expression" dxfId="3467" priority="10">
      <formula>$E$199 &gt; 0</formula>
    </cfRule>
    <cfRule type="expression" dxfId="3466" priority="11">
      <formula>$E$199 = 0</formula>
    </cfRule>
    <cfRule type="expression" dxfId="3465" priority="12">
      <formula>$E$199 &lt; 0</formula>
    </cfRule>
  </conditionalFormatting>
  <conditionalFormatting sqref="G177:I178 H199:I199">
    <cfRule type="expression" dxfId="3464" priority="7">
      <formula>$H$199 &gt; 0</formula>
    </cfRule>
    <cfRule type="expression" dxfId="3463" priority="8">
      <formula>$H$199 = 0</formula>
    </cfRule>
    <cfRule type="expression" dxfId="3462" priority="9">
      <formula>$H$199 &lt; 0</formula>
    </cfRule>
  </conditionalFormatting>
  <conditionalFormatting sqref="J177:L178 K199:L199">
    <cfRule type="expression" dxfId="3461" priority="4">
      <formula>$K$199 &gt; 0</formula>
    </cfRule>
    <cfRule type="expression" dxfId="3460" priority="5">
      <formula>$K$199 = 0</formula>
    </cfRule>
    <cfRule type="expression" dxfId="3459" priority="6">
      <formula>$K$199 &lt; 0</formula>
    </cfRule>
  </conditionalFormatting>
  <conditionalFormatting sqref="M177:O178 N199:O199">
    <cfRule type="expression" dxfId="3458" priority="1">
      <formula>$N$199 &gt; 0</formula>
    </cfRule>
    <cfRule type="expression" dxfId="3457" priority="2">
      <formula>$N$199 = 0</formula>
    </cfRule>
    <cfRule type="expression" dxfId="34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44317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6" t="s">
        <v>3</v>
      </c>
      <c r="B2" s="316" t="s">
        <v>8</v>
      </c>
      <c r="C2" s="317"/>
      <c r="D2" s="317"/>
      <c r="E2" s="317"/>
      <c r="F2" s="318"/>
      <c r="G2" s="307" t="s">
        <v>46</v>
      </c>
      <c r="H2" s="308"/>
      <c r="I2" s="309"/>
      <c r="J2" s="116" t="s">
        <v>3</v>
      </c>
      <c r="K2" s="316" t="s">
        <v>376</v>
      </c>
      <c r="L2" s="317"/>
      <c r="M2" s="317"/>
      <c r="N2" s="317"/>
      <c r="O2" s="31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19" t="s">
        <v>384</v>
      </c>
      <c r="C3" s="320"/>
      <c r="D3" s="320"/>
      <c r="E3" s="320"/>
      <c r="F3" s="321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01"/>
      <c r="I3" s="302"/>
      <c r="J3" s="117" t="s">
        <v>7</v>
      </c>
      <c r="K3" s="319" t="s">
        <v>377</v>
      </c>
      <c r="L3" s="320"/>
      <c r="M3" s="320"/>
      <c r="N3" s="320"/>
      <c r="O3" s="32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19" t="s">
        <v>16</v>
      </c>
      <c r="C4" s="320"/>
      <c r="D4" s="320"/>
      <c r="E4" s="320"/>
      <c r="F4" s="321"/>
      <c r="G4" s="307" t="s">
        <v>44</v>
      </c>
      <c r="H4" s="308"/>
      <c r="I4" s="309"/>
      <c r="J4" s="117" t="s">
        <v>11</v>
      </c>
      <c r="K4" s="319" t="s">
        <v>378</v>
      </c>
      <c r="L4" s="320"/>
      <c r="M4" s="320"/>
      <c r="N4" s="320"/>
      <c r="O4" s="321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19" t="s">
        <v>374</v>
      </c>
      <c r="C5" s="320"/>
      <c r="D5" s="320"/>
      <c r="E5" s="320"/>
      <c r="F5" s="321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01"/>
      <c r="I5" s="302"/>
      <c r="J5" s="117" t="s">
        <v>15</v>
      </c>
      <c r="K5" s="319" t="s">
        <v>379</v>
      </c>
      <c r="L5" s="320"/>
      <c r="M5" s="320"/>
      <c r="N5" s="320"/>
      <c r="O5" s="321"/>
    </row>
    <row r="6" spans="1:19">
      <c r="A6" s="117" t="s">
        <v>18</v>
      </c>
      <c r="B6" s="319"/>
      <c r="C6" s="320"/>
      <c r="D6" s="320"/>
      <c r="E6" s="320"/>
      <c r="F6" s="321"/>
      <c r="G6" s="307" t="s">
        <v>45</v>
      </c>
      <c r="H6" s="308"/>
      <c r="I6" s="309"/>
      <c r="J6" s="117" t="s">
        <v>18</v>
      </c>
      <c r="K6" s="319" t="s">
        <v>380</v>
      </c>
      <c r="L6" s="320"/>
      <c r="M6" s="320"/>
      <c r="N6" s="320"/>
      <c r="O6" s="321"/>
    </row>
    <row r="7" spans="1:19" ht="17.25" thickBot="1">
      <c r="A7" s="117" t="s">
        <v>21</v>
      </c>
      <c r="B7" s="319"/>
      <c r="C7" s="320"/>
      <c r="D7" s="320"/>
      <c r="E7" s="320"/>
      <c r="F7" s="321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01"/>
      <c r="I7" s="302"/>
      <c r="J7" s="117" t="s">
        <v>21</v>
      </c>
      <c r="K7" s="319" t="s">
        <v>381</v>
      </c>
      <c r="L7" s="320"/>
      <c r="M7" s="320"/>
      <c r="N7" s="320"/>
      <c r="O7" s="321"/>
    </row>
    <row r="8" spans="1:19" ht="17.25" thickBot="1">
      <c r="A8" s="117" t="s">
        <v>24</v>
      </c>
      <c r="B8" s="319"/>
      <c r="C8" s="320"/>
      <c r="D8" s="320"/>
      <c r="E8" s="320"/>
      <c r="F8" s="321"/>
      <c r="G8" s="307" t="s">
        <v>285</v>
      </c>
      <c r="H8" s="308"/>
      <c r="I8" s="309"/>
      <c r="J8" s="117" t="s">
        <v>24</v>
      </c>
      <c r="K8" s="319"/>
      <c r="L8" s="320"/>
      <c r="M8" s="320"/>
      <c r="N8" s="320"/>
      <c r="O8" s="321"/>
      <c r="Q8" s="279" t="s">
        <v>27</v>
      </c>
      <c r="R8" s="281"/>
    </row>
    <row r="9" spans="1:19" ht="17.25" thickBot="1">
      <c r="A9" s="117" t="s">
        <v>28</v>
      </c>
      <c r="B9" s="319"/>
      <c r="C9" s="320"/>
      <c r="D9" s="320"/>
      <c r="E9" s="320"/>
      <c r="F9" s="321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01"/>
      <c r="I9" s="302"/>
      <c r="J9" s="117" t="s">
        <v>28</v>
      </c>
      <c r="K9" s="319"/>
      <c r="L9" s="320"/>
      <c r="M9" s="320"/>
      <c r="N9" s="320"/>
      <c r="O9" s="321"/>
      <c r="Q9" s="120" t="s">
        <v>29</v>
      </c>
      <c r="R9" s="199">
        <v>10</v>
      </c>
    </row>
    <row r="10" spans="1:19">
      <c r="A10" s="117" t="s">
        <v>30</v>
      </c>
      <c r="B10" s="319"/>
      <c r="C10" s="320"/>
      <c r="D10" s="320"/>
      <c r="E10" s="320"/>
      <c r="F10" s="321"/>
      <c r="G10" s="307" t="s">
        <v>47</v>
      </c>
      <c r="H10" s="308"/>
      <c r="I10" s="309"/>
      <c r="J10" s="117" t="s">
        <v>30</v>
      </c>
      <c r="K10" s="319" t="s">
        <v>382</v>
      </c>
      <c r="L10" s="320"/>
      <c r="M10" s="320"/>
      <c r="N10" s="320"/>
      <c r="O10" s="321"/>
      <c r="Q10" s="120" t="s">
        <v>31</v>
      </c>
      <c r="R10" s="199">
        <v>100</v>
      </c>
    </row>
    <row r="11" spans="1:19" ht="17.25" thickBot="1">
      <c r="A11" s="118" t="s">
        <v>32</v>
      </c>
      <c r="B11" s="325" t="s">
        <v>383</v>
      </c>
      <c r="C11" s="326"/>
      <c r="D11" s="326"/>
      <c r="E11" s="326"/>
      <c r="F11" s="327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118" t="s">
        <v>32</v>
      </c>
      <c r="K11" s="325" t="s">
        <v>373</v>
      </c>
      <c r="L11" s="326"/>
      <c r="M11" s="326"/>
      <c r="N11" s="326"/>
      <c r="O11" s="327"/>
      <c r="Q11" s="189" t="s">
        <v>33</v>
      </c>
      <c r="R11" s="200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86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55555000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-3.6323266700000002E-2</v>
      </c>
      <c r="N14" s="286"/>
      <c r="O14" s="287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2021-05-01(토) 오전 00:00</v>
      </c>
      <c r="C15" s="324"/>
      <c r="D15" s="279" t="str">
        <f>TEXT($G$1, "[$-ko-KR]yyyy-mm-dd(ddd) ") &amp; "오후 14:00"</f>
        <v>2021-05-01(토) 오후 14:00</v>
      </c>
      <c r="E15" s="280"/>
      <c r="F15" s="281"/>
      <c r="G15" s="279" t="str">
        <f>TEXT($G$1, "[$-ko-KR]yyyy-mm-dd(ddd) ") &amp; "오후 19:00"</f>
        <v>2021-05-01(토) 오후 19:00</v>
      </c>
      <c r="H15" s="280"/>
      <c r="I15" s="281"/>
      <c r="J15" s="279" t="str">
        <f>TEXT($G$1, "[$-ko-KR]yyyy-mm-dd(ddd) ") &amp; "오후 21:00"</f>
        <v>2021-05-01(토) 오후 21:00</v>
      </c>
      <c r="K15" s="280"/>
      <c r="L15" s="281"/>
      <c r="M15" s="279" t="str">
        <f>TEXT($G$1+1, "[$-ko-KR]yyyy-mm-dd(ddd) ") &amp; "오전 00:00"</f>
        <v>2021-05-02(일) 오전 00:00</v>
      </c>
      <c r="N15" s="280"/>
      <c r="O15" s="281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268"/>
      <c r="R16" s="268"/>
      <c r="S16" s="268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68"/>
      <c r="R19" s="268"/>
      <c r="S19" s="268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68"/>
      <c r="R20" s="268"/>
      <c r="S20" s="268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68"/>
      <c r="R21" s="268"/>
      <c r="S21" s="268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68"/>
      <c r="R22" s="268"/>
      <c r="S22" s="268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68"/>
      <c r="R23" s="268"/>
      <c r="S23" s="268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68"/>
      <c r="R24" s="268"/>
      <c r="S24" s="268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69"/>
      <c r="R26" s="270"/>
      <c r="S26" s="271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72"/>
      <c r="R27" s="273"/>
      <c r="S27" s="274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75"/>
      <c r="R28" s="276"/>
      <c r="S28" s="277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68"/>
      <c r="R29" s="268"/>
      <c r="S29" s="268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78"/>
      <c r="R30" s="278"/>
      <c r="S30" s="27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78"/>
      <c r="R31" s="278"/>
      <c r="S31" s="27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68"/>
      <c r="R32" s="268"/>
      <c r="S32" s="26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68"/>
      <c r="R33" s="268"/>
      <c r="S33" s="26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68"/>
      <c r="R34" s="268"/>
      <c r="S34" s="26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57"/>
      <c r="R35" s="258"/>
      <c r="S35" s="25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60"/>
      <c r="R36" s="261"/>
      <c r="S36" s="262"/>
    </row>
    <row r="37" spans="1:19" ht="17.25" customHeight="1" thickBot="1">
      <c r="A37" s="131" t="s">
        <v>42</v>
      </c>
      <c r="B37" s="330">
        <v>150000</v>
      </c>
      <c r="C37" s="331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86" t="s">
        <v>298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55555000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-3.6323266700000002E-2</v>
      </c>
      <c r="N41" s="286"/>
      <c r="O41" s="287"/>
      <c r="Q41" s="278"/>
      <c r="R41" s="278"/>
      <c r="S41" s="278"/>
    </row>
    <row r="42" spans="1:19" ht="17.25" customHeight="1" thickBot="1">
      <c r="A42" s="332" t="s">
        <v>55</v>
      </c>
      <c r="B42" s="328" t="str">
        <f>TEXT($G$1, "[$-ko-KR]yyyy-mm-dd(ddd) ") &amp; "오전 00:00"</f>
        <v>2021-05-01(토) 오전 00:00</v>
      </c>
      <c r="C42" s="329"/>
      <c r="D42" s="279" t="str">
        <f>TEXT($G$1, "[$-ko-KR]yyyy-mm-dd(ddd) ") &amp; "오후 14:00"</f>
        <v>2021-05-01(토) 오후 14:00</v>
      </c>
      <c r="E42" s="280"/>
      <c r="F42" s="281"/>
      <c r="G42" s="279" t="str">
        <f>TEXT($G$1, "[$-ko-KR]yyyy-mm-dd(ddd) ") &amp; "오후 19:00"</f>
        <v>2021-05-01(토) 오후 19:00</v>
      </c>
      <c r="H42" s="280"/>
      <c r="I42" s="281"/>
      <c r="J42" s="279" t="str">
        <f>TEXT($G$1, "[$-ko-KR]yyyy-mm-dd(ddd) ") &amp; "오후 21:00"</f>
        <v>2021-05-01(토) 오후 21:00</v>
      </c>
      <c r="K42" s="280"/>
      <c r="L42" s="281"/>
      <c r="M42" s="279" t="str">
        <f>TEXT($G$1+1, "[$-ko-KR]yyyy-mm-dd(ddd) ") &amp; "오전 00:00"</f>
        <v>2021-05-02(일) 오전 00:00</v>
      </c>
      <c r="N42" s="280"/>
      <c r="O42" s="281"/>
      <c r="Q42" s="278"/>
      <c r="R42" s="278"/>
      <c r="S42" s="278"/>
    </row>
    <row r="43" spans="1:19" ht="17.25" customHeight="1" thickBot="1">
      <c r="A43" s="333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268"/>
      <c r="R43" s="268"/>
      <c r="S43" s="268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78"/>
      <c r="R44" s="278"/>
      <c r="S44" s="278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78"/>
      <c r="R45" s="278"/>
      <c r="S45" s="278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68"/>
      <c r="R46" s="268"/>
      <c r="S46" s="268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68"/>
      <c r="R47" s="268"/>
      <c r="S47" s="268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68"/>
      <c r="R48" s="268"/>
      <c r="S48" s="268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68"/>
      <c r="R49" s="268"/>
      <c r="S49" s="268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68"/>
      <c r="R50" s="268"/>
      <c r="S50" s="268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68"/>
      <c r="R51" s="268"/>
      <c r="S51" s="268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69"/>
      <c r="R53" s="270"/>
      <c r="S53" s="271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72"/>
      <c r="R54" s="273"/>
      <c r="S54" s="274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75"/>
      <c r="R55" s="276"/>
      <c r="S55" s="277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68"/>
      <c r="R56" s="268"/>
      <c r="S56" s="268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78"/>
      <c r="R57" s="278"/>
      <c r="S57" s="278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78"/>
      <c r="R58" s="278"/>
      <c r="S58" s="278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68"/>
      <c r="R59" s="268"/>
      <c r="S59" s="268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68"/>
      <c r="R60" s="268"/>
      <c r="S60" s="268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68"/>
      <c r="R61" s="268"/>
      <c r="S61" s="268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57"/>
      <c r="R62" s="258"/>
      <c r="S62" s="259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60"/>
      <c r="R63" s="261"/>
      <c r="S63" s="262"/>
    </row>
    <row r="64" spans="1:19" ht="17.25" customHeight="1" thickBot="1">
      <c r="A64" s="131" t="s">
        <v>301</v>
      </c>
      <c r="B64" s="330">
        <f>$B$37</f>
        <v>150000</v>
      </c>
      <c r="C64" s="331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86" t="s">
        <v>298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55555000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-3.6323266700000002E-2</v>
      </c>
      <c r="N68" s="286"/>
      <c r="O68" s="287"/>
      <c r="Q68" s="278"/>
      <c r="R68" s="278"/>
      <c r="S68" s="278"/>
    </row>
    <row r="69" spans="1:19" ht="17.25" thickBot="1">
      <c r="A69" s="332" t="s">
        <v>55</v>
      </c>
      <c r="B69" s="328" t="str">
        <f>TEXT($G$1, "[$-ko-KR]yyyy-mm-dd(ddd) ") &amp; "오전 00:00"</f>
        <v>2021-05-01(토) 오전 00:00</v>
      </c>
      <c r="C69" s="329"/>
      <c r="D69" s="279" t="str">
        <f>TEXT($G$1, "[$-ko-KR]yyyy-mm-dd(ddd) ") &amp; "오후 14:00"</f>
        <v>2021-05-01(토) 오후 14:00</v>
      </c>
      <c r="E69" s="280"/>
      <c r="F69" s="281"/>
      <c r="G69" s="279" t="str">
        <f>TEXT($G$1, "[$-ko-KR]yyyy-mm-dd(ddd) ") &amp; "오후 19:00"</f>
        <v>2021-05-01(토) 오후 19:00</v>
      </c>
      <c r="H69" s="280"/>
      <c r="I69" s="281"/>
      <c r="J69" s="279" t="str">
        <f>TEXT($G$1, "[$-ko-KR]yyyy-mm-dd(ddd) ") &amp; "오후 21:00"</f>
        <v>2021-05-01(토) 오후 21:00</v>
      </c>
      <c r="K69" s="280"/>
      <c r="L69" s="281"/>
      <c r="M69" s="279" t="str">
        <f>TEXT($G$1+1, "[$-ko-KR]yyyy-mm-dd(ddd) ") &amp; "오전 00:00"</f>
        <v>2021-05-02(일) 오전 00:00</v>
      </c>
      <c r="N69" s="280"/>
      <c r="O69" s="281"/>
      <c r="Q69" s="278"/>
      <c r="R69" s="278"/>
      <c r="S69" s="278"/>
    </row>
    <row r="70" spans="1:19" ht="17.25" thickBot="1">
      <c r="A70" s="333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268"/>
      <c r="R70" s="268"/>
      <c r="S70" s="268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78"/>
      <c r="R71" s="278"/>
      <c r="S71" s="278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78"/>
      <c r="R72" s="278"/>
      <c r="S72" s="278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68"/>
      <c r="R73" s="268"/>
      <c r="S73" s="268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68"/>
      <c r="R74" s="268"/>
      <c r="S74" s="268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68"/>
      <c r="R75" s="268"/>
      <c r="S75" s="268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68"/>
      <c r="R76" s="268"/>
      <c r="S76" s="268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68"/>
      <c r="R77" s="268"/>
      <c r="S77" s="268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68"/>
      <c r="R78" s="268"/>
      <c r="S78" s="268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69"/>
      <c r="R80" s="270"/>
      <c r="S80" s="271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72"/>
      <c r="R81" s="273"/>
      <c r="S81" s="274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75"/>
      <c r="R82" s="276"/>
      <c r="S82" s="277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68"/>
      <c r="R83" s="268"/>
      <c r="S83" s="268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78"/>
      <c r="R84" s="278"/>
      <c r="S84" s="278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78"/>
      <c r="R85" s="278"/>
      <c r="S85" s="278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68"/>
      <c r="R86" s="268"/>
      <c r="S86" s="268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68"/>
      <c r="R87" s="268"/>
      <c r="S87" s="268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68"/>
      <c r="R88" s="268"/>
      <c r="S88" s="268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57"/>
      <c r="R89" s="258"/>
      <c r="S89" s="259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60"/>
      <c r="R90" s="261"/>
      <c r="S90" s="262"/>
    </row>
    <row r="91" spans="1:19" ht="17.25" thickBot="1">
      <c r="A91" s="131" t="s">
        <v>301</v>
      </c>
      <c r="B91" s="330">
        <f>$B$37</f>
        <v>150000</v>
      </c>
      <c r="C91" s="331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86" t="s">
        <v>298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55555000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-3.6323266700000002E-2</v>
      </c>
      <c r="N95" s="286"/>
      <c r="O95" s="287"/>
      <c r="Q95" s="278"/>
      <c r="R95" s="278"/>
      <c r="S95" s="278"/>
    </row>
    <row r="96" spans="1:19" ht="17.25" thickBot="1">
      <c r="A96" s="332" t="s">
        <v>55</v>
      </c>
      <c r="B96" s="328" t="str">
        <f>TEXT($G$1, "[$-ko-KR]yyyy-mm-dd(ddd) ") &amp; "오전 00:00"</f>
        <v>2021-05-01(토) 오전 00:00</v>
      </c>
      <c r="C96" s="329"/>
      <c r="D96" s="279" t="str">
        <f>TEXT($G$1, "[$-ko-KR]yyyy-mm-dd(ddd) ") &amp; "오후 14:00"</f>
        <v>2021-05-01(토) 오후 14:00</v>
      </c>
      <c r="E96" s="280"/>
      <c r="F96" s="281"/>
      <c r="G96" s="279" t="str">
        <f>TEXT($G$1, "[$-ko-KR]yyyy-mm-dd(ddd) ") &amp; "오후 19:00"</f>
        <v>2021-05-01(토) 오후 19:00</v>
      </c>
      <c r="H96" s="280"/>
      <c r="I96" s="281"/>
      <c r="J96" s="279" t="str">
        <f>TEXT($G$1, "[$-ko-KR]yyyy-mm-dd(ddd) ") &amp; "오후 21:00"</f>
        <v>2021-05-01(토) 오후 21:00</v>
      </c>
      <c r="K96" s="280"/>
      <c r="L96" s="281"/>
      <c r="M96" s="279" t="str">
        <f>TEXT($G$1+1, "[$-ko-KR]yyyy-mm-dd(ddd) ") &amp; "오전 00:00"</f>
        <v>2021-05-02(일) 오전 00:00</v>
      </c>
      <c r="N96" s="280"/>
      <c r="O96" s="281"/>
      <c r="Q96" s="278"/>
      <c r="R96" s="278"/>
      <c r="S96" s="278"/>
    </row>
    <row r="97" spans="1:19" ht="17.25" thickBot="1">
      <c r="A97" s="333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268"/>
      <c r="R97" s="268"/>
      <c r="S97" s="268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78"/>
      <c r="R98" s="278"/>
      <c r="S98" s="278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78"/>
      <c r="R99" s="278"/>
      <c r="S99" s="278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68"/>
      <c r="R100" s="268"/>
      <c r="S100" s="268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68"/>
      <c r="R101" s="268"/>
      <c r="S101" s="268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68"/>
      <c r="R102" s="268"/>
      <c r="S102" s="268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68"/>
      <c r="R103" s="268"/>
      <c r="S103" s="268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68"/>
      <c r="R104" s="268"/>
      <c r="S104" s="268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68"/>
      <c r="R105" s="268"/>
      <c r="S105" s="268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69"/>
      <c r="R107" s="270"/>
      <c r="S107" s="271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72"/>
      <c r="R108" s="273"/>
      <c r="S108" s="274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75"/>
      <c r="R109" s="276"/>
      <c r="S109" s="277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68"/>
      <c r="R110" s="268"/>
      <c r="S110" s="268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78"/>
      <c r="R111" s="278"/>
      <c r="S111" s="278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78"/>
      <c r="R112" s="278"/>
      <c r="S112" s="278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68"/>
      <c r="R113" s="268"/>
      <c r="S113" s="268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68"/>
      <c r="R114" s="268"/>
      <c r="S114" s="268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68"/>
      <c r="R115" s="268"/>
      <c r="S115" s="268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57"/>
      <c r="R116" s="258"/>
      <c r="S116" s="259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60"/>
      <c r="R117" s="261"/>
      <c r="S117" s="262"/>
    </row>
    <row r="118" spans="1:19" ht="17.25" thickBot="1">
      <c r="A118" s="131" t="s">
        <v>301</v>
      </c>
      <c r="B118" s="330">
        <f>$B$37</f>
        <v>150000</v>
      </c>
      <c r="C118" s="331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79" t="s">
        <v>288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86" t="s">
        <v>298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55555000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-3.6323266700000002E-2</v>
      </c>
      <c r="N122" s="286"/>
      <c r="O122" s="287"/>
      <c r="Q122" s="278"/>
      <c r="R122" s="278"/>
      <c r="S122" s="278"/>
    </row>
    <row r="123" spans="1:19" ht="17.25" thickBot="1">
      <c r="A123" s="332" t="s">
        <v>55</v>
      </c>
      <c r="B123" s="328" t="str">
        <f>TEXT($G$1, "[$-ko-KR]yyyy-mm-dd(ddd) ") &amp; "오전 00:00"</f>
        <v>2021-05-01(토) 오전 00:00</v>
      </c>
      <c r="C123" s="329"/>
      <c r="D123" s="279" t="str">
        <f>TEXT($G$1, "[$-ko-KR]yyyy-mm-dd(ddd) ") &amp; "오후 14:00"</f>
        <v>2021-05-01(토) 오후 14:00</v>
      </c>
      <c r="E123" s="280"/>
      <c r="F123" s="281"/>
      <c r="G123" s="279" t="str">
        <f>TEXT($G$1, "[$-ko-KR]yyyy-mm-dd(ddd) ") &amp; "오후 19:00"</f>
        <v>2021-05-01(토) 오후 19:00</v>
      </c>
      <c r="H123" s="280"/>
      <c r="I123" s="281"/>
      <c r="J123" s="279" t="str">
        <f>TEXT($G$1, "[$-ko-KR]yyyy-mm-dd(ddd) ") &amp; "오후 21:00"</f>
        <v>2021-05-01(토) 오후 21:00</v>
      </c>
      <c r="K123" s="280"/>
      <c r="L123" s="281"/>
      <c r="M123" s="279" t="str">
        <f>TEXT($G$1+1, "[$-ko-KR]yyyy-mm-dd(ddd) ") &amp; "오전 00:00"</f>
        <v>2021-05-02(일) 오전 00:00</v>
      </c>
      <c r="N123" s="280"/>
      <c r="O123" s="281"/>
      <c r="Q123" s="278"/>
      <c r="R123" s="278"/>
      <c r="S123" s="278"/>
    </row>
    <row r="124" spans="1:19" ht="17.25" thickBot="1">
      <c r="A124" s="333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268"/>
      <c r="R124" s="268"/>
      <c r="S124" s="268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78"/>
      <c r="R125" s="278"/>
      <c r="S125" s="278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78"/>
      <c r="R126" s="278"/>
      <c r="S126" s="278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68"/>
      <c r="R127" s="268"/>
      <c r="S127" s="268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68"/>
      <c r="R128" s="268"/>
      <c r="S128" s="268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68"/>
      <c r="R129" s="268"/>
      <c r="S129" s="268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68"/>
      <c r="R130" s="268"/>
      <c r="S130" s="268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68"/>
      <c r="R131" s="268"/>
      <c r="S131" s="268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68"/>
      <c r="R132" s="268"/>
      <c r="S132" s="268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69"/>
      <c r="R134" s="270"/>
      <c r="S134" s="271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72"/>
      <c r="R135" s="273"/>
      <c r="S135" s="274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75"/>
      <c r="R136" s="276"/>
      <c r="S136" s="277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68"/>
      <c r="R137" s="268"/>
      <c r="S137" s="268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78"/>
      <c r="R138" s="278"/>
      <c r="S138" s="278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78"/>
      <c r="R139" s="278"/>
      <c r="S139" s="278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68"/>
      <c r="R140" s="268"/>
      <c r="S140" s="268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68"/>
      <c r="R141" s="268"/>
      <c r="S141" s="268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68"/>
      <c r="R142" s="268"/>
      <c r="S142" s="268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57"/>
      <c r="R143" s="258"/>
      <c r="S143" s="259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60"/>
      <c r="R144" s="261"/>
      <c r="S144" s="262"/>
    </row>
    <row r="145" spans="1:19" ht="17.25" thickBot="1">
      <c r="A145" s="131" t="s">
        <v>301</v>
      </c>
      <c r="B145" s="330">
        <f>$B$37</f>
        <v>150000</v>
      </c>
      <c r="C145" s="331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79" t="s">
        <v>289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86" t="s">
        <v>298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55555000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-3.6323266700000002E-2</v>
      </c>
      <c r="N149" s="286"/>
      <c r="O149" s="287"/>
      <c r="Q149" s="278"/>
      <c r="R149" s="278"/>
      <c r="S149" s="278"/>
    </row>
    <row r="150" spans="1:19" ht="17.25" thickBot="1">
      <c r="A150" s="332" t="s">
        <v>55</v>
      </c>
      <c r="B150" s="328" t="str">
        <f>TEXT($G$1, "[$-ko-KR]yyyy-mm-dd(ddd) ") &amp; "오전 00:00"</f>
        <v>2021-05-01(토) 오전 00:00</v>
      </c>
      <c r="C150" s="329"/>
      <c r="D150" s="279" t="str">
        <f>TEXT($G$1, "[$-ko-KR]yyyy-mm-dd(ddd) ") &amp; "오후 14:00"</f>
        <v>2021-05-01(토) 오후 14:00</v>
      </c>
      <c r="E150" s="280"/>
      <c r="F150" s="281"/>
      <c r="G150" s="279" t="str">
        <f>TEXT($G$1, "[$-ko-KR]yyyy-mm-dd(ddd) ") &amp; "오후 19:00"</f>
        <v>2021-05-01(토) 오후 19:00</v>
      </c>
      <c r="H150" s="280"/>
      <c r="I150" s="281"/>
      <c r="J150" s="279" t="str">
        <f>TEXT($G$1, "[$-ko-KR]yyyy-mm-dd(ddd) ") &amp; "오후 21:00"</f>
        <v>2021-05-01(토) 오후 21:00</v>
      </c>
      <c r="K150" s="280"/>
      <c r="L150" s="281"/>
      <c r="M150" s="279" t="str">
        <f>TEXT($G$1+1, "[$-ko-KR]yyyy-mm-dd(ddd) ") &amp; "오전 00:00"</f>
        <v>2021-05-02(일) 오전 00:00</v>
      </c>
      <c r="N150" s="280"/>
      <c r="O150" s="281"/>
      <c r="Q150" s="278"/>
      <c r="R150" s="278"/>
      <c r="S150" s="278"/>
    </row>
    <row r="151" spans="1:19" ht="17.25" thickBot="1">
      <c r="A151" s="333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268"/>
      <c r="R151" s="268"/>
      <c r="S151" s="268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78"/>
      <c r="R152" s="278"/>
      <c r="S152" s="278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78"/>
      <c r="R153" s="278"/>
      <c r="S153" s="278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68"/>
      <c r="R154" s="268"/>
      <c r="S154" s="268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68"/>
      <c r="R155" s="268"/>
      <c r="S155" s="268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68"/>
      <c r="R156" s="268"/>
      <c r="S156" s="268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68"/>
      <c r="R157" s="268"/>
      <c r="S157" s="268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68"/>
      <c r="R158" s="268"/>
      <c r="S158" s="268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68"/>
      <c r="R159" s="268"/>
      <c r="S159" s="268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69"/>
      <c r="R161" s="270"/>
      <c r="S161" s="271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72"/>
      <c r="R162" s="273"/>
      <c r="S162" s="274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75"/>
      <c r="R163" s="276"/>
      <c r="S163" s="277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68"/>
      <c r="R164" s="268"/>
      <c r="S164" s="268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78"/>
      <c r="R165" s="278"/>
      <c r="S165" s="278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78"/>
      <c r="R166" s="278"/>
      <c r="S166" s="278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68"/>
      <c r="R167" s="268"/>
      <c r="S167" s="268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68"/>
      <c r="R168" s="268"/>
      <c r="S168" s="268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68"/>
      <c r="R169" s="268"/>
      <c r="S169" s="268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57"/>
      <c r="R170" s="258"/>
      <c r="S170" s="259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60"/>
      <c r="R171" s="261"/>
      <c r="S171" s="262"/>
    </row>
    <row r="172" spans="1:19" ht="17.25" thickBot="1">
      <c r="A172" s="131" t="s">
        <v>301</v>
      </c>
      <c r="B172" s="330">
        <f>$B$37</f>
        <v>150000</v>
      </c>
      <c r="C172" s="331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79" t="s">
        <v>285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86" t="s">
        <v>298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55555000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-3.6323266700000002E-2</v>
      </c>
      <c r="N176" s="286"/>
      <c r="O176" s="287"/>
      <c r="Q176" s="278"/>
      <c r="R176" s="278"/>
      <c r="S176" s="278"/>
    </row>
    <row r="177" spans="1:19" ht="17.25" thickBot="1">
      <c r="A177" s="332" t="s">
        <v>55</v>
      </c>
      <c r="B177" s="328" t="str">
        <f>TEXT($G$1, "[$-ko-KR]yyyy-mm-dd(ddd) ") &amp; "오전 00:00"</f>
        <v>2021-05-01(토) 오전 00:00</v>
      </c>
      <c r="C177" s="329"/>
      <c r="D177" s="279" t="str">
        <f>TEXT($G$1, "[$-ko-KR]yyyy-mm-dd(ddd) ") &amp; "오후 14:00"</f>
        <v>2021-05-01(토) 오후 14:00</v>
      </c>
      <c r="E177" s="280"/>
      <c r="F177" s="281"/>
      <c r="G177" s="279" t="str">
        <f>TEXT($G$1, "[$-ko-KR]yyyy-mm-dd(ddd) ") &amp; "오후 19:00"</f>
        <v>2021-05-01(토) 오후 19:00</v>
      </c>
      <c r="H177" s="280"/>
      <c r="I177" s="281"/>
      <c r="J177" s="279" t="str">
        <f>TEXT($G$1, "[$-ko-KR]yyyy-mm-dd(ddd) ") &amp; "오후 21:00"</f>
        <v>2021-05-01(토) 오후 21:00</v>
      </c>
      <c r="K177" s="280"/>
      <c r="L177" s="281"/>
      <c r="M177" s="279" t="str">
        <f>TEXT($G$1+1, "[$-ko-KR]yyyy-mm-dd(ddd) ") &amp; "오전 00:00"</f>
        <v>2021-05-02(일) 오전 00:00</v>
      </c>
      <c r="N177" s="280"/>
      <c r="O177" s="281"/>
      <c r="Q177" s="278"/>
      <c r="R177" s="278"/>
      <c r="S177" s="278"/>
    </row>
    <row r="178" spans="1:19" ht="17.25" thickBot="1">
      <c r="A178" s="333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268"/>
      <c r="R178" s="268"/>
      <c r="S178" s="268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78"/>
      <c r="R179" s="278"/>
      <c r="S179" s="278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78"/>
      <c r="R180" s="278"/>
      <c r="S180" s="278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68"/>
      <c r="R181" s="268"/>
      <c r="S181" s="268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68"/>
      <c r="R182" s="268"/>
      <c r="S182" s="268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68"/>
      <c r="R183" s="268"/>
      <c r="S183" s="268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68"/>
      <c r="R184" s="268"/>
      <c r="S184" s="268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68"/>
      <c r="R185" s="268"/>
      <c r="S185" s="268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68"/>
      <c r="R186" s="268"/>
      <c r="S186" s="268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69"/>
      <c r="R188" s="270"/>
      <c r="S188" s="271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72"/>
      <c r="R189" s="273"/>
      <c r="S189" s="274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75"/>
      <c r="R190" s="276"/>
      <c r="S190" s="277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68"/>
      <c r="R191" s="268"/>
      <c r="S191" s="268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78"/>
      <c r="R192" s="278"/>
      <c r="S192" s="278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78"/>
      <c r="R193" s="278"/>
      <c r="S193" s="278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68"/>
      <c r="R194" s="268"/>
      <c r="S194" s="268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68"/>
      <c r="R195" s="268"/>
      <c r="S195" s="268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68"/>
      <c r="R196" s="268"/>
      <c r="S196" s="268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57"/>
      <c r="R197" s="258"/>
      <c r="S197" s="259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60"/>
      <c r="R198" s="261"/>
      <c r="S198" s="262"/>
    </row>
    <row r="199" spans="1:19" ht="17.25" thickBot="1">
      <c r="A199" s="131" t="s">
        <v>301</v>
      </c>
      <c r="B199" s="330">
        <f>$B$37</f>
        <v>150000</v>
      </c>
      <c r="C199" s="331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263"/>
      <c r="R199" s="264"/>
      <c r="S199" s="265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45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5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5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5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5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5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4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4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4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4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45" priority="289">
      <formula>AND($N17 &gt; 0, ISNUMBER($N17))</formula>
    </cfRule>
    <cfRule type="expression" dxfId="3444" priority="290">
      <formula>AND($N17 = 0 * ISNUMBER($N17))</formula>
    </cfRule>
    <cfRule type="expression" dxfId="3443" priority="291">
      <formula>AND($N17 &lt; 0, ISNUMBER($N17))</formula>
    </cfRule>
  </conditionalFormatting>
  <conditionalFormatting sqref="A17:C36 D17:F36">
    <cfRule type="expression" dxfId="3442" priority="298">
      <formula>AND($E17 &gt; 0, ISNUMBER($E17))</formula>
    </cfRule>
    <cfRule type="expression" dxfId="3441" priority="299">
      <formula>AND($E17 = 0 * ISNUMBER($E17))</formula>
    </cfRule>
    <cfRule type="expression" dxfId="3440" priority="300">
      <formula>AND($E17 &lt; 0, ISNUMBER($E17))</formula>
    </cfRule>
  </conditionalFormatting>
  <conditionalFormatting sqref="A17:C36 G17:I36">
    <cfRule type="expression" dxfId="3439" priority="295">
      <formula>AND($H17 &gt; 0, ISNUMBER($H17))</formula>
    </cfRule>
    <cfRule type="expression" dxfId="3438" priority="296">
      <formula>AND($H17 = 0 * ISNUMBER($H17))</formula>
    </cfRule>
    <cfRule type="expression" dxfId="3437" priority="297">
      <formula>AND($H17 &lt; 0, ISNUMBER($H17))</formula>
    </cfRule>
  </conditionalFormatting>
  <conditionalFormatting sqref="A17:C36 J17:L36">
    <cfRule type="expression" dxfId="3436" priority="292">
      <formula>AND($K17 &gt; 0, ISNUMBER($K17))</formula>
    </cfRule>
    <cfRule type="expression" dxfId="3435" priority="293">
      <formula>AND($K17 = 0 * ISNUMBER($K17))</formula>
    </cfRule>
    <cfRule type="expression" dxfId="3434" priority="294">
      <formula>AND($K17 &lt; 0, ISNUMBER($K17))</formula>
    </cfRule>
  </conditionalFormatting>
  <conditionalFormatting sqref="D15:F16 E37:F37">
    <cfRule type="expression" dxfId="3433" priority="286">
      <formula>$E$37 &gt; 0</formula>
    </cfRule>
    <cfRule type="expression" dxfId="3432" priority="287">
      <formula>$E$37 = 0</formula>
    </cfRule>
    <cfRule type="expression" dxfId="3431" priority="288">
      <formula>$E$37 &lt; 0</formula>
    </cfRule>
  </conditionalFormatting>
  <conditionalFormatting sqref="G15:I16 H37:I37">
    <cfRule type="expression" dxfId="3430" priority="283">
      <formula>$H$37 &gt; 0</formula>
    </cfRule>
    <cfRule type="expression" dxfId="3429" priority="284">
      <formula>$H$37 = 0</formula>
    </cfRule>
    <cfRule type="expression" dxfId="3428" priority="285">
      <formula>$H$37 &lt; 0</formula>
    </cfRule>
  </conditionalFormatting>
  <conditionalFormatting sqref="J15:L16 K37:L37">
    <cfRule type="expression" dxfId="3427" priority="280">
      <formula>$K$37 &gt; 0</formula>
    </cfRule>
    <cfRule type="expression" dxfId="3426" priority="281">
      <formula>$K$37 = 0</formula>
    </cfRule>
    <cfRule type="expression" dxfId="3425" priority="282">
      <formula>$K$37 &lt; 0</formula>
    </cfRule>
  </conditionalFormatting>
  <conditionalFormatting sqref="M15:O16 N37:O37">
    <cfRule type="expression" dxfId="3424" priority="277">
      <formula>$N$37 &gt; 0</formula>
    </cfRule>
    <cfRule type="expression" dxfId="3423" priority="278">
      <formula>$N$37 = 0</formula>
    </cfRule>
    <cfRule type="expression" dxfId="3422" priority="279">
      <formula>$N$37 &lt; 0</formula>
    </cfRule>
  </conditionalFormatting>
  <conditionalFormatting sqref="A44:C63 M44:O63">
    <cfRule type="expression" dxfId="3421" priority="265">
      <formula>AND($N44 &gt; 0, ISNUMBER($N44))</formula>
    </cfRule>
    <cfRule type="expression" dxfId="3420" priority="266">
      <formula>AND($N44 = 0 * ISNUMBER($N44))</formula>
    </cfRule>
    <cfRule type="expression" dxfId="3419" priority="267">
      <formula>AND($N44 &lt; 0, ISNUMBER($N44))</formula>
    </cfRule>
  </conditionalFormatting>
  <conditionalFormatting sqref="A44:F63">
    <cfRule type="expression" dxfId="3418" priority="274">
      <formula>AND($E44 &gt; 0, ISNUMBER($E44))</formula>
    </cfRule>
    <cfRule type="expression" dxfId="3417" priority="275">
      <formula>AND($E44 = 0 * ISNUMBER($E44))</formula>
    </cfRule>
    <cfRule type="expression" dxfId="3416" priority="276">
      <formula>AND($E44 &lt; 0, ISNUMBER($E44))</formula>
    </cfRule>
  </conditionalFormatting>
  <conditionalFormatting sqref="A44:C63 G44:I63">
    <cfRule type="expression" dxfId="3415" priority="271">
      <formula>AND($H44 &gt; 0, ISNUMBER($H44))</formula>
    </cfRule>
    <cfRule type="expression" dxfId="3414" priority="272">
      <formula>AND($H44 = 0 * ISNUMBER($H44))</formula>
    </cfRule>
    <cfRule type="expression" dxfId="3413" priority="273">
      <formula>AND($H44 &lt; 0, ISNUMBER($H44))</formula>
    </cfRule>
  </conditionalFormatting>
  <conditionalFormatting sqref="A44:C63 J44:L63">
    <cfRule type="expression" dxfId="3412" priority="268">
      <formula>AND($K44 &gt; 0, ISNUMBER($K44))</formula>
    </cfRule>
    <cfRule type="expression" dxfId="3411" priority="269">
      <formula>AND($K44 = 0 * ISNUMBER($K44))</formula>
    </cfRule>
    <cfRule type="expression" dxfId="3410" priority="270">
      <formula>AND($K44 &lt; 0, ISNUMBER($K44))</formula>
    </cfRule>
  </conditionalFormatting>
  <conditionalFormatting sqref="D42:F43 E64:F64">
    <cfRule type="expression" dxfId="3409" priority="262">
      <formula>$E$64 &gt; 0</formula>
    </cfRule>
    <cfRule type="expression" dxfId="3408" priority="263">
      <formula>$E$64 = 0</formula>
    </cfRule>
    <cfRule type="expression" dxfId="3407" priority="264">
      <formula>$E$64 &lt; 0</formula>
    </cfRule>
  </conditionalFormatting>
  <conditionalFormatting sqref="G42:I43 H64:I64">
    <cfRule type="expression" dxfId="3406" priority="259">
      <formula>$H$64 &gt; 0</formula>
    </cfRule>
    <cfRule type="expression" dxfId="3405" priority="260">
      <formula>$H$64 = 0</formula>
    </cfRule>
    <cfRule type="expression" dxfId="3404" priority="261">
      <formula>$H$64 &lt; 0</formula>
    </cfRule>
  </conditionalFormatting>
  <conditionalFormatting sqref="J42:L43 K64:L64">
    <cfRule type="expression" dxfId="3403" priority="256">
      <formula>$K$64 &gt; 0</formula>
    </cfRule>
    <cfRule type="expression" dxfId="3402" priority="257">
      <formula>$K$64 = 0</formula>
    </cfRule>
    <cfRule type="expression" dxfId="3401" priority="258">
      <formula>$K$64 &lt; 0</formula>
    </cfRule>
  </conditionalFormatting>
  <conditionalFormatting sqref="M42:O43 N64:O64">
    <cfRule type="expression" dxfId="3400" priority="253">
      <formula>$N$64 &gt; 0</formula>
    </cfRule>
    <cfRule type="expression" dxfId="3399" priority="254">
      <formula>$N$64 = 0</formula>
    </cfRule>
    <cfRule type="expression" dxfId="3398" priority="255">
      <formula>$N$64 &lt; 0</formula>
    </cfRule>
  </conditionalFormatting>
  <conditionalFormatting sqref="A71:C90 M71:O90">
    <cfRule type="expression" dxfId="3397" priority="109">
      <formula>AND($N71 &gt; 0, ISNUMBER($N71))</formula>
    </cfRule>
    <cfRule type="expression" dxfId="3396" priority="110">
      <formula>AND($N71 = 0 * ISNUMBER($N71))</formula>
    </cfRule>
    <cfRule type="expression" dxfId="3395" priority="111">
      <formula>AND($N71 &lt; 0, ISNUMBER($N71))</formula>
    </cfRule>
  </conditionalFormatting>
  <conditionalFormatting sqref="A71:F90">
    <cfRule type="expression" dxfId="3394" priority="118">
      <formula>AND($E71 &gt; 0, ISNUMBER($E71))</formula>
    </cfRule>
    <cfRule type="expression" dxfId="3393" priority="119">
      <formula>AND($E71 = 0 * ISNUMBER($E71))</formula>
    </cfRule>
    <cfRule type="expression" dxfId="3392" priority="120">
      <formula>AND($E71 &lt; 0, ISNUMBER($E71))</formula>
    </cfRule>
  </conditionalFormatting>
  <conditionalFormatting sqref="A71:C90 G71:I90">
    <cfRule type="expression" dxfId="3391" priority="115">
      <formula>AND($H71 &gt; 0, ISNUMBER($H71))</formula>
    </cfRule>
    <cfRule type="expression" dxfId="3390" priority="116">
      <formula>AND($H71 = 0 * ISNUMBER($H71))</formula>
    </cfRule>
    <cfRule type="expression" dxfId="3389" priority="117">
      <formula>AND($H71 &lt; 0, ISNUMBER($H71))</formula>
    </cfRule>
  </conditionalFormatting>
  <conditionalFormatting sqref="A71:C90 J71:L90">
    <cfRule type="expression" dxfId="3388" priority="112">
      <formula>AND($K71 &gt; 0, ISNUMBER($K71))</formula>
    </cfRule>
    <cfRule type="expression" dxfId="3387" priority="113">
      <formula>AND($K71 = 0 * ISNUMBER($K71))</formula>
    </cfRule>
    <cfRule type="expression" dxfId="3386" priority="114">
      <formula>AND($K71 &lt; 0, ISNUMBER($K71))</formula>
    </cfRule>
  </conditionalFormatting>
  <conditionalFormatting sqref="D69:F70 E91:F91">
    <cfRule type="expression" dxfId="3385" priority="106">
      <formula>$E$91 &gt; 0</formula>
    </cfRule>
    <cfRule type="expression" dxfId="3384" priority="107">
      <formula>$E$91 = 0</formula>
    </cfRule>
    <cfRule type="expression" dxfId="3383" priority="108">
      <formula>$E$91 &lt; 0</formula>
    </cfRule>
  </conditionalFormatting>
  <conditionalFormatting sqref="G69:I70 H91:I91">
    <cfRule type="expression" dxfId="3382" priority="103">
      <formula>$H$91 &gt; 0</formula>
    </cfRule>
    <cfRule type="expression" dxfId="3381" priority="104">
      <formula>$H$91 = 0</formula>
    </cfRule>
    <cfRule type="expression" dxfId="3380" priority="105">
      <formula>$H$91 &lt; 0</formula>
    </cfRule>
  </conditionalFormatting>
  <conditionalFormatting sqref="J69:L70 K91:L91">
    <cfRule type="expression" dxfId="3379" priority="100">
      <formula>$K$91 &gt; 0</formula>
    </cfRule>
    <cfRule type="expression" dxfId="3378" priority="101">
      <formula>$K$91 = 0</formula>
    </cfRule>
    <cfRule type="expression" dxfId="3377" priority="102">
      <formula>$K$91 &lt; 0</formula>
    </cfRule>
  </conditionalFormatting>
  <conditionalFormatting sqref="M69:O70 N91:O91">
    <cfRule type="expression" dxfId="3376" priority="97">
      <formula>$N$91 &gt; 0</formula>
    </cfRule>
    <cfRule type="expression" dxfId="3375" priority="98">
      <formula>$N$91 = 0</formula>
    </cfRule>
    <cfRule type="expression" dxfId="3374" priority="99">
      <formula>$N$91 &lt; 0</formula>
    </cfRule>
  </conditionalFormatting>
  <conditionalFormatting sqref="A98:C117 M98:O117">
    <cfRule type="expression" dxfId="3373" priority="85">
      <formula>AND($N98 &gt; 0, ISNUMBER($N98))</formula>
    </cfRule>
    <cfRule type="expression" dxfId="3372" priority="86">
      <formula>AND($N98 = 0 * ISNUMBER($N98))</formula>
    </cfRule>
    <cfRule type="expression" dxfId="3371" priority="87">
      <formula>AND($N98 &lt; 0, ISNUMBER($N98))</formula>
    </cfRule>
  </conditionalFormatting>
  <conditionalFormatting sqref="A98:F117">
    <cfRule type="expression" dxfId="3370" priority="94">
      <formula>AND($E98 &gt; 0, ISNUMBER($E98))</formula>
    </cfRule>
    <cfRule type="expression" dxfId="3369" priority="95">
      <formula>AND($E98 = 0 * ISNUMBER($E98))</formula>
    </cfRule>
    <cfRule type="expression" dxfId="3368" priority="96">
      <formula>AND($E98 &lt; 0, ISNUMBER($E98))</formula>
    </cfRule>
  </conditionalFormatting>
  <conditionalFormatting sqref="A98:C117 G98:I117">
    <cfRule type="expression" dxfId="3367" priority="91">
      <formula>AND($H98 &gt; 0, ISNUMBER($H98))</formula>
    </cfRule>
    <cfRule type="expression" dxfId="3366" priority="92">
      <formula>AND($H98 = 0 * ISNUMBER($H98))</formula>
    </cfRule>
    <cfRule type="expression" dxfId="3365" priority="93">
      <formula>AND($H98 &lt; 0, ISNUMBER($H98))</formula>
    </cfRule>
  </conditionalFormatting>
  <conditionalFormatting sqref="A98:C117 J98:L117">
    <cfRule type="expression" dxfId="3364" priority="88">
      <formula>AND($K98 &gt; 0, ISNUMBER($K98))</formula>
    </cfRule>
    <cfRule type="expression" dxfId="3363" priority="89">
      <formula>AND($K98 = 0 * ISNUMBER($K98))</formula>
    </cfRule>
    <cfRule type="expression" dxfId="3362" priority="90">
      <formula>AND($K98 &lt; 0, ISNUMBER($K98))</formula>
    </cfRule>
  </conditionalFormatting>
  <conditionalFormatting sqref="D96:F97 E118:F118">
    <cfRule type="expression" dxfId="3361" priority="82">
      <formula>$E$118 &gt; 0</formula>
    </cfRule>
    <cfRule type="expression" dxfId="3360" priority="83">
      <formula>$E$118 = 0</formula>
    </cfRule>
    <cfRule type="expression" dxfId="3359" priority="84">
      <formula>$E$118 &lt; 0</formula>
    </cfRule>
  </conditionalFormatting>
  <conditionalFormatting sqref="G96:I97 H118:I118">
    <cfRule type="expression" dxfId="3358" priority="79">
      <formula>$H$118 &gt; 0</formula>
    </cfRule>
    <cfRule type="expression" dxfId="3357" priority="80">
      <formula>$H$118 = 0</formula>
    </cfRule>
    <cfRule type="expression" dxfId="3356" priority="81">
      <formula>$H$118 &lt; 0</formula>
    </cfRule>
  </conditionalFormatting>
  <conditionalFormatting sqref="J96:L97 K118:L118">
    <cfRule type="expression" dxfId="3355" priority="76">
      <formula>$K$118 &gt; 0</formula>
    </cfRule>
    <cfRule type="expression" dxfId="3354" priority="77">
      <formula>$K$118 = 0</formula>
    </cfRule>
    <cfRule type="expression" dxfId="3353" priority="78">
      <formula>$K$118 &lt; 0</formula>
    </cfRule>
  </conditionalFormatting>
  <conditionalFormatting sqref="M96:O97 N118:O118">
    <cfRule type="expression" dxfId="3352" priority="73">
      <formula>$N$118 &gt; 0</formula>
    </cfRule>
    <cfRule type="expression" dxfId="3351" priority="74">
      <formula>$N$118 = 0</formula>
    </cfRule>
    <cfRule type="expression" dxfId="3350" priority="75">
      <formula>$N$118 &lt; 0</formula>
    </cfRule>
  </conditionalFormatting>
  <conditionalFormatting sqref="A125:C144 M125:O144">
    <cfRule type="expression" dxfId="3349" priority="61">
      <formula>AND($N125 &gt; 0, ISNUMBER($N125))</formula>
    </cfRule>
    <cfRule type="expression" dxfId="3348" priority="62">
      <formula>AND($N125 = 0 * ISNUMBER($N125))</formula>
    </cfRule>
    <cfRule type="expression" dxfId="3347" priority="63">
      <formula>AND($N125 &lt; 0, ISNUMBER($N125))</formula>
    </cfRule>
  </conditionalFormatting>
  <conditionalFormatting sqref="A125:F144">
    <cfRule type="expression" dxfId="3346" priority="70">
      <formula>AND($E125 &gt; 0, ISNUMBER($E125))</formula>
    </cfRule>
    <cfRule type="expression" dxfId="3345" priority="71">
      <formula>AND($E125 = 0 * ISNUMBER($E125))</formula>
    </cfRule>
    <cfRule type="expression" dxfId="3344" priority="72">
      <formula>AND($E125 &lt; 0, ISNUMBER($E125))</formula>
    </cfRule>
  </conditionalFormatting>
  <conditionalFormatting sqref="A125:C144 G125:I144">
    <cfRule type="expression" dxfId="3343" priority="67">
      <formula>AND($H125 &gt; 0, ISNUMBER($H125))</formula>
    </cfRule>
    <cfRule type="expression" dxfId="3342" priority="68">
      <formula>AND($H125 = 0 * ISNUMBER($H125))</formula>
    </cfRule>
    <cfRule type="expression" dxfId="3341" priority="69">
      <formula>AND($H125 &lt; 0, ISNUMBER($H125))</formula>
    </cfRule>
  </conditionalFormatting>
  <conditionalFormatting sqref="A125:C144 J125:L144">
    <cfRule type="expression" dxfId="3340" priority="64">
      <formula>AND($K125 &gt; 0, ISNUMBER($K125))</formula>
    </cfRule>
    <cfRule type="expression" dxfId="3339" priority="65">
      <formula>AND($K125 = 0 * ISNUMBER($K125))</formula>
    </cfRule>
    <cfRule type="expression" dxfId="3338" priority="66">
      <formula>AND($K125 &lt; 0, ISNUMBER($K125))</formula>
    </cfRule>
  </conditionalFormatting>
  <conditionalFormatting sqref="D123:F124 E145:F145">
    <cfRule type="expression" dxfId="3337" priority="58">
      <formula>$E$145 &gt; 0</formula>
    </cfRule>
    <cfRule type="expression" dxfId="3336" priority="59">
      <formula>$E$145 = 0</formula>
    </cfRule>
    <cfRule type="expression" dxfId="3335" priority="60">
      <formula>$E$145 &lt; 0</formula>
    </cfRule>
  </conditionalFormatting>
  <conditionalFormatting sqref="G123:I124 H145:I145">
    <cfRule type="expression" dxfId="3334" priority="55">
      <formula>$H$145 &gt; 0</formula>
    </cfRule>
    <cfRule type="expression" dxfId="3333" priority="56">
      <formula>$H$145 = 0</formula>
    </cfRule>
    <cfRule type="expression" dxfId="3332" priority="57">
      <formula>$H$145 &lt; 0</formula>
    </cfRule>
  </conditionalFormatting>
  <conditionalFormatting sqref="J123:L124 K145:L145">
    <cfRule type="expression" dxfId="3331" priority="52">
      <formula>$K$145 &gt; 0</formula>
    </cfRule>
    <cfRule type="expression" dxfId="3330" priority="53">
      <formula>$K$145 = 0</formula>
    </cfRule>
    <cfRule type="expression" dxfId="3329" priority="54">
      <formula>$K$145 &lt; 0</formula>
    </cfRule>
  </conditionalFormatting>
  <conditionalFormatting sqref="M123:O124 N145:O145">
    <cfRule type="expression" dxfId="3328" priority="49">
      <formula>$N$145 &gt; 0</formula>
    </cfRule>
    <cfRule type="expression" dxfId="3327" priority="50">
      <formula>$N$145 = 0</formula>
    </cfRule>
    <cfRule type="expression" dxfId="3326" priority="51">
      <formula>$N$145 &lt; 0</formula>
    </cfRule>
  </conditionalFormatting>
  <conditionalFormatting sqref="A152:C171 M152:O171">
    <cfRule type="expression" dxfId="3325" priority="37">
      <formula>AND($N152 &gt; 0, ISNUMBER($N152))</formula>
    </cfRule>
    <cfRule type="expression" dxfId="3324" priority="38">
      <formula>AND($N152 = 0 * ISNUMBER($N152))</formula>
    </cfRule>
    <cfRule type="expression" dxfId="3323" priority="39">
      <formula>AND($N152 &lt; 0, ISNUMBER($N152))</formula>
    </cfRule>
  </conditionalFormatting>
  <conditionalFormatting sqref="A152:F171">
    <cfRule type="expression" dxfId="3322" priority="46">
      <formula>AND($E152 &gt; 0, ISNUMBER($E152))</formula>
    </cfRule>
    <cfRule type="expression" dxfId="3321" priority="47">
      <formula>AND($E152 = 0 * ISNUMBER($E152))</formula>
    </cfRule>
    <cfRule type="expression" dxfId="3320" priority="48">
      <formula>AND($E152 &lt; 0, ISNUMBER($E152))</formula>
    </cfRule>
  </conditionalFormatting>
  <conditionalFormatting sqref="A152:C171 G152:I171">
    <cfRule type="expression" dxfId="3319" priority="43">
      <formula>AND($H152 &gt; 0, ISNUMBER($H152))</formula>
    </cfRule>
    <cfRule type="expression" dxfId="3318" priority="44">
      <formula>AND($H152 = 0 * ISNUMBER($H152))</formula>
    </cfRule>
    <cfRule type="expression" dxfId="3317" priority="45">
      <formula>AND($H152 &lt; 0, ISNUMBER($H152))</formula>
    </cfRule>
  </conditionalFormatting>
  <conditionalFormatting sqref="A152:C171 J152:L171">
    <cfRule type="expression" dxfId="3316" priority="40">
      <formula>AND($K152 &gt; 0, ISNUMBER($K152))</formula>
    </cfRule>
    <cfRule type="expression" dxfId="3315" priority="41">
      <formula>AND($K152 = 0 * ISNUMBER($K152))</formula>
    </cfRule>
    <cfRule type="expression" dxfId="3314" priority="42">
      <formula>AND($K152 &lt; 0, ISNUMBER($K152))</formula>
    </cfRule>
  </conditionalFormatting>
  <conditionalFormatting sqref="D150:F151 E172:F172">
    <cfRule type="expression" dxfId="3313" priority="34">
      <formula>$E$172 &gt; 0</formula>
    </cfRule>
    <cfRule type="expression" dxfId="3312" priority="35">
      <formula>$E$172 = 0</formula>
    </cfRule>
    <cfRule type="expression" dxfId="3311" priority="36">
      <formula>$E$172 &lt; 0</formula>
    </cfRule>
  </conditionalFormatting>
  <conditionalFormatting sqref="G150:I151 H172:I172">
    <cfRule type="expression" dxfId="3310" priority="31">
      <formula>$H$172 &gt; 0</formula>
    </cfRule>
    <cfRule type="expression" dxfId="3309" priority="32">
      <formula>$H$172 = 0</formula>
    </cfRule>
    <cfRule type="expression" dxfId="3308" priority="33">
      <formula>$H$172 &lt; 0</formula>
    </cfRule>
  </conditionalFormatting>
  <conditionalFormatting sqref="J150:L151 K172:L172">
    <cfRule type="expression" dxfId="3307" priority="28">
      <formula>$K$172 &gt; 0</formula>
    </cfRule>
    <cfRule type="expression" dxfId="3306" priority="29">
      <formula>$K$172 = 0</formula>
    </cfRule>
    <cfRule type="expression" dxfId="3305" priority="30">
      <formula>$K$172 &lt; 0</formula>
    </cfRule>
  </conditionalFormatting>
  <conditionalFormatting sqref="M150:O151 N172:O172">
    <cfRule type="expression" dxfId="3304" priority="25">
      <formula>$N$172 &gt; 0</formula>
    </cfRule>
    <cfRule type="expression" dxfId="3303" priority="26">
      <formula>$N$172 = 0</formula>
    </cfRule>
    <cfRule type="expression" dxfId="3302" priority="27">
      <formula>$N$172 &lt; 0</formula>
    </cfRule>
  </conditionalFormatting>
  <conditionalFormatting sqref="A179:C198 M179:O198">
    <cfRule type="expression" dxfId="3301" priority="13">
      <formula>AND($N179 &gt; 0, ISNUMBER($N179))</formula>
    </cfRule>
    <cfRule type="expression" dxfId="3300" priority="14">
      <formula>AND($N179 = 0 * ISNUMBER($N179))</formula>
    </cfRule>
    <cfRule type="expression" dxfId="3299" priority="15">
      <formula>AND($N179 &lt; 0, ISNUMBER($N179))</formula>
    </cfRule>
  </conditionalFormatting>
  <conditionalFormatting sqref="A179:F198">
    <cfRule type="expression" dxfId="3298" priority="22">
      <formula>AND($E179 &gt; 0, ISNUMBER($E179))</formula>
    </cfRule>
    <cfRule type="expression" dxfId="3297" priority="23">
      <formula>AND($E179 = 0 * ISNUMBER($E179))</formula>
    </cfRule>
    <cfRule type="expression" dxfId="3296" priority="24">
      <formula>AND($E179 &lt; 0, ISNUMBER($E179))</formula>
    </cfRule>
  </conditionalFormatting>
  <conditionalFormatting sqref="A179:C198 G179:I198">
    <cfRule type="expression" dxfId="3295" priority="19">
      <formula>AND($H179 &gt; 0, ISNUMBER($H179))</formula>
    </cfRule>
    <cfRule type="expression" dxfId="3294" priority="20">
      <formula>AND($H179 = 0 * ISNUMBER($H179))</formula>
    </cfRule>
    <cfRule type="expression" dxfId="3293" priority="21">
      <formula>AND($H179 &lt; 0, ISNUMBER($H179))</formula>
    </cfRule>
  </conditionalFormatting>
  <conditionalFormatting sqref="A179:C198 J179:L198">
    <cfRule type="expression" dxfId="3292" priority="16">
      <formula>AND($K179 &gt; 0, ISNUMBER($K179))</formula>
    </cfRule>
    <cfRule type="expression" dxfId="3291" priority="17">
      <formula>AND($K179 = 0 * ISNUMBER($K179))</formula>
    </cfRule>
    <cfRule type="expression" dxfId="3290" priority="18">
      <formula>AND($K179 &lt; 0, ISNUMBER($K179))</formula>
    </cfRule>
  </conditionalFormatting>
  <conditionalFormatting sqref="D177:F178 E199:F199">
    <cfRule type="expression" dxfId="3289" priority="10">
      <formula>$E$199 &gt; 0</formula>
    </cfRule>
    <cfRule type="expression" dxfId="3288" priority="11">
      <formula>$E$199 = 0</formula>
    </cfRule>
    <cfRule type="expression" dxfId="3287" priority="12">
      <formula>$E$199 &lt; 0</formula>
    </cfRule>
  </conditionalFormatting>
  <conditionalFormatting sqref="G177:I178 H199:I199">
    <cfRule type="expression" dxfId="3286" priority="7">
      <formula>$H$199 &gt; 0</formula>
    </cfRule>
    <cfRule type="expression" dxfId="3285" priority="8">
      <formula>$H$199 = 0</formula>
    </cfRule>
    <cfRule type="expression" dxfId="3284" priority="9">
      <formula>$H$199 &lt; 0</formula>
    </cfRule>
  </conditionalFormatting>
  <conditionalFormatting sqref="J177:L178 K199:L199">
    <cfRule type="expression" dxfId="3283" priority="4">
      <formula>$K$199 &gt; 0</formula>
    </cfRule>
    <cfRule type="expression" dxfId="3282" priority="5">
      <formula>$K$199 = 0</formula>
    </cfRule>
    <cfRule type="expression" dxfId="3281" priority="6">
      <formula>$K$199 &lt; 0</formula>
    </cfRule>
  </conditionalFormatting>
  <conditionalFormatting sqref="M177:O178 N199:O199">
    <cfRule type="expression" dxfId="3280" priority="1">
      <formula>$N$199 &gt; 0</formula>
    </cfRule>
    <cfRule type="expression" dxfId="3279" priority="2">
      <formula>$N$199 = 0</formula>
    </cfRule>
    <cfRule type="expression" dxfId="32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6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237</v>
      </c>
      <c r="B2" s="11" t="s">
        <v>238</v>
      </c>
      <c r="C2" s="91">
        <v>259</v>
      </c>
      <c r="D2" s="88">
        <v>0.12608695650000001</v>
      </c>
      <c r="E2" s="89">
        <v>442951405.49547029</v>
      </c>
      <c r="F2" s="35"/>
      <c r="G2" s="54"/>
      <c r="H2" s="35"/>
      <c r="I2" s="35"/>
    </row>
    <row r="3" spans="1:18" ht="17.25" thickBot="1">
      <c r="A3" s="40" t="s">
        <v>113</v>
      </c>
      <c r="B3" s="11" t="s">
        <v>114</v>
      </c>
      <c r="C3" s="91">
        <v>12840</v>
      </c>
      <c r="D3" s="88">
        <v>9.3696763200000005E-2</v>
      </c>
      <c r="E3" s="89">
        <v>6885329.2374961702</v>
      </c>
      <c r="F3" s="35"/>
      <c r="G3" s="332" t="s">
        <v>290</v>
      </c>
      <c r="H3" s="344" t="s">
        <v>406</v>
      </c>
      <c r="I3" s="344"/>
      <c r="K3" s="279" t="s">
        <v>34</v>
      </c>
      <c r="L3" s="280"/>
      <c r="M3" s="280"/>
      <c r="N3" s="281"/>
      <c r="O3" s="279" t="s">
        <v>292</v>
      </c>
      <c r="P3" s="280"/>
      <c r="Q3" s="280"/>
      <c r="R3" s="281"/>
    </row>
    <row r="4" spans="1:18" ht="17.25" thickBot="1">
      <c r="A4" s="40" t="s">
        <v>257</v>
      </c>
      <c r="B4" s="11" t="s">
        <v>258</v>
      </c>
      <c r="C4" s="91">
        <v>607</v>
      </c>
      <c r="D4" s="88">
        <v>4.1166380799999999E-2</v>
      </c>
      <c r="E4" s="89">
        <v>111017858.63072585</v>
      </c>
      <c r="F4" s="35"/>
      <c r="G4" s="333"/>
      <c r="H4" s="345"/>
      <c r="I4" s="345"/>
      <c r="K4" s="322" t="s">
        <v>55</v>
      </c>
      <c r="L4" s="341">
        <f ca="1">NOW()</f>
        <v>44333.877935763892</v>
      </c>
      <c r="M4" s="342"/>
      <c r="N4" s="343"/>
      <c r="O4" s="340" t="s">
        <v>55</v>
      </c>
      <c r="P4" s="341">
        <f ca="1">NOW()</f>
        <v>44333.877935763892</v>
      </c>
      <c r="Q4" s="342"/>
      <c r="R4" s="343"/>
    </row>
    <row r="5" spans="1:18" ht="17.25" thickBot="1">
      <c r="A5" s="40" t="s">
        <v>91</v>
      </c>
      <c r="B5" s="11" t="s">
        <v>92</v>
      </c>
      <c r="C5" s="91">
        <v>1870</v>
      </c>
      <c r="D5" s="88">
        <v>3.8888888900000002E-2</v>
      </c>
      <c r="E5" s="89">
        <v>1228716264.3214428</v>
      </c>
      <c r="F5" s="35"/>
      <c r="K5" s="333"/>
      <c r="L5" s="36" t="s">
        <v>58</v>
      </c>
      <c r="M5" s="69" t="s">
        <v>59</v>
      </c>
      <c r="N5" s="65" t="s">
        <v>294</v>
      </c>
      <c r="O5" s="333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157</v>
      </c>
      <c r="B6" s="11" t="s">
        <v>158</v>
      </c>
      <c r="C6" s="91">
        <v>8360</v>
      </c>
      <c r="D6" s="88">
        <v>3.5935563800000001E-2</v>
      </c>
      <c r="E6" s="89">
        <v>2958580.4560820698</v>
      </c>
      <c r="F6" s="35"/>
      <c r="G6" s="279" t="s">
        <v>52</v>
      </c>
      <c r="H6" s="280"/>
      <c r="I6" s="281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129</v>
      </c>
      <c r="M6" s="72">
        <f t="shared" ref="M6:M25" ca="1" si="1">_xlfn.IFNA(VLOOKUP(K6, $B$2:$E$200, 3, FALSE), "")</f>
        <v>-5.8394160600000002E-2</v>
      </c>
      <c r="N6" s="81">
        <f ca="1">_xlfn.IFNA(VLOOKUP(K6, $B$2:$E$200, 4, FALSE), "")</f>
        <v>103180801.31924941</v>
      </c>
      <c r="O6" s="46" t="str">
        <f>INDEX($A$2:$D$200, MATCH(LARGE($D$2:$D$200, 1), $D$2:$D$200, 0), 2)</f>
        <v>솔브케어</v>
      </c>
      <c r="P6" s="38">
        <f t="shared" ref="P6:P25" si="2">_xlfn.IFNA(VLOOKUP(O6, $B$2:$D$200, 2, FALSE), "")</f>
        <v>259</v>
      </c>
      <c r="Q6" s="72">
        <f t="shared" ref="Q6:Q25" si="3">_xlfn.IFNA(VLOOKUP(O6, $B$2:$D$200, 3, FALSE), "")</f>
        <v>0.12608695650000001</v>
      </c>
      <c r="R6" s="81">
        <f>_xlfn.IFNA(VLOOKUP(O6, $B$2:$E$200, 4, FALSE), "")</f>
        <v>442951405.49547029</v>
      </c>
    </row>
    <row r="7" spans="1:18">
      <c r="A7" s="40" t="s">
        <v>68</v>
      </c>
      <c r="B7" s="11" t="s">
        <v>69</v>
      </c>
      <c r="C7" s="91">
        <v>12470</v>
      </c>
      <c r="D7" s="88">
        <v>3.4854771800000003E-2</v>
      </c>
      <c r="E7" s="89">
        <v>39133375.465247937</v>
      </c>
      <c r="F7" s="35"/>
      <c r="G7" s="307" t="s">
        <v>36</v>
      </c>
      <c r="H7" s="308"/>
      <c r="I7" s="309"/>
      <c r="K7" s="56" t="str">
        <f ca="1">IFERROR(OFFSET(INDIRECT($H$3 &amp; "!A17"), 1, 0), "")</f>
        <v>크립토닷컴체인</v>
      </c>
      <c r="L7" s="39">
        <f t="shared" ca="1" si="0"/>
        <v>183</v>
      </c>
      <c r="M7" s="73">
        <f t="shared" ca="1" si="1"/>
        <v>-4.1884816800000002E-2</v>
      </c>
      <c r="N7" s="82">
        <f t="shared" ref="N7:N25" ca="1" si="4">_xlfn.IFNA(VLOOKUP(K7, $B$2:$E$200, 4, FALSE), "")</f>
        <v>86662598.084233835</v>
      </c>
      <c r="O7" s="47" t="str">
        <f>INDEX($A$2:$D$200, MATCH(LARGE($D$2:$D$200, 2), $D$2:$D$200, 0), 2)</f>
        <v>쎄타토큰</v>
      </c>
      <c r="P7" s="39">
        <f t="shared" si="2"/>
        <v>12840</v>
      </c>
      <c r="Q7" s="73">
        <f t="shared" si="3"/>
        <v>9.3696763200000005E-2</v>
      </c>
      <c r="R7" s="82">
        <f t="shared" ref="R7:R25" si="5">_xlfn.IFNA(VLOOKUP(O7, $B$2:$E$200, 4, FALSE), "")</f>
        <v>6885329.2374961702</v>
      </c>
    </row>
    <row r="8" spans="1:18" ht="17.25" thickBot="1">
      <c r="A8" s="40" t="s">
        <v>169</v>
      </c>
      <c r="B8" s="11" t="s">
        <v>170</v>
      </c>
      <c r="C8" s="91">
        <v>445</v>
      </c>
      <c r="D8" s="88">
        <v>9.0702947999999999E-3</v>
      </c>
      <c r="E8" s="89">
        <v>32852692.606488269</v>
      </c>
      <c r="F8" s="35"/>
      <c r="G8" s="300"/>
      <c r="H8" s="301"/>
      <c r="I8" s="302"/>
      <c r="K8" s="56" t="str">
        <f ca="1">IFERROR(OFFSET(INDIRECT($H$3 &amp; "!A17"), 2, 0), "")</f>
        <v>룸네트워크</v>
      </c>
      <c r="L8" s="39">
        <f t="shared" ca="1" si="0"/>
        <v>138</v>
      </c>
      <c r="M8" s="73">
        <f t="shared" ca="1" si="1"/>
        <v>-0.08</v>
      </c>
      <c r="N8" s="82">
        <f t="shared" ca="1" si="4"/>
        <v>27323558.86736609</v>
      </c>
      <c r="O8" s="47" t="str">
        <f>INDEX($A$2:$D$200, MATCH(LARGE($D$2:$D$200, 3), $D$2:$D$200, 0), 2)</f>
        <v>하이브</v>
      </c>
      <c r="P8" s="39">
        <f t="shared" si="2"/>
        <v>607</v>
      </c>
      <c r="Q8" s="73">
        <f t="shared" si="3"/>
        <v>4.1166380799999999E-2</v>
      </c>
      <c r="R8" s="82">
        <f t="shared" si="5"/>
        <v>111017858.63072585</v>
      </c>
    </row>
    <row r="9" spans="1:18" ht="17.25" thickBot="1">
      <c r="A9" s="40" t="s">
        <v>141</v>
      </c>
      <c r="B9" s="11" t="s">
        <v>142</v>
      </c>
      <c r="C9" s="91">
        <v>426</v>
      </c>
      <c r="D9" s="88">
        <v>-2.3419204000000001E-3</v>
      </c>
      <c r="E9" s="89">
        <v>140637230.36549845</v>
      </c>
      <c r="F9" s="35"/>
      <c r="G9" s="9" t="s">
        <v>38</v>
      </c>
      <c r="H9" s="280" t="s">
        <v>37</v>
      </c>
      <c r="I9" s="281"/>
      <c r="K9" s="56" t="str">
        <f ca="1">IFERROR(OFFSET(INDIRECT($H$3 &amp; "!A17"), 3, 0), "")</f>
        <v>이그니스</v>
      </c>
      <c r="L9" s="39">
        <f t="shared" ca="1" si="0"/>
        <v>129</v>
      </c>
      <c r="M9" s="73">
        <f t="shared" ca="1" si="1"/>
        <v>-9.7902097899999999E-2</v>
      </c>
      <c r="N9" s="82">
        <f t="shared" ca="1" si="4"/>
        <v>39492074.346960522</v>
      </c>
      <c r="O9" s="47" t="str">
        <f>INDEX($A$2:$D$200, MATCH(LARGE($D$2:$D$200, 4), $D$2:$D$200, 0), 2)</f>
        <v>리플</v>
      </c>
      <c r="P9" s="39">
        <f t="shared" si="2"/>
        <v>1870</v>
      </c>
      <c r="Q9" s="73">
        <f t="shared" si="3"/>
        <v>3.8888888900000002E-2</v>
      </c>
      <c r="R9" s="82">
        <f t="shared" si="5"/>
        <v>1228716264.3214428</v>
      </c>
    </row>
    <row r="10" spans="1:18">
      <c r="A10" s="40" t="s">
        <v>149</v>
      </c>
      <c r="B10" s="11" t="s">
        <v>150</v>
      </c>
      <c r="C10" s="91">
        <v>4695</v>
      </c>
      <c r="D10" s="88">
        <v>-8.4477297E-3</v>
      </c>
      <c r="E10" s="89">
        <v>11155184.568287561</v>
      </c>
      <c r="F10" s="35"/>
      <c r="G10" s="334">
        <f>_xlfn.IFNA(VLOOKUP(G7, $B$2:$D$200, 3, FALSE), "-")</f>
        <v>-3.6323266700000002E-2</v>
      </c>
      <c r="H10" s="336">
        <f>_xlfn.IFNA(VLOOKUP(G7, $B$2:$D$200, 2, FALSE), "-")</f>
        <v>55555000</v>
      </c>
      <c r="I10" s="337"/>
      <c r="K10" s="58" t="str">
        <f ca="1">IFERROR(OFFSET(INDIRECT($H$3 &amp; "!A17"), 4, 0), "")</f>
        <v>모스코인</v>
      </c>
      <c r="L10" s="44">
        <f t="shared" ca="1" si="0"/>
        <v>143</v>
      </c>
      <c r="M10" s="74">
        <f t="shared" ca="1" si="1"/>
        <v>-5.9210526300000003E-2</v>
      </c>
      <c r="N10" s="86">
        <f t="shared" ca="1" si="4"/>
        <v>84316345.185264647</v>
      </c>
      <c r="O10" s="47" t="str">
        <f>INDEX($A$2:$D$200, MATCH(LARGE($D$2:$D$200, 5), $D$2:$D$200, 0), 2)</f>
        <v>엑시인피니티</v>
      </c>
      <c r="P10" s="39">
        <f t="shared" si="2"/>
        <v>8360</v>
      </c>
      <c r="Q10" s="73">
        <f t="shared" si="3"/>
        <v>3.5935563800000001E-2</v>
      </c>
      <c r="R10" s="86">
        <f t="shared" si="5"/>
        <v>2958580.4560820698</v>
      </c>
    </row>
    <row r="11" spans="1:18" ht="17.25" thickBot="1">
      <c r="A11" s="40" t="s">
        <v>269</v>
      </c>
      <c r="B11" s="11" t="s">
        <v>270</v>
      </c>
      <c r="C11" s="91">
        <v>460</v>
      </c>
      <c r="D11" s="88">
        <v>-2.3354564800000002E-2</v>
      </c>
      <c r="E11" s="89">
        <v>27338059.834140468</v>
      </c>
      <c r="F11" s="35"/>
      <c r="G11" s="335"/>
      <c r="H11" s="338"/>
      <c r="I11" s="339"/>
      <c r="K11" s="56" t="str">
        <f ca="1">IFERROR(OFFSET(INDIRECT($H$3 &amp; "!A17"), 5, 0), "")</f>
        <v>아르고</v>
      </c>
      <c r="L11" s="39">
        <f t="shared" ca="1" si="0"/>
        <v>269</v>
      </c>
      <c r="M11" s="73">
        <f t="shared" ca="1" si="1"/>
        <v>-8.8135593200000001E-2</v>
      </c>
      <c r="N11" s="95">
        <f t="shared" ca="1" si="4"/>
        <v>12512742.65231126</v>
      </c>
      <c r="O11" s="49" t="str">
        <f>INDEX($A$2:$D$200, MATCH(LARGE($D$2:$D$200, 6), $D$2:$D$200, 0), 2)</f>
        <v>세럼</v>
      </c>
      <c r="P11" s="45">
        <f t="shared" si="2"/>
        <v>12470</v>
      </c>
      <c r="Q11" s="76">
        <f t="shared" si="3"/>
        <v>3.4854771800000003E-2</v>
      </c>
      <c r="R11" s="95">
        <f t="shared" si="5"/>
        <v>39133375.465247937</v>
      </c>
    </row>
    <row r="12" spans="1:18" ht="17.25" thickBot="1">
      <c r="A12" s="40" t="s">
        <v>155</v>
      </c>
      <c r="B12" s="11" t="s">
        <v>156</v>
      </c>
      <c r="C12" s="91">
        <v>145</v>
      </c>
      <c r="D12" s="88">
        <v>-2.68456376E-2</v>
      </c>
      <c r="E12" s="89">
        <v>726974303.93945134</v>
      </c>
      <c r="F12" s="35"/>
      <c r="K12" s="56" t="str">
        <f ca="1">IFERROR(OFFSET(INDIRECT($H$3 &amp; "!A17"), 6, 0), "")</f>
        <v>센티넬프로토콜</v>
      </c>
      <c r="L12" s="39">
        <f t="shared" ca="1" si="0"/>
        <v>132</v>
      </c>
      <c r="M12" s="73">
        <f t="shared" ca="1" si="1"/>
        <v>-8.9655172399999997E-2</v>
      </c>
      <c r="N12" s="82">
        <f t="shared" ca="1" si="4"/>
        <v>96627151.434030443</v>
      </c>
      <c r="O12" s="47" t="str">
        <f>INDEX($A$2:$D$200, MATCH(LARGE($D$2:$D$200, 7), $D$2:$D$200, 0), 2)</f>
        <v>엘프</v>
      </c>
      <c r="P12" s="39">
        <f t="shared" si="2"/>
        <v>445</v>
      </c>
      <c r="Q12" s="73">
        <f t="shared" si="3"/>
        <v>9.0702947999999999E-3</v>
      </c>
      <c r="R12" s="82">
        <f t="shared" si="5"/>
        <v>32852692.606488269</v>
      </c>
    </row>
    <row r="13" spans="1:18" ht="17.25" thickBot="1">
      <c r="A13" s="40" t="s">
        <v>105</v>
      </c>
      <c r="B13" s="11" t="s">
        <v>106</v>
      </c>
      <c r="C13" s="91">
        <v>1885</v>
      </c>
      <c r="D13" s="88">
        <v>-3.3333333299999997E-2</v>
      </c>
      <c r="E13" s="89">
        <v>3730444.4399451199</v>
      </c>
      <c r="F13" s="35"/>
      <c r="G13" s="279" t="s">
        <v>70</v>
      </c>
      <c r="H13" s="280"/>
      <c r="I13" s="281"/>
      <c r="K13" s="56" t="str">
        <f ca="1">IFERROR(OFFSET(INDIRECT($H$3 &amp; "!A17"), 7, 0), "")</f>
        <v>보라</v>
      </c>
      <c r="L13" s="39">
        <f t="shared" ca="1" si="0"/>
        <v>217</v>
      </c>
      <c r="M13" s="73">
        <f t="shared" ca="1" si="1"/>
        <v>-9.2050209199999997E-2</v>
      </c>
      <c r="N13" s="82">
        <f t="shared" ca="1" si="4"/>
        <v>36364959.386976629</v>
      </c>
      <c r="O13" s="47" t="str">
        <f>INDEX($A$2:$D$200, MATCH(LARGE($D$2:$D$200, 8), $D$2:$D$200, 0), 2)</f>
        <v>쎄타퓨엘</v>
      </c>
      <c r="P13" s="39">
        <f t="shared" si="2"/>
        <v>426</v>
      </c>
      <c r="Q13" s="73">
        <f t="shared" si="3"/>
        <v>-2.3419204000000001E-3</v>
      </c>
      <c r="R13" s="82">
        <f t="shared" si="5"/>
        <v>140637230.36549845</v>
      </c>
    </row>
    <row r="14" spans="1:18">
      <c r="A14" s="40" t="s">
        <v>147</v>
      </c>
      <c r="B14" s="11" t="s">
        <v>148</v>
      </c>
      <c r="C14" s="91">
        <v>168</v>
      </c>
      <c r="D14" s="88">
        <v>-3.4482758600000003E-2</v>
      </c>
      <c r="E14" s="89">
        <v>38749270.14572867</v>
      </c>
      <c r="F14" s="35"/>
      <c r="G14" s="307" t="s">
        <v>36</v>
      </c>
      <c r="H14" s="308"/>
      <c r="I14" s="309"/>
      <c r="K14" s="56" t="str">
        <f ca="1">IFERROR(OFFSET(INDIRECT($H$3 &amp; "!A17"), 8, 0), "")</f>
        <v>디카르고</v>
      </c>
      <c r="L14" s="39">
        <f t="shared" ca="1" si="0"/>
        <v>199</v>
      </c>
      <c r="M14" s="73">
        <f t="shared" ca="1" si="1"/>
        <v>-7.8703703700000002E-2</v>
      </c>
      <c r="N14" s="82">
        <f t="shared" ca="1" si="4"/>
        <v>79369272.317686915</v>
      </c>
      <c r="O14" s="47" t="str">
        <f>INDEX($A$2:$D$200, MATCH(LARGE($D$2:$D$200, 9), $D$2:$D$200, 0), 2)</f>
        <v>스와이프</v>
      </c>
      <c r="P14" s="39">
        <f t="shared" si="2"/>
        <v>4695</v>
      </c>
      <c r="Q14" s="73">
        <f t="shared" si="3"/>
        <v>-8.4477297E-3</v>
      </c>
      <c r="R14" s="82">
        <f t="shared" si="5"/>
        <v>11155184.568287561</v>
      </c>
    </row>
    <row r="15" spans="1:18" ht="17.25" thickBot="1">
      <c r="A15" s="40" t="s">
        <v>50</v>
      </c>
      <c r="B15" s="11" t="s">
        <v>51</v>
      </c>
      <c r="C15" s="91">
        <v>854</v>
      </c>
      <c r="D15" s="88">
        <v>-3.5028248599999999E-2</v>
      </c>
      <c r="E15" s="89">
        <v>507578163.24821651</v>
      </c>
      <c r="F15" s="35"/>
      <c r="G15" s="300"/>
      <c r="H15" s="301"/>
      <c r="I15" s="302"/>
      <c r="K15" s="57" t="str">
        <f ca="1">IFERROR(OFFSET(INDIRECT($H$3 &amp; "!A17"), 9, 0), "")</f>
        <v>픽셀</v>
      </c>
      <c r="L15" s="37">
        <f t="shared" ca="1" si="0"/>
        <v>92.6</v>
      </c>
      <c r="M15" s="75">
        <f t="shared" ca="1" si="1"/>
        <v>-9.2156862699999995E-2</v>
      </c>
      <c r="N15" s="83">
        <f t="shared" ca="1" si="4"/>
        <v>195068201.90068045</v>
      </c>
      <c r="O15" s="48" t="str">
        <f>INDEX($A$2:$D$200, MATCH(LARGE($D$2:$D$200, 10), $D$2:$D$200, 0), 2)</f>
        <v>골렘</v>
      </c>
      <c r="P15" s="37">
        <f t="shared" si="2"/>
        <v>460</v>
      </c>
      <c r="Q15" s="75">
        <f t="shared" si="3"/>
        <v>-2.3354564800000002E-2</v>
      </c>
      <c r="R15" s="83">
        <f t="shared" si="5"/>
        <v>27338059.834140468</v>
      </c>
    </row>
    <row r="16" spans="1:18" ht="17.25" thickBot="1">
      <c r="A16" s="40" t="s">
        <v>135</v>
      </c>
      <c r="B16" s="11" t="s">
        <v>136</v>
      </c>
      <c r="C16" s="91">
        <v>213</v>
      </c>
      <c r="D16" s="88">
        <v>-3.6199095000000001E-2</v>
      </c>
      <c r="E16" s="89">
        <v>35854396.120439582</v>
      </c>
      <c r="F16" s="35"/>
      <c r="G16" s="9" t="s">
        <v>38</v>
      </c>
      <c r="H16" s="280" t="s">
        <v>37</v>
      </c>
      <c r="I16" s="281"/>
      <c r="K16" s="55" t="str">
        <f ca="1">IFERROR(OFFSET(INDIRECT($H$3 &amp; "!A17"), 10, 0), "")</f>
        <v>메타디움</v>
      </c>
      <c r="L16" s="38">
        <f t="shared" ca="1" si="0"/>
        <v>143</v>
      </c>
      <c r="M16" s="72">
        <f t="shared" ca="1" si="1"/>
        <v>-8.9171974500000001E-2</v>
      </c>
      <c r="N16" s="81">
        <f t="shared" ca="1" si="4"/>
        <v>182523756.44482255</v>
      </c>
      <c r="O16" s="46" t="str">
        <f>INDEX($A$2:$D$200, MATCH(LARGE($D$2:$D$200, 11), $D$2:$D$200, 0), 2)</f>
        <v>트론</v>
      </c>
      <c r="P16" s="38">
        <f t="shared" si="2"/>
        <v>145</v>
      </c>
      <c r="Q16" s="72">
        <f t="shared" si="3"/>
        <v>-2.68456376E-2</v>
      </c>
      <c r="R16" s="81">
        <f t="shared" si="5"/>
        <v>726974303.93945134</v>
      </c>
    </row>
    <row r="17" spans="1:18">
      <c r="A17" s="40" t="s">
        <v>109</v>
      </c>
      <c r="B17" s="11" t="s">
        <v>110</v>
      </c>
      <c r="C17" s="91">
        <v>2390</v>
      </c>
      <c r="D17" s="88">
        <v>-3.6290322600000001E-2</v>
      </c>
      <c r="E17" s="89">
        <v>3492390.4807595601</v>
      </c>
      <c r="F17" s="35"/>
      <c r="G17" s="334">
        <f>_xlfn.IFNA(VLOOKUP(G14, $B$2:$D$200, 3, FALSE), "-")</f>
        <v>-3.6323266700000002E-2</v>
      </c>
      <c r="H17" s="336">
        <f>_xlfn.IFNA(VLOOKUP(G14, $B$2:$D$200, 2, FALSE), "-")</f>
        <v>55555000</v>
      </c>
      <c r="I17" s="337"/>
      <c r="K17" s="56" t="str">
        <f ca="1">IFERROR(OFFSET(INDIRECT($H$3 &amp; "!A17"), 11, 0), "")</f>
        <v>솔브케어</v>
      </c>
      <c r="L17" s="39">
        <f t="shared" ca="1" si="0"/>
        <v>259</v>
      </c>
      <c r="M17" s="73">
        <f t="shared" ca="1" si="1"/>
        <v>0.12608695650000001</v>
      </c>
      <c r="N17" s="82">
        <f t="shared" ca="1" si="4"/>
        <v>442951405.49547029</v>
      </c>
      <c r="O17" s="47" t="str">
        <f>INDEX($A$2:$D$200, MATCH(LARGE($D$2:$D$200, 12), $D$2:$D$200, 0), 2)</f>
        <v>제로엑스</v>
      </c>
      <c r="P17" s="39">
        <f t="shared" si="2"/>
        <v>1885</v>
      </c>
      <c r="Q17" s="73">
        <f t="shared" si="3"/>
        <v>-3.3333333299999997E-2</v>
      </c>
      <c r="R17" s="82">
        <f t="shared" si="5"/>
        <v>3730444.4399451199</v>
      </c>
    </row>
    <row r="18" spans="1:18" ht="17.25" thickBot="1">
      <c r="A18" s="40" t="s">
        <v>48</v>
      </c>
      <c r="B18" s="11" t="s">
        <v>49</v>
      </c>
      <c r="C18" s="91">
        <v>55555000</v>
      </c>
      <c r="D18" s="88">
        <v>-3.6323266700000002E-2</v>
      </c>
      <c r="E18" s="89">
        <v>20202.342972120001</v>
      </c>
      <c r="F18" s="35"/>
      <c r="G18" s="335"/>
      <c r="H18" s="338"/>
      <c r="I18" s="339"/>
      <c r="K18" s="56" t="str">
        <f ca="1">IFERROR(OFFSET(INDIRECT($H$3 &amp; "!A17"), 12, 0), "")</f>
        <v>피르마체인</v>
      </c>
      <c r="L18" s="39">
        <f t="shared" ca="1" si="0"/>
        <v>146</v>
      </c>
      <c r="M18" s="73">
        <f t="shared" ca="1" si="1"/>
        <v>-8.7499999999999994E-2</v>
      </c>
      <c r="N18" s="82">
        <f t="shared" ca="1" si="4"/>
        <v>32523246.11395422</v>
      </c>
      <c r="O18" s="47" t="str">
        <f>INDEX($A$2:$D$200, MATCH(LARGE($D$2:$D$200, 13), $D$2:$D$200, 0), 2)</f>
        <v>앵커</v>
      </c>
      <c r="P18" s="39">
        <f t="shared" si="2"/>
        <v>168</v>
      </c>
      <c r="Q18" s="73">
        <f t="shared" si="3"/>
        <v>-3.4482758600000003E-2</v>
      </c>
      <c r="R18" s="82">
        <f t="shared" si="5"/>
        <v>38749270.14572867</v>
      </c>
    </row>
    <row r="19" spans="1:18" ht="17.25" thickBot="1">
      <c r="A19" s="40" t="s">
        <v>87</v>
      </c>
      <c r="B19" s="11" t="s">
        <v>88</v>
      </c>
      <c r="C19" s="91">
        <v>522</v>
      </c>
      <c r="D19" s="88">
        <v>-3.8674033099999998E-2</v>
      </c>
      <c r="E19" s="89">
        <v>78880387.770326674</v>
      </c>
      <c r="F19" s="35"/>
      <c r="K19" s="56" t="str">
        <f ca="1">IFERROR(OFFSET(INDIRECT($H$3 &amp; "!A17"), 13, 0), "")</f>
        <v>메디블록</v>
      </c>
      <c r="L19" s="39">
        <f t="shared" ca="1" si="0"/>
        <v>106</v>
      </c>
      <c r="M19" s="73">
        <f t="shared" ca="1" si="1"/>
        <v>-8.6206896599999999E-2</v>
      </c>
      <c r="N19" s="82">
        <f t="shared" ca="1" si="4"/>
        <v>709790469.82815421</v>
      </c>
      <c r="O19" s="47" t="str">
        <f>INDEX($A$2:$D$200, MATCH(LARGE($D$2:$D$200, 14), $D$2:$D$200, 0), 2)</f>
        <v>스텔라루멘</v>
      </c>
      <c r="P19" s="39">
        <f t="shared" si="2"/>
        <v>854</v>
      </c>
      <c r="Q19" s="73">
        <f t="shared" si="3"/>
        <v>-3.5028248599999999E-2</v>
      </c>
      <c r="R19" s="82">
        <f t="shared" si="5"/>
        <v>507578163.24821651</v>
      </c>
    </row>
    <row r="20" spans="1:18" ht="17.25" thickBot="1">
      <c r="A20" s="40" t="s">
        <v>95</v>
      </c>
      <c r="B20" s="11" t="s">
        <v>96</v>
      </c>
      <c r="C20" s="91">
        <v>4276000</v>
      </c>
      <c r="D20" s="88">
        <v>-3.9532794199999999E-2</v>
      </c>
      <c r="E20" s="89">
        <v>375170.21748842997</v>
      </c>
      <c r="F20" s="35"/>
      <c r="G20" s="279" t="s">
        <v>286</v>
      </c>
      <c r="H20" s="280"/>
      <c r="I20" s="281"/>
      <c r="K20" s="58" t="str">
        <f ca="1">IFERROR(OFFSET(INDIRECT($H$3 &amp; "!A17"), 14, 0), "")</f>
        <v>플레이댑</v>
      </c>
      <c r="L20" s="44">
        <f t="shared" ca="1" si="0"/>
        <v>380</v>
      </c>
      <c r="M20" s="74">
        <f t="shared" ca="1" si="1"/>
        <v>-9.5238095199999998E-2</v>
      </c>
      <c r="N20" s="86">
        <f t="shared" ca="1" si="4"/>
        <v>17658963.399905141</v>
      </c>
      <c r="O20" s="47" t="str">
        <f>INDEX($A$2:$D$200, MATCH(LARGE($D$2:$D$200, 15), $D$2:$D$200, 0), 2)</f>
        <v>질리카</v>
      </c>
      <c r="P20" s="39">
        <f t="shared" si="2"/>
        <v>213</v>
      </c>
      <c r="Q20" s="73">
        <f t="shared" si="3"/>
        <v>-3.6199095000000001E-2</v>
      </c>
      <c r="R20" s="86">
        <f t="shared" si="5"/>
        <v>35854396.120439582</v>
      </c>
    </row>
    <row r="21" spans="1:18">
      <c r="A21" s="40" t="s">
        <v>165</v>
      </c>
      <c r="B21" s="11" t="s">
        <v>166</v>
      </c>
      <c r="C21" s="91">
        <v>1900</v>
      </c>
      <c r="D21" s="88">
        <v>-4.0404040400000001E-2</v>
      </c>
      <c r="E21" s="89">
        <v>2076897.40752608</v>
      </c>
      <c r="F21" s="35"/>
      <c r="G21" s="307" t="s">
        <v>36</v>
      </c>
      <c r="H21" s="308"/>
      <c r="I21" s="309"/>
      <c r="K21" s="56" t="str">
        <f ca="1">IFERROR(OFFSET(INDIRECT($H$3 &amp; "!A17"), 15, 0), "")</f>
        <v>엔도르</v>
      </c>
      <c r="L21" s="39">
        <f t="shared" ca="1" si="0"/>
        <v>66.900000000000006</v>
      </c>
      <c r="M21" s="73">
        <f t="shared" ca="1" si="1"/>
        <v>-9.4722598099999999E-2</v>
      </c>
      <c r="N21" s="95">
        <f t="shared" ca="1" si="4"/>
        <v>504648379.61928153</v>
      </c>
      <c r="O21" s="49" t="str">
        <f>INDEX($A$2:$D$200, MATCH(LARGE($D$2:$D$200, 16), $D$2:$D$200, 0), 2)</f>
        <v>아이콘</v>
      </c>
      <c r="P21" s="45">
        <f t="shared" si="2"/>
        <v>2390</v>
      </c>
      <c r="Q21" s="76">
        <f t="shared" si="3"/>
        <v>-3.6290322600000001E-2</v>
      </c>
      <c r="R21" s="95">
        <f t="shared" si="5"/>
        <v>3492390.4807595601</v>
      </c>
    </row>
    <row r="22" spans="1:18" ht="17.25" thickBot="1">
      <c r="A22" s="40" t="s">
        <v>295</v>
      </c>
      <c r="B22" s="11" t="s">
        <v>296</v>
      </c>
      <c r="C22" s="91">
        <v>612</v>
      </c>
      <c r="D22" s="88">
        <v>-4.07523511E-2</v>
      </c>
      <c r="E22" s="89">
        <v>3419345202.2320871</v>
      </c>
      <c r="F22" s="35"/>
      <c r="G22" s="300"/>
      <c r="H22" s="301"/>
      <c r="I22" s="302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47" t="str">
        <f>INDEX($A$2:$D$200, MATCH(LARGE($D$2:$D$200, 17), $D$2:$D$200, 0), 2)</f>
        <v>비트코인</v>
      </c>
      <c r="P22" s="39">
        <f t="shared" si="2"/>
        <v>55555000</v>
      </c>
      <c r="Q22" s="73">
        <f t="shared" si="3"/>
        <v>-3.6323266700000002E-2</v>
      </c>
      <c r="R22" s="82">
        <f t="shared" si="5"/>
        <v>20202.342972120001</v>
      </c>
    </row>
    <row r="23" spans="1:18" ht="17.25" thickBot="1">
      <c r="A23" s="40" t="s">
        <v>129</v>
      </c>
      <c r="B23" s="11" t="s">
        <v>130</v>
      </c>
      <c r="C23" s="91">
        <v>353300</v>
      </c>
      <c r="D23" s="88">
        <v>-4.0857879700000002E-2</v>
      </c>
      <c r="E23" s="89">
        <v>274633.50702907</v>
      </c>
      <c r="F23" s="35"/>
      <c r="G23" s="9" t="s">
        <v>38</v>
      </c>
      <c r="H23" s="280" t="s">
        <v>37</v>
      </c>
      <c r="I23" s="281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47" t="str">
        <f>INDEX($A$2:$D$200, MATCH(LARGE($D$2:$D$200, 18), $D$2:$D$200, 0), 2)</f>
        <v>칠리즈</v>
      </c>
      <c r="P23" s="39">
        <f t="shared" si="2"/>
        <v>522</v>
      </c>
      <c r="Q23" s="73">
        <f t="shared" si="3"/>
        <v>-3.8674033099999998E-2</v>
      </c>
      <c r="R23" s="82">
        <f t="shared" si="5"/>
        <v>78880387.770326674</v>
      </c>
    </row>
    <row r="24" spans="1:18">
      <c r="A24" s="40" t="s">
        <v>73</v>
      </c>
      <c r="B24" s="11" t="s">
        <v>74</v>
      </c>
      <c r="C24" s="91">
        <v>28840</v>
      </c>
      <c r="D24" s="88">
        <v>-4.1860465100000001E-2</v>
      </c>
      <c r="E24" s="89">
        <v>413172.75907479</v>
      </c>
      <c r="F24" s="35"/>
      <c r="G24" s="334">
        <f>_xlfn.IFNA(VLOOKUP(G21, $B$2:$D$200, 3, FALSE), "-")</f>
        <v>-3.6323266700000002E-2</v>
      </c>
      <c r="H24" s="336">
        <f>_xlfn.IFNA(VLOOKUP(G21, $B$2:$D$200, 2, FALSE), "-")</f>
        <v>55555000</v>
      </c>
      <c r="I24" s="337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47" t="str">
        <f>INDEX($A$2:$D$200, MATCH(LARGE($D$2:$D$200, 19), $D$2:$D$200, 0), 2)</f>
        <v>이더리움</v>
      </c>
      <c r="P24" s="39">
        <f t="shared" si="2"/>
        <v>4276000</v>
      </c>
      <c r="Q24" s="73">
        <f t="shared" si="3"/>
        <v>-3.9532794199999999E-2</v>
      </c>
      <c r="R24" s="82">
        <f t="shared" si="5"/>
        <v>375170.21748842997</v>
      </c>
    </row>
    <row r="25" spans="1:18" ht="17.25" thickBot="1">
      <c r="A25" s="40" t="s">
        <v>119</v>
      </c>
      <c r="B25" s="11" t="s">
        <v>120</v>
      </c>
      <c r="C25" s="91">
        <v>183</v>
      </c>
      <c r="D25" s="88">
        <v>-4.1884816800000002E-2</v>
      </c>
      <c r="E25" s="89">
        <v>86662598.084233835</v>
      </c>
      <c r="F25" s="35"/>
      <c r="G25" s="335"/>
      <c r="H25" s="338"/>
      <c r="I25" s="339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5" t="str">
        <f t="shared" ca="1" si="1"/>
        <v/>
      </c>
      <c r="N25" s="83" t="str">
        <f t="shared" ca="1" si="4"/>
        <v/>
      </c>
      <c r="O25" s="48" t="str">
        <f>INDEX($A$2:$D$200, MATCH(LARGE($D$2:$D$200, 20), $D$2:$D$200, 0), 2)</f>
        <v>스토리지</v>
      </c>
      <c r="P25" s="37">
        <f t="shared" si="2"/>
        <v>1900</v>
      </c>
      <c r="Q25" s="75">
        <f t="shared" si="3"/>
        <v>-4.0404040400000001E-2</v>
      </c>
      <c r="R25" s="83">
        <f t="shared" si="5"/>
        <v>2076897.40752608</v>
      </c>
    </row>
    <row r="26" spans="1:18">
      <c r="A26" s="40" t="s">
        <v>139</v>
      </c>
      <c r="B26" s="11" t="s">
        <v>140</v>
      </c>
      <c r="C26" s="91">
        <v>3200</v>
      </c>
      <c r="D26" s="88">
        <v>-4.19161677E-2</v>
      </c>
      <c r="E26" s="89">
        <v>1061500.0001749599</v>
      </c>
      <c r="F26" s="35"/>
    </row>
    <row r="27" spans="1:18" ht="17.25" thickBot="1">
      <c r="A27" s="40" t="s">
        <v>64</v>
      </c>
      <c r="B27" s="11" t="s">
        <v>65</v>
      </c>
      <c r="C27" s="91">
        <v>58.8</v>
      </c>
      <c r="D27" s="88">
        <v>-4.2345276899999999E-2</v>
      </c>
      <c r="E27" s="89">
        <v>130673109.85955507</v>
      </c>
      <c r="F27" s="35"/>
    </row>
    <row r="28" spans="1:18" ht="17.25" thickBot="1">
      <c r="A28" s="40" t="s">
        <v>75</v>
      </c>
      <c r="B28" s="11" t="s">
        <v>76</v>
      </c>
      <c r="C28" s="91">
        <v>48280</v>
      </c>
      <c r="D28" s="88">
        <v>-4.5094936699999998E-2</v>
      </c>
      <c r="E28" s="89">
        <v>1669718.1178780301</v>
      </c>
      <c r="F28" s="35"/>
      <c r="G28" s="279" t="s">
        <v>46</v>
      </c>
      <c r="H28" s="280"/>
      <c r="I28" s="280"/>
      <c r="J28" s="281"/>
      <c r="K28" s="279" t="s">
        <v>44</v>
      </c>
      <c r="L28" s="280"/>
      <c r="M28" s="280"/>
      <c r="N28" s="281"/>
      <c r="O28" s="279" t="s">
        <v>45</v>
      </c>
      <c r="P28" s="280"/>
      <c r="Q28" s="280"/>
      <c r="R28" s="281"/>
    </row>
    <row r="29" spans="1:18" ht="17.25" thickBot="1">
      <c r="A29" s="40" t="s">
        <v>79</v>
      </c>
      <c r="B29" s="11" t="s">
        <v>80</v>
      </c>
      <c r="C29" s="91">
        <v>1355</v>
      </c>
      <c r="D29" s="88">
        <v>-4.57746479E-2</v>
      </c>
      <c r="E29" s="89">
        <v>6526407.8909341898</v>
      </c>
      <c r="F29" s="35"/>
      <c r="G29" s="322" t="s">
        <v>55</v>
      </c>
      <c r="H29" s="341">
        <f ca="1">NOW()</f>
        <v>44333.877935763892</v>
      </c>
      <c r="I29" s="342"/>
      <c r="J29" s="343"/>
      <c r="K29" s="340" t="s">
        <v>55</v>
      </c>
      <c r="L29" s="341">
        <f ca="1">NOW()</f>
        <v>44333.877935763892</v>
      </c>
      <c r="M29" s="342"/>
      <c r="N29" s="343"/>
      <c r="O29" s="340" t="s">
        <v>55</v>
      </c>
      <c r="P29" s="341">
        <f ca="1">NOW()</f>
        <v>44333.877935763892</v>
      </c>
      <c r="Q29" s="342"/>
      <c r="R29" s="343"/>
    </row>
    <row r="30" spans="1:18" ht="17.25" thickBot="1">
      <c r="A30" s="40" t="s">
        <v>277</v>
      </c>
      <c r="B30" s="11" t="s">
        <v>278</v>
      </c>
      <c r="C30" s="91">
        <v>125</v>
      </c>
      <c r="D30" s="88">
        <v>-4.5801526699999998E-2</v>
      </c>
      <c r="E30" s="89">
        <v>35686160.99056755</v>
      </c>
      <c r="F30" s="35"/>
      <c r="G30" s="333"/>
      <c r="H30" s="36" t="s">
        <v>58</v>
      </c>
      <c r="I30" s="69" t="s">
        <v>59</v>
      </c>
      <c r="J30" s="65" t="s">
        <v>294</v>
      </c>
      <c r="K30" s="333"/>
      <c r="L30" s="36" t="s">
        <v>58</v>
      </c>
      <c r="M30" s="69" t="s">
        <v>59</v>
      </c>
      <c r="N30" s="65" t="s">
        <v>294</v>
      </c>
      <c r="O30" s="333"/>
      <c r="P30" s="36" t="s">
        <v>58</v>
      </c>
      <c r="Q30" s="69" t="s">
        <v>59</v>
      </c>
      <c r="R30" s="65" t="s">
        <v>294</v>
      </c>
    </row>
    <row r="31" spans="1:18">
      <c r="A31" s="40" t="s">
        <v>125</v>
      </c>
      <c r="B31" s="11" t="s">
        <v>126</v>
      </c>
      <c r="C31" s="91">
        <v>44.3</v>
      </c>
      <c r="D31" s="88">
        <v>-4.7311828E-2</v>
      </c>
      <c r="E31" s="89">
        <v>185711837.7301617</v>
      </c>
      <c r="F31" s="35"/>
      <c r="G31" s="55" t="str">
        <f ca="1">IFERROR(OFFSET(INDIRECT($H$3 &amp; "!A98"), 0, 0), "")</f>
        <v>세럼</v>
      </c>
      <c r="H31" s="38">
        <f t="shared" ref="H31:H50" ca="1" si="7">_xlfn.IFNA(VLOOKUP(G31, $B$2:$D$200, 2, FALSE), "")</f>
        <v>12470</v>
      </c>
      <c r="I31" s="72">
        <f t="shared" ref="I31:I50" ca="1" si="8">_xlfn.IFNA(VLOOKUP(G31, $B$2:$D$200, 3, FALSE), "")</f>
        <v>3.4854771800000003E-2</v>
      </c>
      <c r="J31" s="81">
        <f ca="1">_xlfn.IFNA(VLOOKUP(G31, $B$2:$E$200, 4, FALSE), "")</f>
        <v>39133375.465247937</v>
      </c>
      <c r="K31" s="55" t="str">
        <f ca="1">IFERROR(OFFSET(INDIRECT($H$3 &amp; "!A44"), 0, 0), "")</f>
        <v>리퍼리움</v>
      </c>
      <c r="L31" s="38">
        <f t="shared" ref="L31:L50" ca="1" si="9">_xlfn.IFNA(VLOOKUP(K31, $B$2:$D$200, 2, FALSE), "")</f>
        <v>18.399999999999999</v>
      </c>
      <c r="M31" s="72">
        <f t="shared" ref="M31:M50" ca="1" si="10">_xlfn.IFNA(VLOOKUP(K31, $B$2:$D$200, 3, FALSE), "")</f>
        <v>-8.45771144E-2</v>
      </c>
      <c r="N31" s="81">
        <f ca="1">_xlfn.IFNA(VLOOKUP(K31, $B$2:$E$200, 4, FALSE), "")</f>
        <v>1267388825.223599</v>
      </c>
      <c r="O31" s="55" t="str">
        <f ca="1">IFERROR(OFFSET(INDIRECT($H$3 &amp; "!A71"), 0, 0), "")</f>
        <v>스텔라루멘</v>
      </c>
      <c r="P31" s="38">
        <f t="shared" ref="P31:P50" ca="1" si="11">_xlfn.IFNA(VLOOKUP(O31, $B$2:$D$200, 2, FALSE), "")</f>
        <v>854</v>
      </c>
      <c r="Q31" s="72">
        <f t="shared" ref="Q31:Q50" ca="1" si="12">_xlfn.IFNA(VLOOKUP(O31, $B$2:$D$200, 3, FALSE), "")</f>
        <v>-3.5028248599999999E-2</v>
      </c>
      <c r="R31" s="81">
        <f ca="1">_xlfn.IFNA(VLOOKUP(O31, $B$2:$E$200, 4, FALSE), "")</f>
        <v>507578163.24821651</v>
      </c>
    </row>
    <row r="32" spans="1:18">
      <c r="A32" s="40" t="s">
        <v>255</v>
      </c>
      <c r="B32" s="11" t="s">
        <v>256</v>
      </c>
      <c r="C32" s="91">
        <v>216</v>
      </c>
      <c r="D32" s="88">
        <v>-4.8458149800000003E-2</v>
      </c>
      <c r="E32" s="89">
        <v>16973501.14810564</v>
      </c>
      <c r="F32" s="35"/>
      <c r="G32" s="56" t="str">
        <f ca="1">IFERROR(OFFSET(INDIRECT($H$3 &amp; "!A98"), 1, 0), "")</f>
        <v>아이오타</v>
      </c>
      <c r="H32" s="39">
        <f t="shared" ca="1" si="7"/>
        <v>2370</v>
      </c>
      <c r="I32" s="73">
        <f t="shared" ca="1" si="8"/>
        <v>-5.57768924E-2</v>
      </c>
      <c r="J32" s="82">
        <f t="shared" ref="J32:J50" ca="1" si="13">_xlfn.IFNA(VLOOKUP(G32, $B$2:$E$200, 4, FALSE), "")</f>
        <v>2487731.5518979402</v>
      </c>
      <c r="K32" s="56" t="str">
        <f ca="1">IFERROR(OFFSET(INDIRECT($H$3 &amp; "!A44"), 1, 0), "")</f>
        <v>엔도르</v>
      </c>
      <c r="L32" s="39">
        <f t="shared" ca="1" si="9"/>
        <v>66.900000000000006</v>
      </c>
      <c r="M32" s="73">
        <f t="shared" ca="1" si="10"/>
        <v>-9.4722598099999999E-2</v>
      </c>
      <c r="N32" s="82">
        <f t="shared" ref="N32:N50" ca="1" si="14">_xlfn.IFNA(VLOOKUP(K32, $B$2:$E$200, 4, FALSE), "")</f>
        <v>504648379.61928153</v>
      </c>
      <c r="O32" s="56" t="str">
        <f ca="1">IFERROR(OFFSET(INDIRECT($H$3 &amp; "!A71"), 1, 0), "")</f>
        <v>앵커</v>
      </c>
      <c r="P32" s="39">
        <f t="shared" ca="1" si="11"/>
        <v>168</v>
      </c>
      <c r="Q32" s="73">
        <f t="shared" ca="1" si="12"/>
        <v>-3.4482758600000003E-2</v>
      </c>
      <c r="R32" s="82">
        <f t="shared" ref="R32:R50" ca="1" si="15">_xlfn.IFNA(VLOOKUP(O32, $B$2:$E$200, 4, FALSE), "")</f>
        <v>38749270.14572867</v>
      </c>
    </row>
    <row r="33" spans="1:18">
      <c r="A33" s="40" t="s">
        <v>99</v>
      </c>
      <c r="B33" s="11" t="s">
        <v>100</v>
      </c>
      <c r="C33" s="91">
        <v>6.81</v>
      </c>
      <c r="D33" s="88">
        <v>-5.0209205E-2</v>
      </c>
      <c r="E33" s="89">
        <v>54867118224.489655</v>
      </c>
      <c r="F33" s="35"/>
      <c r="G33" s="56" t="str">
        <f ca="1">IFERROR(OFFSET(INDIRECT($H$3 &amp; "!A98"), 2, 0), "")</f>
        <v>스텔라루멘</v>
      </c>
      <c r="H33" s="39">
        <f t="shared" ca="1" si="7"/>
        <v>854</v>
      </c>
      <c r="I33" s="73">
        <f t="shared" ca="1" si="8"/>
        <v>-3.5028248599999999E-2</v>
      </c>
      <c r="J33" s="82">
        <f t="shared" ca="1" si="13"/>
        <v>507578163.24821651</v>
      </c>
      <c r="K33" s="56" t="str">
        <f ca="1">IFERROR(OFFSET(INDIRECT($H$3 &amp; "!A44"), 2, 0), "")</f>
        <v>에브리피디아</v>
      </c>
      <c r="L33" s="39">
        <f t="shared" ca="1" si="9"/>
        <v>21.6</v>
      </c>
      <c r="M33" s="73">
        <f t="shared" ca="1" si="10"/>
        <v>-0.11111111110000001</v>
      </c>
      <c r="N33" s="82">
        <f t="shared" ca="1" si="14"/>
        <v>1052430719.6805791</v>
      </c>
      <c r="O33" s="56" t="str">
        <f ca="1">IFERROR(OFFSET(INDIRECT($H$3 &amp; "!A71"), 2, 0), "")</f>
        <v>헤데라해시그래프</v>
      </c>
      <c r="P33" s="39">
        <f t="shared" ca="1" si="11"/>
        <v>379</v>
      </c>
      <c r="Q33" s="73">
        <f t="shared" ca="1" si="12"/>
        <v>-7.1078431400000003E-2</v>
      </c>
      <c r="R33" s="82">
        <f t="shared" ca="1" si="15"/>
        <v>96298904.494595483</v>
      </c>
    </row>
    <row r="34" spans="1:18">
      <c r="A34" s="40" t="s">
        <v>62</v>
      </c>
      <c r="B34" s="11" t="s">
        <v>63</v>
      </c>
      <c r="C34" s="91">
        <v>109750</v>
      </c>
      <c r="D34" s="88">
        <v>-5.1015996500000001E-2</v>
      </c>
      <c r="E34" s="89">
        <v>1743109.2409224601</v>
      </c>
      <c r="F34" s="35"/>
      <c r="G34" s="56" t="str">
        <f ca="1">IFERROR(OFFSET(INDIRECT($H$3 &amp; "!A98"), 3, 0), "")</f>
        <v>앵커</v>
      </c>
      <c r="H34" s="39">
        <f t="shared" ca="1" si="7"/>
        <v>168</v>
      </c>
      <c r="I34" s="73">
        <f t="shared" ca="1" si="8"/>
        <v>-3.4482758600000003E-2</v>
      </c>
      <c r="J34" s="82">
        <f t="shared" ca="1" si="13"/>
        <v>38749270.14572867</v>
      </c>
      <c r="K34" s="56" t="str">
        <f ca="1">IFERROR(OFFSET(INDIRECT($H$3 &amp; "!A44"), 3, 0), "")</f>
        <v>아이오에스티</v>
      </c>
      <c r="L34" s="39">
        <f t="shared" ca="1" si="9"/>
        <v>58.8</v>
      </c>
      <c r="M34" s="73">
        <f t="shared" ca="1" si="10"/>
        <v>-4.2345276899999999E-2</v>
      </c>
      <c r="N34" s="82">
        <f t="shared" ca="1" si="14"/>
        <v>130673109.85955507</v>
      </c>
      <c r="O34" s="56" t="str">
        <f ca="1">IFERROR(OFFSET(INDIRECT($H$3 &amp; "!A71"), 3, 0), "")</f>
        <v>스테이터스네트워크토큰</v>
      </c>
      <c r="P34" s="39">
        <f t="shared" ca="1" si="11"/>
        <v>196</v>
      </c>
      <c r="Q34" s="73">
        <f t="shared" ca="1" si="12"/>
        <v>-8.4112149499999997E-2</v>
      </c>
      <c r="R34" s="82">
        <f t="shared" ca="1" si="15"/>
        <v>662407831.69838965</v>
      </c>
    </row>
    <row r="35" spans="1:18">
      <c r="A35" s="40" t="s">
        <v>159</v>
      </c>
      <c r="B35" s="11" t="s">
        <v>160</v>
      </c>
      <c r="C35" s="91">
        <v>2325</v>
      </c>
      <c r="D35" s="88">
        <v>-5.1020408199999999E-2</v>
      </c>
      <c r="E35" s="89">
        <v>3143326.1258419701</v>
      </c>
      <c r="F35" s="35"/>
      <c r="G35" s="58" t="str">
        <f ca="1">IFERROR(OFFSET(INDIRECT($H$3 &amp; "!A98"), 4, 0), "")</f>
        <v>헤데라해시그래프</v>
      </c>
      <c r="H35" s="44">
        <f t="shared" ca="1" si="7"/>
        <v>379</v>
      </c>
      <c r="I35" s="74">
        <f t="shared" ca="1" si="8"/>
        <v>-7.1078431400000003E-2</v>
      </c>
      <c r="J35" s="86">
        <f t="shared" ca="1" si="13"/>
        <v>96298904.494595483</v>
      </c>
      <c r="K35" s="58" t="str">
        <f ca="1">IFERROR(OFFSET(INDIRECT($H$3 &amp; "!A44"), 4, 0), "")</f>
        <v>람다</v>
      </c>
      <c r="L35" s="44">
        <f t="shared" ca="1" si="9"/>
        <v>68.7</v>
      </c>
      <c r="M35" s="74">
        <f t="shared" ca="1" si="10"/>
        <v>-9.2470277399999995E-2</v>
      </c>
      <c r="N35" s="86">
        <f t="shared" ca="1" si="14"/>
        <v>89144062.75648734</v>
      </c>
      <c r="O35" s="58" t="str">
        <f ca="1">IFERROR(OFFSET(INDIRECT($H$3 &amp; "!A71"), 4, 0), "")</f>
        <v>쎄타퓨엘</v>
      </c>
      <c r="P35" s="44">
        <f t="shared" ca="1" si="11"/>
        <v>426</v>
      </c>
      <c r="Q35" s="74">
        <f t="shared" ca="1" si="12"/>
        <v>-2.3419204000000001E-3</v>
      </c>
      <c r="R35" s="86">
        <f t="shared" ca="1" si="15"/>
        <v>140637230.36549845</v>
      </c>
    </row>
    <row r="36" spans="1:18">
      <c r="A36" s="40" t="s">
        <v>101</v>
      </c>
      <c r="B36" s="11" t="s">
        <v>102</v>
      </c>
      <c r="C36" s="91">
        <v>111800</v>
      </c>
      <c r="D36" s="88">
        <v>-5.2140737600000001E-2</v>
      </c>
      <c r="E36" s="89">
        <v>15048889.69545453</v>
      </c>
      <c r="F36" s="35"/>
      <c r="G36" s="56" t="str">
        <f ca="1">IFERROR(OFFSET(INDIRECT($H$3 &amp; "!A98"), 5, 0), "")</f>
        <v>스테이터스네트워크토큰</v>
      </c>
      <c r="H36" s="39">
        <f t="shared" ca="1" si="7"/>
        <v>196</v>
      </c>
      <c r="I36" s="73">
        <f t="shared" ca="1" si="8"/>
        <v>-8.4112149499999997E-2</v>
      </c>
      <c r="J36" s="95">
        <f t="shared" ca="1" si="13"/>
        <v>662407831.69838965</v>
      </c>
      <c r="K36" s="56" t="str">
        <f ca="1">IFERROR(OFFSET(INDIRECT($H$3 &amp; "!A44"), 5, 0), "")</f>
        <v>에스티피</v>
      </c>
      <c r="L36" s="39">
        <f t="shared" ca="1" si="9"/>
        <v>75.099999999999994</v>
      </c>
      <c r="M36" s="73">
        <f t="shared" ca="1" si="10"/>
        <v>-9.2995169099999997E-2</v>
      </c>
      <c r="N36" s="95">
        <f t="shared" ca="1" si="14"/>
        <v>201404853.37925383</v>
      </c>
      <c r="O36" s="56" t="str">
        <f ca="1">IFERROR(OFFSET(INDIRECT($H$3 &amp; "!A71"), 5, 0), "")</f>
        <v>픽셀</v>
      </c>
      <c r="P36" s="39">
        <f t="shared" ca="1" si="11"/>
        <v>92.6</v>
      </c>
      <c r="Q36" s="73">
        <f t="shared" ca="1" si="12"/>
        <v>-9.2156862699999995E-2</v>
      </c>
      <c r="R36" s="95">
        <f t="shared" ca="1" si="15"/>
        <v>195068201.90068045</v>
      </c>
    </row>
    <row r="37" spans="1:18">
      <c r="A37" s="40" t="s">
        <v>131</v>
      </c>
      <c r="B37" s="11" t="s">
        <v>132</v>
      </c>
      <c r="C37" s="91">
        <v>206</v>
      </c>
      <c r="D37" s="88">
        <v>-5.5045871599999997E-2</v>
      </c>
      <c r="E37" s="89">
        <v>1009754286.7128011</v>
      </c>
      <c r="F37" s="35"/>
      <c r="G37" s="56" t="str">
        <f ca="1">IFERROR(OFFSET(INDIRECT($H$3 &amp; "!A98"), 6, 0), "")</f>
        <v>리퍼리움</v>
      </c>
      <c r="H37" s="39">
        <f t="shared" ca="1" si="7"/>
        <v>18.399999999999999</v>
      </c>
      <c r="I37" s="73">
        <f t="shared" ca="1" si="8"/>
        <v>-8.45771144E-2</v>
      </c>
      <c r="J37" s="82">
        <f t="shared" ca="1" si="13"/>
        <v>1267388825.223599</v>
      </c>
      <c r="K37" s="56" t="str">
        <f ca="1">IFERROR(OFFSET(INDIRECT($H$3 &amp; "!A44"), 6, 0), "")</f>
        <v>엠블</v>
      </c>
      <c r="L37" s="39">
        <f t="shared" ca="1" si="9"/>
        <v>20.9</v>
      </c>
      <c r="M37" s="73">
        <f t="shared" ca="1" si="10"/>
        <v>-8.7336244499999993E-2</v>
      </c>
      <c r="N37" s="82">
        <f t="shared" ca="1" si="14"/>
        <v>801965920.75730085</v>
      </c>
      <c r="O37" s="56" t="str">
        <f ca="1">IFERROR(OFFSET(INDIRECT($H$3 &amp; "!A71"), 6, 0), "")</f>
        <v>비체인</v>
      </c>
      <c r="P37" s="39">
        <f t="shared" ca="1" si="11"/>
        <v>206</v>
      </c>
      <c r="Q37" s="73">
        <f t="shared" ca="1" si="12"/>
        <v>-5.5045871599999997E-2</v>
      </c>
      <c r="R37" s="82">
        <f t="shared" ca="1" si="15"/>
        <v>1009754286.7128011</v>
      </c>
    </row>
    <row r="38" spans="1:18">
      <c r="A38" s="40" t="s">
        <v>183</v>
      </c>
      <c r="B38" s="11" t="s">
        <v>184</v>
      </c>
      <c r="C38" s="91">
        <v>2370</v>
      </c>
      <c r="D38" s="88">
        <v>-5.57768924E-2</v>
      </c>
      <c r="E38" s="89">
        <v>2487731.5518979402</v>
      </c>
      <c r="F38" s="35"/>
      <c r="G38" s="56" t="str">
        <f ca="1">IFERROR(OFFSET(INDIRECT($H$3 &amp; "!A98"), 7, 0), "")</f>
        <v>쎄타퓨엘</v>
      </c>
      <c r="H38" s="39">
        <f t="shared" ca="1" si="7"/>
        <v>426</v>
      </c>
      <c r="I38" s="73">
        <f t="shared" ca="1" si="8"/>
        <v>-2.3419204000000001E-3</v>
      </c>
      <c r="J38" s="82">
        <f t="shared" ca="1" si="13"/>
        <v>140637230.36549845</v>
      </c>
      <c r="K38" s="56" t="str">
        <f ca="1">IFERROR(OFFSET(INDIRECT($H$3 &amp; "!A44"), 7, 0), "")</f>
        <v>비트토렌트</v>
      </c>
      <c r="L38" s="39">
        <f t="shared" ca="1" si="9"/>
        <v>6.81</v>
      </c>
      <c r="M38" s="73">
        <f t="shared" ca="1" si="10"/>
        <v>-5.0209205E-2</v>
      </c>
      <c r="N38" s="82">
        <f t="shared" ca="1" si="14"/>
        <v>54867118224.489655</v>
      </c>
      <c r="O38" s="56" t="str">
        <f ca="1">IFERROR(OFFSET(INDIRECT($H$3 &amp; "!A71"), 7, 0), "")</f>
        <v>질리카</v>
      </c>
      <c r="P38" s="39">
        <f t="shared" ca="1" si="11"/>
        <v>213</v>
      </c>
      <c r="Q38" s="73">
        <f t="shared" ca="1" si="12"/>
        <v>-3.6199095000000001E-2</v>
      </c>
      <c r="R38" s="82">
        <f t="shared" ca="1" si="15"/>
        <v>35854396.120439582</v>
      </c>
    </row>
    <row r="39" spans="1:18">
      <c r="A39" s="40" t="s">
        <v>117</v>
      </c>
      <c r="B39" s="11" t="s">
        <v>118</v>
      </c>
      <c r="C39" s="91">
        <v>5925</v>
      </c>
      <c r="D39" s="88">
        <v>-5.57768924E-2</v>
      </c>
      <c r="E39" s="89">
        <v>847384.04367180006</v>
      </c>
      <c r="F39" s="35"/>
      <c r="G39" s="56" t="str">
        <f ca="1">IFERROR(OFFSET(INDIRECT($H$3 &amp; "!A98"), 8, 0), "")</f>
        <v>픽셀</v>
      </c>
      <c r="H39" s="39">
        <f t="shared" ca="1" si="7"/>
        <v>92.6</v>
      </c>
      <c r="I39" s="73">
        <f t="shared" ca="1" si="8"/>
        <v>-9.2156862699999995E-2</v>
      </c>
      <c r="J39" s="82">
        <f t="shared" ca="1" si="13"/>
        <v>195068201.90068045</v>
      </c>
      <c r="K39" s="56" t="str">
        <f ca="1">IFERROR(OFFSET(INDIRECT($H$3 &amp; "!A44"), 8, 0), "")</f>
        <v>시아코인</v>
      </c>
      <c r="L39" s="39">
        <f t="shared" ca="1" si="9"/>
        <v>33.5</v>
      </c>
      <c r="M39" s="73">
        <f t="shared" ca="1" si="10"/>
        <v>-6.6852367699999998E-2</v>
      </c>
      <c r="N39" s="82">
        <f t="shared" ca="1" si="14"/>
        <v>625359149.98309481</v>
      </c>
      <c r="O39" s="56" t="str">
        <f ca="1">IFERROR(OFFSET(INDIRECT($H$3 &amp; "!A71"), 8, 0), "")</f>
        <v>룸네트워크</v>
      </c>
      <c r="P39" s="39">
        <f t="shared" ca="1" si="11"/>
        <v>138</v>
      </c>
      <c r="Q39" s="73">
        <f t="shared" ca="1" si="12"/>
        <v>-0.08</v>
      </c>
      <c r="R39" s="82">
        <f t="shared" ca="1" si="15"/>
        <v>27323558.86736609</v>
      </c>
    </row>
    <row r="40" spans="1:18" ht="17.25" thickBot="1">
      <c r="A40" s="40" t="s">
        <v>97</v>
      </c>
      <c r="B40" s="11" t="s">
        <v>98</v>
      </c>
      <c r="C40" s="91">
        <v>6595</v>
      </c>
      <c r="D40" s="88">
        <v>-5.7857142899999998E-2</v>
      </c>
      <c r="E40" s="89">
        <v>4172905.33709832</v>
      </c>
      <c r="F40" s="35"/>
      <c r="G40" s="57" t="str">
        <f ca="1">IFERROR(OFFSET(INDIRECT($H$3 &amp; "!A98"), 9, 0), "")</f>
        <v>엔도르</v>
      </c>
      <c r="H40" s="37">
        <f t="shared" ca="1" si="7"/>
        <v>66.900000000000006</v>
      </c>
      <c r="I40" s="75">
        <f t="shared" ca="1" si="8"/>
        <v>-9.4722598099999999E-2</v>
      </c>
      <c r="J40" s="83">
        <f t="shared" ca="1" si="13"/>
        <v>504648379.61928153</v>
      </c>
      <c r="K40" s="57" t="str">
        <f ca="1">IFERROR(OFFSET(INDIRECT($H$3 &amp; "!A44"), 9, 0), "")</f>
        <v>쿼크체인</v>
      </c>
      <c r="L40" s="37">
        <f t="shared" ca="1" si="9"/>
        <v>27.4</v>
      </c>
      <c r="M40" s="75">
        <f t="shared" ca="1" si="10"/>
        <v>-8.0536912799999999E-2</v>
      </c>
      <c r="N40" s="83">
        <f t="shared" ca="1" si="14"/>
        <v>96148434.897079542</v>
      </c>
      <c r="O40" s="57" t="str">
        <f ca="1">IFERROR(OFFSET(INDIRECT($H$3 &amp; "!A71"), 9, 0), "")</f>
        <v>시빅</v>
      </c>
      <c r="P40" s="37">
        <f t="shared" ca="1" si="11"/>
        <v>512</v>
      </c>
      <c r="Q40" s="75">
        <f t="shared" ca="1" si="12"/>
        <v>-7.2463768100000006E-2</v>
      </c>
      <c r="R40" s="83">
        <f t="shared" ca="1" si="15"/>
        <v>12132682.45603516</v>
      </c>
    </row>
    <row r="41" spans="1:18">
      <c r="A41" s="40" t="s">
        <v>133</v>
      </c>
      <c r="B41" s="11" t="s">
        <v>134</v>
      </c>
      <c r="C41" s="91">
        <v>129</v>
      </c>
      <c r="D41" s="88">
        <v>-5.8394160600000002E-2</v>
      </c>
      <c r="E41" s="89">
        <v>103180801.31924941</v>
      </c>
      <c r="F41" s="35"/>
      <c r="G41" s="59" t="str">
        <f ca="1">IFERROR(OFFSET(INDIRECT($H$3 &amp; "!A98"), 10, 0), "")</f>
        <v>제로엑스</v>
      </c>
      <c r="H41" s="38">
        <f t="shared" ca="1" si="7"/>
        <v>1885</v>
      </c>
      <c r="I41" s="72">
        <f t="shared" ca="1" si="8"/>
        <v>-3.3333333299999997E-2</v>
      </c>
      <c r="J41" s="81">
        <f t="shared" ca="1" si="13"/>
        <v>3730444.4399451199</v>
      </c>
      <c r="K41" s="55" t="str">
        <f ca="1">IFERROR(OFFSET(INDIRECT($H$3 &amp; "!A44"), 10, 0), "")</f>
        <v>아하토큰</v>
      </c>
      <c r="L41" s="38">
        <f t="shared" ca="1" si="9"/>
        <v>14</v>
      </c>
      <c r="M41" s="72">
        <f t="shared" ca="1" si="10"/>
        <v>-8.4967320299999996E-2</v>
      </c>
      <c r="N41" s="81">
        <f t="shared" ca="1" si="14"/>
        <v>320908711.27741981</v>
      </c>
      <c r="O41" s="55" t="str">
        <f ca="1">IFERROR(OFFSET(INDIRECT($H$3 &amp; "!A71"), 10, 0), "")</f>
        <v>골렘</v>
      </c>
      <c r="P41" s="38">
        <f t="shared" ca="1" si="11"/>
        <v>460</v>
      </c>
      <c r="Q41" s="72">
        <f t="shared" ca="1" si="12"/>
        <v>-2.3354564800000002E-2</v>
      </c>
      <c r="R41" s="81">
        <f t="shared" ca="1" si="15"/>
        <v>27338059.834140468</v>
      </c>
    </row>
    <row r="42" spans="1:18">
      <c r="A42" s="40" t="s">
        <v>103</v>
      </c>
      <c r="B42" s="11" t="s">
        <v>104</v>
      </c>
      <c r="C42" s="91">
        <v>2315</v>
      </c>
      <c r="D42" s="88">
        <v>-5.8943089400000002E-2</v>
      </c>
      <c r="E42" s="89">
        <v>20575810.475288711</v>
      </c>
      <c r="F42" s="35"/>
      <c r="G42" s="56" t="str">
        <f ca="1">IFERROR(OFFSET(INDIRECT($H$3 &amp; "!A98"), 11, 0), "")</f>
        <v>아이콘</v>
      </c>
      <c r="H42" s="39">
        <f t="shared" ca="1" si="7"/>
        <v>2390</v>
      </c>
      <c r="I42" s="73">
        <f t="shared" ca="1" si="8"/>
        <v>-3.6290322600000001E-2</v>
      </c>
      <c r="J42" s="82">
        <f t="shared" ca="1" si="13"/>
        <v>3492390.4807595601</v>
      </c>
      <c r="K42" s="56" t="str">
        <f ca="1">IFERROR(OFFSET(INDIRECT($H$3 &amp; "!A44"), 11, 0), "")</f>
        <v>캐리프로토콜</v>
      </c>
      <c r="L42" s="39">
        <f t="shared" ca="1" si="9"/>
        <v>15.3</v>
      </c>
      <c r="M42" s="73">
        <f t="shared" ca="1" si="10"/>
        <v>-8.9285714299999999E-2</v>
      </c>
      <c r="N42" s="82">
        <f t="shared" ca="1" si="14"/>
        <v>910901650.48677135</v>
      </c>
      <c r="O42" s="56" t="str">
        <f ca="1">IFERROR(OFFSET(INDIRECT($H$3 &amp; "!A71"), 11, 0), "")</f>
        <v>저스트</v>
      </c>
      <c r="P42" s="39">
        <f t="shared" ca="1" si="11"/>
        <v>125</v>
      </c>
      <c r="Q42" s="73">
        <f t="shared" ca="1" si="12"/>
        <v>-4.5801526699999998E-2</v>
      </c>
      <c r="R42" s="82">
        <f t="shared" ca="1" si="15"/>
        <v>35686160.99056755</v>
      </c>
    </row>
    <row r="43" spans="1:18">
      <c r="A43" s="40" t="s">
        <v>239</v>
      </c>
      <c r="B43" s="11" t="s">
        <v>240</v>
      </c>
      <c r="C43" s="91">
        <v>143</v>
      </c>
      <c r="D43" s="88">
        <v>-5.9210526300000003E-2</v>
      </c>
      <c r="E43" s="89">
        <v>84316345.185264647</v>
      </c>
      <c r="F43" s="35"/>
      <c r="G43" s="56" t="str">
        <f ca="1">IFERROR(OFFSET(INDIRECT($H$3 &amp; "!A98"), 12, 0), "")</f>
        <v>에브리피디아</v>
      </c>
      <c r="H43" s="39">
        <f t="shared" ca="1" si="7"/>
        <v>21.6</v>
      </c>
      <c r="I43" s="73">
        <f t="shared" ca="1" si="8"/>
        <v>-0.11111111110000001</v>
      </c>
      <c r="J43" s="82">
        <f t="shared" ca="1" si="13"/>
        <v>1052430719.6805791</v>
      </c>
      <c r="K43" s="56" t="str">
        <f ca="1">IFERROR(OFFSET(INDIRECT($H$3 &amp; "!A44"), 12, 0), "")</f>
        <v>퀴즈톡</v>
      </c>
      <c r="L43" s="39">
        <f t="shared" ca="1" si="9"/>
        <v>63.7</v>
      </c>
      <c r="M43" s="73">
        <f t="shared" ca="1" si="10"/>
        <v>-9.5170454500000001E-2</v>
      </c>
      <c r="N43" s="82">
        <f t="shared" ca="1" si="14"/>
        <v>89988720.789509624</v>
      </c>
      <c r="O43" s="56" t="str">
        <f ca="1">IFERROR(OFFSET(INDIRECT($H$3 &amp; "!A71"), 12, 0), "")</f>
        <v>넴</v>
      </c>
      <c r="P43" s="39">
        <f t="shared" ca="1" si="11"/>
        <v>347</v>
      </c>
      <c r="Q43" s="73">
        <f t="shared" ca="1" si="12"/>
        <v>-6.7204301100000002E-2</v>
      </c>
      <c r="R43" s="82">
        <f t="shared" ca="1" si="15"/>
        <v>131768721.85917684</v>
      </c>
    </row>
    <row r="44" spans="1:18">
      <c r="A44" s="40" t="s">
        <v>143</v>
      </c>
      <c r="B44" s="11" t="s">
        <v>144</v>
      </c>
      <c r="C44" s="91">
        <v>10900</v>
      </c>
      <c r="D44" s="88">
        <v>-5.9534081099999997E-2</v>
      </c>
      <c r="E44" s="89">
        <v>2540187.8303132602</v>
      </c>
      <c r="F44" s="35"/>
      <c r="G44" s="56" t="str">
        <f ca="1">IFERROR(OFFSET(INDIRECT($H$3 &amp; "!A98"), 13, 0), "")</f>
        <v>오미세고</v>
      </c>
      <c r="H44" s="39">
        <f t="shared" ca="1" si="7"/>
        <v>10900</v>
      </c>
      <c r="I44" s="73">
        <f t="shared" ca="1" si="8"/>
        <v>-5.9534081099999997E-2</v>
      </c>
      <c r="J44" s="82">
        <f t="shared" ca="1" si="13"/>
        <v>2540187.8303132602</v>
      </c>
      <c r="K44" s="56" t="str">
        <f ca="1">IFERROR(OFFSET(INDIRECT($H$3 &amp; "!A44"), 13, 0), "")</f>
        <v>썬더토큰</v>
      </c>
      <c r="L44" s="39">
        <f t="shared" ca="1" si="9"/>
        <v>15.3</v>
      </c>
      <c r="M44" s="73">
        <f t="shared" ca="1" si="10"/>
        <v>-8.3832335300000005E-2</v>
      </c>
      <c r="N44" s="82">
        <f t="shared" ca="1" si="14"/>
        <v>485611242.62681782</v>
      </c>
      <c r="O44" s="56" t="str">
        <f ca="1">IFERROR(OFFSET(INDIRECT($H$3 &amp; "!A71"), 13, 0), "")</f>
        <v>아더</v>
      </c>
      <c r="P44" s="39">
        <f t="shared" ca="1" si="11"/>
        <v>360</v>
      </c>
      <c r="Q44" s="73">
        <f t="shared" ca="1" si="12"/>
        <v>-8.3969465600000001E-2</v>
      </c>
      <c r="R44" s="82">
        <f t="shared" ca="1" si="15"/>
        <v>20336790.190853741</v>
      </c>
    </row>
    <row r="45" spans="1:18">
      <c r="A45" s="40" t="s">
        <v>77</v>
      </c>
      <c r="B45" s="11" t="s">
        <v>78</v>
      </c>
      <c r="C45" s="91">
        <v>1367500</v>
      </c>
      <c r="D45" s="88">
        <v>-6.0137456999999998E-2</v>
      </c>
      <c r="E45" s="89">
        <v>298659.07309303997</v>
      </c>
      <c r="F45" s="35"/>
      <c r="G45" s="58" t="str">
        <f ca="1">IFERROR(OFFSET(INDIRECT($H$3 &amp; "!A98"), 14, 0), "")</f>
        <v>에이다</v>
      </c>
      <c r="H45" s="44">
        <f t="shared" ca="1" si="7"/>
        <v>2655</v>
      </c>
      <c r="I45" s="74">
        <f t="shared" ca="1" si="8"/>
        <v>-7.3298429299999995E-2</v>
      </c>
      <c r="J45" s="86">
        <f t="shared" ca="1" si="13"/>
        <v>469363125.28072852</v>
      </c>
      <c r="K45" s="58" t="str">
        <f ca="1">IFERROR(OFFSET(INDIRECT($H$3 &amp; "!A44"), 14, 0), "")</f>
        <v>무비블록</v>
      </c>
      <c r="L45" s="44">
        <f t="shared" ca="1" si="9"/>
        <v>13.3</v>
      </c>
      <c r="M45" s="74">
        <f t="shared" ca="1" si="10"/>
        <v>-9.5238095199999998E-2</v>
      </c>
      <c r="N45" s="86">
        <f t="shared" ca="1" si="14"/>
        <v>1982625663.0803597</v>
      </c>
      <c r="O45" s="58" t="str">
        <f ca="1">IFERROR(OFFSET(INDIRECT($H$3 &amp; "!A71"), 14, 0), "")</f>
        <v>트론</v>
      </c>
      <c r="P45" s="44">
        <f t="shared" ca="1" si="11"/>
        <v>145</v>
      </c>
      <c r="Q45" s="74">
        <f t="shared" ca="1" si="12"/>
        <v>-2.68456376E-2</v>
      </c>
      <c r="R45" s="86">
        <f t="shared" ca="1" si="15"/>
        <v>726974303.93945134</v>
      </c>
    </row>
    <row r="46" spans="1:18">
      <c r="A46" s="40" t="s">
        <v>223</v>
      </c>
      <c r="B46" s="11" t="s">
        <v>224</v>
      </c>
      <c r="C46" s="91">
        <v>1700</v>
      </c>
      <c r="D46" s="88">
        <v>-6.07734807E-2</v>
      </c>
      <c r="E46" s="89">
        <v>16812242.947278369</v>
      </c>
      <c r="F46" s="35"/>
      <c r="G46" s="56" t="str">
        <f ca="1">IFERROR(OFFSET(INDIRECT($H$3 &amp; "!A98"), 15, 0), "")</f>
        <v>비체인</v>
      </c>
      <c r="H46" s="39">
        <f t="shared" ca="1" si="7"/>
        <v>206</v>
      </c>
      <c r="I46" s="73">
        <f t="shared" ca="1" si="8"/>
        <v>-5.5045871599999997E-2</v>
      </c>
      <c r="J46" s="95">
        <f t="shared" ca="1" si="13"/>
        <v>1009754286.7128011</v>
      </c>
      <c r="K46" s="56" t="str">
        <f ca="1">IFERROR(OFFSET(INDIRECT($H$3 &amp; "!A44"), 15, 0), "")</f>
        <v>트웰브쉽스</v>
      </c>
      <c r="L46" s="39">
        <f t="shared" ca="1" si="9"/>
        <v>19.5</v>
      </c>
      <c r="M46" s="73">
        <f t="shared" ca="1" si="10"/>
        <v>-9.3023255799999996E-2</v>
      </c>
      <c r="N46" s="95">
        <f t="shared" ca="1" si="14"/>
        <v>510405451.59268749</v>
      </c>
      <c r="O46" s="56" t="str">
        <f ca="1">IFERROR(OFFSET(INDIRECT($H$3 &amp; "!A71"), 15, 0), "")</f>
        <v>디카르고</v>
      </c>
      <c r="P46" s="39">
        <f t="shared" ca="1" si="11"/>
        <v>199</v>
      </c>
      <c r="Q46" s="73">
        <f t="shared" ca="1" si="12"/>
        <v>-7.8703703700000002E-2</v>
      </c>
      <c r="R46" s="95">
        <f t="shared" ca="1" si="15"/>
        <v>79369272.317686915</v>
      </c>
    </row>
    <row r="47" spans="1:18">
      <c r="A47" s="40" t="s">
        <v>271</v>
      </c>
      <c r="B47" s="11" t="s">
        <v>272</v>
      </c>
      <c r="C47" s="91">
        <v>1850</v>
      </c>
      <c r="D47" s="88">
        <v>-6.09137056E-2</v>
      </c>
      <c r="E47" s="89">
        <v>3166284.0061851698</v>
      </c>
      <c r="F47" s="35"/>
      <c r="G47" s="56" t="str">
        <f ca="1">IFERROR(OFFSET(INDIRECT($H$3 &amp; "!A98"), 16, 0), "")</f>
        <v>쎄타토큰</v>
      </c>
      <c r="H47" s="39">
        <f t="shared" ca="1" si="7"/>
        <v>12840</v>
      </c>
      <c r="I47" s="73">
        <f t="shared" ca="1" si="8"/>
        <v>9.3696763200000005E-2</v>
      </c>
      <c r="J47" s="82">
        <f t="shared" ca="1" si="13"/>
        <v>6885329.2374961702</v>
      </c>
      <c r="K47" s="56" t="str">
        <f ca="1">IFERROR(OFFSET(INDIRECT($H$3 &amp; "!A44"), 16, 0), "")</f>
        <v>스톰엑스</v>
      </c>
      <c r="L47" s="39">
        <f t="shared" ca="1" si="9"/>
        <v>44.3</v>
      </c>
      <c r="M47" s="73">
        <f t="shared" ca="1" si="10"/>
        <v>-4.7311828E-2</v>
      </c>
      <c r="N47" s="82">
        <f t="shared" ca="1" si="14"/>
        <v>185711837.7301617</v>
      </c>
      <c r="O47" s="56" t="str">
        <f ca="1">IFERROR(OFFSET(INDIRECT($H$3 &amp; "!A71"), 16, 0), "")</f>
        <v>왁스</v>
      </c>
      <c r="P47" s="39">
        <f t="shared" ca="1" si="11"/>
        <v>216</v>
      </c>
      <c r="Q47" s="73">
        <f t="shared" ca="1" si="12"/>
        <v>-4.8458149800000003E-2</v>
      </c>
      <c r="R47" s="82">
        <f t="shared" ca="1" si="15"/>
        <v>16973501.14810564</v>
      </c>
    </row>
    <row r="48" spans="1:18">
      <c r="A48" s="40" t="s">
        <v>60</v>
      </c>
      <c r="B48" s="11" t="s">
        <v>61</v>
      </c>
      <c r="C48" s="91">
        <v>1375</v>
      </c>
      <c r="D48" s="88">
        <v>-6.1433447099999997E-2</v>
      </c>
      <c r="E48" s="89">
        <v>43633865.506718837</v>
      </c>
      <c r="F48" s="35"/>
      <c r="G48" s="56" t="str">
        <f ca="1">IFERROR(OFFSET(INDIRECT($H$3 &amp; "!A98"), 17, 0), "")</f>
        <v>엔진코인</v>
      </c>
      <c r="H48" s="39">
        <f t="shared" ca="1" si="7"/>
        <v>2325</v>
      </c>
      <c r="I48" s="73">
        <f t="shared" ca="1" si="8"/>
        <v>-5.1020408199999999E-2</v>
      </c>
      <c r="J48" s="82">
        <f t="shared" ca="1" si="13"/>
        <v>3143326.1258419701</v>
      </c>
      <c r="K48" s="56" t="str">
        <f ca="1">IFERROR(OFFSET(INDIRECT($H$3 &amp; "!A44"), 17, 0), "")</f>
        <v>옵저버</v>
      </c>
      <c r="L48" s="39">
        <f t="shared" ca="1" si="9"/>
        <v>20.100000000000001</v>
      </c>
      <c r="M48" s="73">
        <f t="shared" ca="1" si="10"/>
        <v>-8.6363636399999999E-2</v>
      </c>
      <c r="N48" s="82">
        <f t="shared" ca="1" si="14"/>
        <v>471949028.86068219</v>
      </c>
      <c r="O48" s="56" t="str">
        <f ca="1">IFERROR(OFFSET(INDIRECT($H$3 &amp; "!A71"), 17, 0), "")</f>
        <v>칠리즈</v>
      </c>
      <c r="P48" s="39">
        <f t="shared" ca="1" si="11"/>
        <v>522</v>
      </c>
      <c r="Q48" s="73">
        <f t="shared" ca="1" si="12"/>
        <v>-3.8674033099999998E-2</v>
      </c>
      <c r="R48" s="82">
        <f t="shared" ca="1" si="15"/>
        <v>78880387.770326674</v>
      </c>
    </row>
    <row r="49" spans="1:18">
      <c r="A49" s="40" t="s">
        <v>85</v>
      </c>
      <c r="B49" s="11" t="s">
        <v>86</v>
      </c>
      <c r="C49" s="91">
        <v>11760</v>
      </c>
      <c r="D49" s="88">
        <v>-6.3694267499999999E-2</v>
      </c>
      <c r="E49" s="89">
        <v>52189326.13190002</v>
      </c>
      <c r="F49" s="35"/>
      <c r="G49" s="56" t="str">
        <f ca="1">IFERROR(OFFSET(INDIRECT($H$3 &amp; "!A98"), 18, 0), "")</f>
        <v>질리카</v>
      </c>
      <c r="H49" s="39">
        <f t="shared" ca="1" si="7"/>
        <v>213</v>
      </c>
      <c r="I49" s="73">
        <f t="shared" ca="1" si="8"/>
        <v>-3.6199095000000001E-2</v>
      </c>
      <c r="J49" s="82">
        <f t="shared" ca="1" si="13"/>
        <v>35854396.120439582</v>
      </c>
      <c r="K49" s="56" t="str">
        <f ca="1">IFERROR(OFFSET(INDIRECT($H$3 &amp; "!A44"), 18, 0), "")</f>
        <v>메인프레임</v>
      </c>
      <c r="L49" s="39">
        <f t="shared" ca="1" si="9"/>
        <v>15.5</v>
      </c>
      <c r="M49" s="73">
        <f t="shared" ca="1" si="10"/>
        <v>-9.3567251500000004E-2</v>
      </c>
      <c r="N49" s="82">
        <f t="shared" ca="1" si="14"/>
        <v>377246733.94967973</v>
      </c>
      <c r="O49" s="56" t="str">
        <f ca="1">IFERROR(OFFSET(INDIRECT($H$3 &amp; "!A71"), 18, 0), "")</f>
        <v>오브스</v>
      </c>
      <c r="P49" s="39">
        <f t="shared" ca="1" si="11"/>
        <v>129</v>
      </c>
      <c r="Q49" s="73">
        <f t="shared" ca="1" si="12"/>
        <v>-5.8394160600000002E-2</v>
      </c>
      <c r="R49" s="82">
        <f t="shared" ca="1" si="15"/>
        <v>103180801.31924941</v>
      </c>
    </row>
    <row r="50" spans="1:18" ht="17.25" thickBot="1">
      <c r="A50" s="40" t="s">
        <v>215</v>
      </c>
      <c r="B50" s="11" t="s">
        <v>216</v>
      </c>
      <c r="C50" s="91">
        <v>378</v>
      </c>
      <c r="D50" s="88">
        <v>-6.4356435599999998E-2</v>
      </c>
      <c r="E50" s="89">
        <v>12527189.78418058</v>
      </c>
      <c r="F50" s="35"/>
      <c r="G50" s="57" t="str">
        <f ca="1">IFERROR(OFFSET(INDIRECT($H$3 &amp; "!A98"), 19, 0), "")</f>
        <v>아이오에스티</v>
      </c>
      <c r="H50" s="37">
        <f t="shared" ca="1" si="7"/>
        <v>58.8</v>
      </c>
      <c r="I50" s="75">
        <f t="shared" ca="1" si="8"/>
        <v>-4.2345276899999999E-2</v>
      </c>
      <c r="J50" s="83">
        <f t="shared" ca="1" si="13"/>
        <v>130673109.85955507</v>
      </c>
      <c r="K50" s="57" t="str">
        <f ca="1">IFERROR(OFFSET(INDIRECT($H$3 &amp; "!A44"), 19, 0), "")</f>
        <v>크립토닷컴체인</v>
      </c>
      <c r="L50" s="37">
        <f t="shared" ca="1" si="9"/>
        <v>183</v>
      </c>
      <c r="M50" s="75">
        <f t="shared" ca="1" si="10"/>
        <v>-4.1884816800000002E-2</v>
      </c>
      <c r="N50" s="83">
        <f t="shared" ca="1" si="14"/>
        <v>86662598.084233835</v>
      </c>
      <c r="O50" s="57" t="str">
        <f ca="1">IFERROR(OFFSET(INDIRECT($H$3 &amp; "!A71"), 19, 0), "")</f>
        <v>솔브케어</v>
      </c>
      <c r="P50" s="37">
        <f t="shared" ca="1" si="11"/>
        <v>259</v>
      </c>
      <c r="Q50" s="75">
        <f t="shared" ca="1" si="12"/>
        <v>0.12608695650000001</v>
      </c>
      <c r="R50" s="83">
        <f t="shared" ca="1" si="15"/>
        <v>442951405.49547029</v>
      </c>
    </row>
    <row r="51" spans="1:18">
      <c r="A51" s="40" t="s">
        <v>137</v>
      </c>
      <c r="B51" s="11" t="s">
        <v>138</v>
      </c>
      <c r="C51" s="91">
        <v>49280</v>
      </c>
      <c r="D51" s="88">
        <v>-6.5250379400000003E-2</v>
      </c>
      <c r="E51" s="89">
        <v>2387276.6979360702</v>
      </c>
      <c r="F51" s="35"/>
    </row>
    <row r="52" spans="1:18" ht="17.25" thickBot="1">
      <c r="A52" s="40" t="s">
        <v>151</v>
      </c>
      <c r="B52" s="11" t="s">
        <v>152</v>
      </c>
      <c r="C52" s="91">
        <v>33.5</v>
      </c>
      <c r="D52" s="88">
        <v>-6.6852367699999998E-2</v>
      </c>
      <c r="E52" s="89">
        <v>625359149.98309481</v>
      </c>
      <c r="F52" s="35"/>
    </row>
    <row r="53" spans="1:18" ht="17.25" thickBot="1">
      <c r="A53" s="40" t="s">
        <v>243</v>
      </c>
      <c r="B53" s="11" t="s">
        <v>244</v>
      </c>
      <c r="C53" s="91">
        <v>2715</v>
      </c>
      <c r="D53" s="88">
        <v>-6.7010309300000001E-2</v>
      </c>
      <c r="E53" s="89">
        <v>10567575.0779824</v>
      </c>
      <c r="F53" s="35"/>
      <c r="G53" s="279" t="s">
        <v>285</v>
      </c>
      <c r="H53" s="280"/>
      <c r="I53" s="280"/>
      <c r="J53" s="281"/>
      <c r="K53" s="279" t="s">
        <v>288</v>
      </c>
      <c r="L53" s="280"/>
      <c r="M53" s="280"/>
      <c r="N53" s="281"/>
      <c r="O53" s="279" t="s">
        <v>289</v>
      </c>
      <c r="P53" s="280"/>
      <c r="Q53" s="280"/>
      <c r="R53" s="281"/>
    </row>
    <row r="54" spans="1:18" ht="17.25" thickBot="1">
      <c r="A54" s="40" t="s">
        <v>56</v>
      </c>
      <c r="B54" s="11" t="s">
        <v>57</v>
      </c>
      <c r="C54" s="91">
        <v>347</v>
      </c>
      <c r="D54" s="88">
        <v>-6.7204301100000002E-2</v>
      </c>
      <c r="E54" s="89">
        <v>131768721.85917684</v>
      </c>
      <c r="F54" s="35"/>
      <c r="G54" s="322" t="s">
        <v>55</v>
      </c>
      <c r="H54" s="341">
        <f ca="1">NOW()</f>
        <v>44333.877935763892</v>
      </c>
      <c r="I54" s="342"/>
      <c r="J54" s="343"/>
      <c r="K54" s="340" t="s">
        <v>55</v>
      </c>
      <c r="L54" s="341">
        <f ca="1">NOW()</f>
        <v>44333.877935763892</v>
      </c>
      <c r="M54" s="342"/>
      <c r="N54" s="343"/>
      <c r="O54" s="340" t="s">
        <v>55</v>
      </c>
      <c r="P54" s="341">
        <f ca="1">NOW()</f>
        <v>44333.877935763892</v>
      </c>
      <c r="Q54" s="342"/>
      <c r="R54" s="343"/>
    </row>
    <row r="55" spans="1:18" ht="17.25" thickBot="1">
      <c r="A55" s="40" t="s">
        <v>177</v>
      </c>
      <c r="B55" s="11" t="s">
        <v>178</v>
      </c>
      <c r="C55" s="91">
        <v>40220</v>
      </c>
      <c r="D55" s="88">
        <v>-6.8765917999999995E-2</v>
      </c>
      <c r="E55" s="89">
        <v>288972.79072605999</v>
      </c>
      <c r="F55" s="35"/>
      <c r="G55" s="333"/>
      <c r="H55" s="36" t="s">
        <v>58</v>
      </c>
      <c r="I55" s="69" t="s">
        <v>59</v>
      </c>
      <c r="J55" s="65" t="s">
        <v>294</v>
      </c>
      <c r="K55" s="333"/>
      <c r="L55" s="36" t="s">
        <v>58</v>
      </c>
      <c r="M55" s="69" t="s">
        <v>59</v>
      </c>
      <c r="N55" s="65" t="s">
        <v>294</v>
      </c>
      <c r="O55" s="333"/>
      <c r="P55" s="36" t="s">
        <v>58</v>
      </c>
      <c r="Q55" s="69" t="s">
        <v>59</v>
      </c>
      <c r="R55" s="65" t="s">
        <v>294</v>
      </c>
    </row>
    <row r="56" spans="1:18">
      <c r="A56" s="40" t="s">
        <v>53</v>
      </c>
      <c r="B56" s="11" t="s">
        <v>54</v>
      </c>
      <c r="C56" s="91">
        <v>379</v>
      </c>
      <c r="D56" s="88">
        <v>-7.1078431400000003E-2</v>
      </c>
      <c r="E56" s="89">
        <v>96298904.494595483</v>
      </c>
      <c r="F56" s="35"/>
      <c r="G56" s="55" t="str">
        <f ca="1">IFERROR(OFFSET(INDIRECT($H$3 &amp; "!A179"), 0, 0), "")</f>
        <v>던프로토콜</v>
      </c>
      <c r="H56" s="38">
        <f t="shared" ref="H56:H65" ca="1" si="16">_xlfn.IFNA(VLOOKUP(G56, $B$2:$D$200, 2, FALSE), "")</f>
        <v>5535</v>
      </c>
      <c r="I56" s="72">
        <f t="shared" ref="I56:I65" ca="1" si="17">_xlfn.IFNA(VLOOKUP(G56, $B$2:$D$200, 3, FALSE), "")</f>
        <v>-8.51239669E-2</v>
      </c>
      <c r="J56" s="81">
        <f ca="1">_xlfn.IFNA(VLOOKUP(G56, $B$2:$E$200, 4, FALSE), "")</f>
        <v>21656228.757745389</v>
      </c>
      <c r="K56" s="55" t="str">
        <f ca="1">IFERROR(OFFSET(INDIRECT($H$3 &amp; "!A125"), 0, 0), "")</f>
        <v>리퍼리움</v>
      </c>
      <c r="L56" s="38">
        <f t="shared" ref="L56:L75" ca="1" si="18">_xlfn.IFNA(VLOOKUP(K56, $B$2:$D$200, 2, FALSE), "")</f>
        <v>18.399999999999999</v>
      </c>
      <c r="M56" s="72">
        <f t="shared" ref="M56:M75" ca="1" si="19">_xlfn.IFNA(VLOOKUP(K56, $B$2:$D$200, 3, FALSE), "")</f>
        <v>-8.45771144E-2</v>
      </c>
      <c r="N56" s="81">
        <f ca="1">_xlfn.IFNA(VLOOKUP(K56, $B$2:$E$200, 4, FALSE), "")</f>
        <v>1267388825.223599</v>
      </c>
      <c r="O56" s="55" t="str">
        <f ca="1">IFERROR(OFFSET(INDIRECT($H$3 &amp; "!A152"), 0, 0), "")</f>
        <v>온톨로지가스</v>
      </c>
      <c r="P56" s="38">
        <f t="shared" ref="P56:P75" ca="1" si="20">_xlfn.IFNA(VLOOKUP(O56, $B$2:$D$200, 2, FALSE), "")</f>
        <v>884</v>
      </c>
      <c r="Q56" s="72">
        <f t="shared" ref="Q56:Q75" ca="1" si="21">_xlfn.IFNA(VLOOKUP(O56, $B$2:$D$200, 3, FALSE), "")</f>
        <v>-9.0534979400000007E-2</v>
      </c>
      <c r="R56" s="81">
        <f ca="1">_xlfn.IFNA(VLOOKUP(O56, $B$2:$E$200, 4, FALSE), "")</f>
        <v>6018206.3315311503</v>
      </c>
    </row>
    <row r="57" spans="1:18">
      <c r="A57" s="40" t="s">
        <v>127</v>
      </c>
      <c r="B57" s="11" t="s">
        <v>128</v>
      </c>
      <c r="C57" s="91">
        <v>512</v>
      </c>
      <c r="D57" s="88">
        <v>-7.2463768100000006E-2</v>
      </c>
      <c r="E57" s="89">
        <v>12132682.45603516</v>
      </c>
      <c r="F57" s="35"/>
      <c r="G57" s="56" t="str">
        <f ca="1">IFERROR(OFFSET(INDIRECT($H$3 &amp; "!A179"), 1, 0), "")</f>
        <v>디마켓</v>
      </c>
      <c r="H57" s="39">
        <f t="shared" ca="1" si="16"/>
        <v>977</v>
      </c>
      <c r="I57" s="73">
        <f t="shared" ca="1" si="17"/>
        <v>-9.1162790699999996E-2</v>
      </c>
      <c r="J57" s="82">
        <f t="shared" ref="J57:J75" ca="1" si="22">_xlfn.IFNA(VLOOKUP(G57, $B$2:$E$200, 4, FALSE), "")</f>
        <v>8865125.2185040303</v>
      </c>
      <c r="K57" s="56" t="str">
        <f ca="1">IFERROR(OFFSET(INDIRECT($H$3 &amp; "!A125"), 1, 0), "")</f>
        <v>엔도르</v>
      </c>
      <c r="L57" s="39">
        <f t="shared" ca="1" si="18"/>
        <v>66.900000000000006</v>
      </c>
      <c r="M57" s="73">
        <f t="shared" ca="1" si="19"/>
        <v>-9.4722598099999999E-2</v>
      </c>
      <c r="N57" s="82">
        <f t="shared" ref="N57:N75" ca="1" si="23">_xlfn.IFNA(VLOOKUP(K57, $B$2:$E$200, 4, FALSE), "")</f>
        <v>504648379.61928153</v>
      </c>
      <c r="O57" s="56" t="str">
        <f ca="1">IFERROR(OFFSET(INDIRECT($H$3 &amp; "!A152"), 1, 0), "")</f>
        <v>아인스타이늄</v>
      </c>
      <c r="P57" s="39">
        <f t="shared" ca="1" si="20"/>
        <v>378</v>
      </c>
      <c r="Q57" s="73">
        <f t="shared" ca="1" si="21"/>
        <v>-0.1</v>
      </c>
      <c r="R57" s="82">
        <f t="shared" ref="R57:R75" ca="1" si="24">_xlfn.IFNA(VLOOKUP(O57, $B$2:$E$200, 4, FALSE), "")</f>
        <v>26585635.017698921</v>
      </c>
    </row>
    <row r="58" spans="1:18">
      <c r="A58" s="40" t="s">
        <v>83</v>
      </c>
      <c r="B58" s="11" t="s">
        <v>84</v>
      </c>
      <c r="C58" s="91">
        <v>2655</v>
      </c>
      <c r="D58" s="88">
        <v>-7.3298429299999995E-2</v>
      </c>
      <c r="E58" s="89">
        <v>469363125.28072852</v>
      </c>
      <c r="F58" s="35"/>
      <c r="G58" s="56" t="str">
        <f ca="1">IFERROR(OFFSET(INDIRECT($H$3 &amp; "!A179"), 2, 0), "")</f>
        <v>하이브</v>
      </c>
      <c r="H58" s="39">
        <f t="shared" ca="1" si="16"/>
        <v>607</v>
      </c>
      <c r="I58" s="73">
        <f t="shared" ca="1" si="17"/>
        <v>4.1166380799999999E-2</v>
      </c>
      <c r="J58" s="82">
        <f t="shared" ca="1" si="22"/>
        <v>111017858.63072585</v>
      </c>
      <c r="K58" s="56" t="str">
        <f ca="1">IFERROR(OFFSET(INDIRECT($H$3 &amp; "!A125"), 2, 0), "")</f>
        <v>에브리피디아</v>
      </c>
      <c r="L58" s="39">
        <f t="shared" ca="1" si="18"/>
        <v>21.6</v>
      </c>
      <c r="M58" s="73">
        <f t="shared" ca="1" si="19"/>
        <v>-0.11111111110000001</v>
      </c>
      <c r="N58" s="82">
        <f t="shared" ca="1" si="23"/>
        <v>1052430719.6805791</v>
      </c>
      <c r="O58" s="56" t="str">
        <f ca="1">IFERROR(OFFSET(INDIRECT($H$3 &amp; "!A152"), 2, 0), "")</f>
        <v>엘프</v>
      </c>
      <c r="P58" s="39">
        <f t="shared" ca="1" si="20"/>
        <v>445</v>
      </c>
      <c r="Q58" s="73">
        <f t="shared" ca="1" si="21"/>
        <v>9.0702947999999999E-3</v>
      </c>
      <c r="R58" s="82">
        <f t="shared" ca="1" si="24"/>
        <v>32852692.606488269</v>
      </c>
    </row>
    <row r="59" spans="1:18">
      <c r="A59" s="40" t="s">
        <v>261</v>
      </c>
      <c r="B59" s="11" t="s">
        <v>262</v>
      </c>
      <c r="C59" s="91">
        <v>959</v>
      </c>
      <c r="D59" s="88">
        <v>-7.3429951699999996E-2</v>
      </c>
      <c r="E59" s="89">
        <v>32837884.236369729</v>
      </c>
      <c r="F59" s="35"/>
      <c r="G59" s="56" t="str">
        <f ca="1">IFERROR(OFFSET(INDIRECT($H$3 &amp; "!A179"), 3, 0), "")</f>
        <v>코박토큰</v>
      </c>
      <c r="H59" s="39">
        <f t="shared" ca="1" si="16"/>
        <v>6265</v>
      </c>
      <c r="I59" s="73">
        <f t="shared" ca="1" si="17"/>
        <v>-8.8727272699999998E-2</v>
      </c>
      <c r="J59" s="82">
        <f t="shared" ca="1" si="22"/>
        <v>1096478.1327187601</v>
      </c>
      <c r="K59" s="56" t="str">
        <f ca="1">IFERROR(OFFSET(INDIRECT($H$3 &amp; "!A125"), 3, 0), "")</f>
        <v>아이오에스티</v>
      </c>
      <c r="L59" s="39">
        <f t="shared" ca="1" si="18"/>
        <v>58.8</v>
      </c>
      <c r="M59" s="73">
        <f t="shared" ca="1" si="19"/>
        <v>-4.2345276899999999E-2</v>
      </c>
      <c r="N59" s="82">
        <f t="shared" ca="1" si="23"/>
        <v>130673109.85955507</v>
      </c>
      <c r="O59" s="56" t="str">
        <f ca="1">IFERROR(OFFSET(INDIRECT($H$3 &amp; "!A152"), 3, 0), "")</f>
        <v>폴리매쓰</v>
      </c>
      <c r="P59" s="39">
        <f t="shared" ca="1" si="20"/>
        <v>378</v>
      </c>
      <c r="Q59" s="73">
        <f t="shared" ca="1" si="21"/>
        <v>-6.4356435599999998E-2</v>
      </c>
      <c r="R59" s="82">
        <f t="shared" ca="1" si="24"/>
        <v>12527189.78418058</v>
      </c>
    </row>
    <row r="60" spans="1:18">
      <c r="A60" s="40" t="s">
        <v>187</v>
      </c>
      <c r="B60" s="11" t="s">
        <v>188</v>
      </c>
      <c r="C60" s="91">
        <v>22240</v>
      </c>
      <c r="D60" s="88">
        <v>-7.3719283600000005E-2</v>
      </c>
      <c r="E60" s="89">
        <v>12074419.75339976</v>
      </c>
      <c r="F60" s="35"/>
      <c r="G60" s="56" t="str">
        <f ca="1">IFERROR(OFFSET(INDIRECT($H$3 &amp; "!A179"), 4, 0), "")</f>
        <v>비트코인에스브이</v>
      </c>
      <c r="H60" s="39">
        <f t="shared" ca="1" si="16"/>
        <v>350400</v>
      </c>
      <c r="I60" s="73">
        <f t="shared" ca="1" si="17"/>
        <v>-0.1048665219</v>
      </c>
      <c r="J60" s="86">
        <f t="shared" ca="1" si="22"/>
        <v>105344.41426201</v>
      </c>
      <c r="K60" s="58" t="str">
        <f ca="1">IFERROR(OFFSET(INDIRECT($H$3 &amp; "!A125"), 4, 0), "")</f>
        <v>람다</v>
      </c>
      <c r="L60" s="44">
        <f t="shared" ca="1" si="18"/>
        <v>68.7</v>
      </c>
      <c r="M60" s="74">
        <f t="shared" ca="1" si="19"/>
        <v>-9.2470277399999995E-2</v>
      </c>
      <c r="N60" s="86">
        <f t="shared" ca="1" si="23"/>
        <v>89144062.75648734</v>
      </c>
      <c r="O60" s="58" t="str">
        <f ca="1">IFERROR(OFFSET(INDIRECT($H$3 &amp; "!A152"), 4, 0), "")</f>
        <v>센티넬프로토콜</v>
      </c>
      <c r="P60" s="44">
        <f t="shared" ca="1" si="20"/>
        <v>132</v>
      </c>
      <c r="Q60" s="74">
        <f t="shared" ca="1" si="21"/>
        <v>-8.9655172399999997E-2</v>
      </c>
      <c r="R60" s="86">
        <f t="shared" ca="1" si="24"/>
        <v>96627151.434030443</v>
      </c>
    </row>
    <row r="61" spans="1:18">
      <c r="A61" s="40" t="s">
        <v>163</v>
      </c>
      <c r="B61" s="11" t="s">
        <v>164</v>
      </c>
      <c r="C61" s="91">
        <v>34940</v>
      </c>
      <c r="D61" s="88">
        <v>-7.4927190899999996E-2</v>
      </c>
      <c r="E61" s="89">
        <v>597229.39977261994</v>
      </c>
      <c r="F61" s="35"/>
      <c r="G61" s="60" t="str">
        <f ca="1">IFERROR(OFFSET(INDIRECT($H$3 &amp; "!A179"), 5, 0), "")</f>
        <v>피르마체인</v>
      </c>
      <c r="H61" s="45">
        <f t="shared" ca="1" si="16"/>
        <v>146</v>
      </c>
      <c r="I61" s="76">
        <f t="shared" ca="1" si="17"/>
        <v>-8.7499999999999994E-2</v>
      </c>
      <c r="J61" s="95">
        <f t="shared" ca="1" si="22"/>
        <v>32523246.11395422</v>
      </c>
      <c r="K61" s="56" t="str">
        <f ca="1">IFERROR(OFFSET(INDIRECT($H$3 &amp; "!A125"), 5, 0), "")</f>
        <v>에스티피</v>
      </c>
      <c r="L61" s="39">
        <f t="shared" ca="1" si="18"/>
        <v>75.099999999999994</v>
      </c>
      <c r="M61" s="73">
        <f t="shared" ca="1" si="19"/>
        <v>-9.2995169099999997E-2</v>
      </c>
      <c r="N61" s="95">
        <f t="shared" ca="1" si="23"/>
        <v>201404853.37925383</v>
      </c>
      <c r="O61" s="56" t="str">
        <f ca="1">IFERROR(OFFSET(INDIRECT($H$3 &amp; "!A152"), 5, 0), "")</f>
        <v>메디블록</v>
      </c>
      <c r="P61" s="39">
        <f t="shared" ca="1" si="20"/>
        <v>106</v>
      </c>
      <c r="Q61" s="73">
        <f t="shared" ca="1" si="21"/>
        <v>-8.6206896599999999E-2</v>
      </c>
      <c r="R61" s="95">
        <f t="shared" ca="1" si="24"/>
        <v>709790469.82815421</v>
      </c>
    </row>
    <row r="62" spans="1:18">
      <c r="A62" s="40" t="s">
        <v>115</v>
      </c>
      <c r="B62" s="11" t="s">
        <v>116</v>
      </c>
      <c r="C62" s="91">
        <v>477</v>
      </c>
      <c r="D62" s="88">
        <v>-7.7369439100000006E-2</v>
      </c>
      <c r="E62" s="89">
        <v>19988790.04643045</v>
      </c>
      <c r="F62" s="35"/>
      <c r="G62" s="56" t="str">
        <f ca="1">IFERROR(OFFSET(INDIRECT($H$3 &amp; "!A179"), 6, 0), "")</f>
        <v>모스코인</v>
      </c>
      <c r="H62" s="39">
        <f t="shared" ca="1" si="16"/>
        <v>143</v>
      </c>
      <c r="I62" s="73">
        <f t="shared" ca="1" si="17"/>
        <v>-5.9210526300000003E-2</v>
      </c>
      <c r="J62" s="82">
        <f t="shared" ca="1" si="22"/>
        <v>84316345.185264647</v>
      </c>
      <c r="K62" s="56" t="str">
        <f ca="1">IFERROR(OFFSET(INDIRECT($H$3 &amp; "!A125"), 6, 0), "")</f>
        <v>엠블</v>
      </c>
      <c r="L62" s="39">
        <f t="shared" ca="1" si="18"/>
        <v>20.9</v>
      </c>
      <c r="M62" s="73">
        <f t="shared" ca="1" si="19"/>
        <v>-8.7336244499999993E-2</v>
      </c>
      <c r="N62" s="82">
        <f t="shared" ca="1" si="23"/>
        <v>801965920.75730085</v>
      </c>
      <c r="O62" s="56" t="str">
        <f ca="1">IFERROR(OFFSET(INDIRECT($H$3 &amp; "!A152"), 6, 0), "")</f>
        <v>엘비알와이크레딧</v>
      </c>
      <c r="P62" s="39">
        <f t="shared" ca="1" si="20"/>
        <v>157</v>
      </c>
      <c r="Q62" s="73">
        <f t="shared" ca="1" si="21"/>
        <v>-9.2485549099999995E-2</v>
      </c>
      <c r="R62" s="82">
        <f t="shared" ca="1" si="24"/>
        <v>20550943.702807099</v>
      </c>
    </row>
    <row r="63" spans="1:18">
      <c r="A63" s="40" t="s">
        <v>145</v>
      </c>
      <c r="B63" s="11" t="s">
        <v>146</v>
      </c>
      <c r="C63" s="91">
        <v>14140</v>
      </c>
      <c r="D63" s="88">
        <v>-7.7625570800000002E-2</v>
      </c>
      <c r="E63" s="89">
        <v>847283.02521163004</v>
      </c>
      <c r="F63" s="35"/>
      <c r="G63" s="56" t="str">
        <f ca="1">IFERROR(OFFSET(INDIRECT($H$3 &amp; "!A179"), 7, 0), "")</f>
        <v>이그니스</v>
      </c>
      <c r="H63" s="39">
        <f t="shared" ca="1" si="16"/>
        <v>129</v>
      </c>
      <c r="I63" s="73">
        <f t="shared" ca="1" si="17"/>
        <v>-9.7902097899999999E-2</v>
      </c>
      <c r="J63" s="82">
        <f t="shared" ca="1" si="22"/>
        <v>39492074.346960522</v>
      </c>
      <c r="K63" s="56" t="str">
        <f ca="1">IFERROR(OFFSET(INDIRECT($H$3 &amp; "!A125"), 7, 0), "")</f>
        <v>비트토렌트</v>
      </c>
      <c r="L63" s="39">
        <f t="shared" ca="1" si="18"/>
        <v>6.81</v>
      </c>
      <c r="M63" s="73">
        <f t="shared" ca="1" si="19"/>
        <v>-5.0209205E-2</v>
      </c>
      <c r="N63" s="82">
        <f t="shared" ca="1" si="23"/>
        <v>54867118224.489655</v>
      </c>
      <c r="O63" s="56" t="str">
        <f ca="1">IFERROR(OFFSET(INDIRECT($H$3 &amp; "!A152"), 7, 0), "")</f>
        <v>마로</v>
      </c>
      <c r="P63" s="39">
        <f t="shared" ca="1" si="20"/>
        <v>372</v>
      </c>
      <c r="Q63" s="73">
        <f t="shared" ca="1" si="21"/>
        <v>-9.2682926799999996E-2</v>
      </c>
      <c r="R63" s="82">
        <f t="shared" ca="1" si="24"/>
        <v>108132590.2960805</v>
      </c>
    </row>
    <row r="64" spans="1:18">
      <c r="A64" s="40" t="s">
        <v>111</v>
      </c>
      <c r="B64" s="11" t="s">
        <v>112</v>
      </c>
      <c r="C64" s="91">
        <v>199</v>
      </c>
      <c r="D64" s="88">
        <v>-7.8703703700000002E-2</v>
      </c>
      <c r="E64" s="89">
        <v>79369272.317686915</v>
      </c>
      <c r="F64" s="35"/>
      <c r="G64" s="56" t="str">
        <f ca="1">IFERROR(OFFSET(INDIRECT($H$3 &amp; "!A179"), 8, 0), "")</f>
        <v>스트라티스</v>
      </c>
      <c r="H64" s="39">
        <f t="shared" ca="1" si="16"/>
        <v>3690</v>
      </c>
      <c r="I64" s="73">
        <f t="shared" ca="1" si="17"/>
        <v>-0.10109622410000001</v>
      </c>
      <c r="J64" s="82">
        <f t="shared" ca="1" si="22"/>
        <v>3158012.7049805098</v>
      </c>
      <c r="K64" s="56" t="str">
        <f ca="1">IFERROR(OFFSET(INDIRECT($H$3 &amp; "!A125"), 8, 0), "")</f>
        <v>시아코인</v>
      </c>
      <c r="L64" s="39">
        <f t="shared" ca="1" si="18"/>
        <v>33.5</v>
      </c>
      <c r="M64" s="73">
        <f t="shared" ca="1" si="19"/>
        <v>-6.6852367699999998E-2</v>
      </c>
      <c r="N64" s="82">
        <f t="shared" ca="1" si="23"/>
        <v>625359149.98309481</v>
      </c>
      <c r="O64" s="56" t="str">
        <f ca="1">IFERROR(OFFSET(INDIRECT($H$3 &amp; "!A152"), 8, 0), "")</f>
        <v>샌드박스</v>
      </c>
      <c r="P64" s="39">
        <f t="shared" ca="1" si="20"/>
        <v>477</v>
      </c>
      <c r="Q64" s="73">
        <f t="shared" ca="1" si="21"/>
        <v>-7.7369439100000006E-2</v>
      </c>
      <c r="R64" s="82">
        <f t="shared" ca="1" si="24"/>
        <v>19988790.04643045</v>
      </c>
    </row>
    <row r="65" spans="1:18" ht="17.25" thickBot="1">
      <c r="A65" s="40" t="s">
        <v>241</v>
      </c>
      <c r="B65" s="11" t="s">
        <v>242</v>
      </c>
      <c r="C65" s="91">
        <v>7235</v>
      </c>
      <c r="D65" s="88">
        <v>-7.89306174E-2</v>
      </c>
      <c r="E65" s="89">
        <v>4341638.7914356096</v>
      </c>
      <c r="F65" s="35"/>
      <c r="G65" s="57" t="str">
        <f ca="1">IFERROR(OFFSET(INDIRECT($H$3 &amp; "!A179"), 9, 0), "")</f>
        <v>이더리움</v>
      </c>
      <c r="H65" s="37">
        <f t="shared" ca="1" si="16"/>
        <v>4276000</v>
      </c>
      <c r="I65" s="75">
        <f t="shared" ca="1" si="17"/>
        <v>-3.9532794199999999E-2</v>
      </c>
      <c r="J65" s="83">
        <f t="shared" ca="1" si="22"/>
        <v>375170.21748842997</v>
      </c>
      <c r="K65" s="57" t="str">
        <f ca="1">IFERROR(OFFSET(INDIRECT($H$3 &amp; "!A125"), 9, 0), "")</f>
        <v>쿼크체인</v>
      </c>
      <c r="L65" s="37">
        <f t="shared" ca="1" si="18"/>
        <v>27.4</v>
      </c>
      <c r="M65" s="75">
        <f t="shared" ca="1" si="19"/>
        <v>-8.0536912799999999E-2</v>
      </c>
      <c r="N65" s="83">
        <f t="shared" ca="1" si="23"/>
        <v>96148434.897079542</v>
      </c>
      <c r="O65" s="57" t="str">
        <f ca="1">IFERROR(OFFSET(INDIRECT($H$3 &amp; "!A152"), 9, 0), "")</f>
        <v>메타디움</v>
      </c>
      <c r="P65" s="37">
        <f t="shared" ca="1" si="20"/>
        <v>143</v>
      </c>
      <c r="Q65" s="75">
        <f t="shared" ca="1" si="21"/>
        <v>-8.9171974500000001E-2</v>
      </c>
      <c r="R65" s="83">
        <f t="shared" ca="1" si="24"/>
        <v>182523756.44482255</v>
      </c>
    </row>
    <row r="66" spans="1:18">
      <c r="A66" s="40" t="s">
        <v>175</v>
      </c>
      <c r="B66" s="11" t="s">
        <v>176</v>
      </c>
      <c r="C66" s="91">
        <v>1740</v>
      </c>
      <c r="D66" s="88">
        <v>-7.9365079399999997E-2</v>
      </c>
      <c r="E66" s="89">
        <v>8667721.9629365597</v>
      </c>
      <c r="F66" s="35"/>
      <c r="G66" s="56" t="str">
        <f ca="1">IFERROR(OFFSET(INDIRECT($H$3 &amp; "!A179"), 10, 0), "")</f>
        <v>폴카닷</v>
      </c>
      <c r="H66" s="38">
        <f t="shared" ref="H66:H75" ca="1" si="25">_xlfn.IFNA(VLOOKUP(G66, $B$2:$D$200, 2, FALSE), "")</f>
        <v>49280</v>
      </c>
      <c r="I66" s="72">
        <f t="shared" ref="I66:I75" ca="1" si="26">_xlfn.IFNA(VLOOKUP(G66, $B$2:$D$200, 3, FALSE), "")</f>
        <v>-6.5250379400000003E-2</v>
      </c>
      <c r="J66" s="81">
        <f t="shared" ca="1" si="22"/>
        <v>2387276.6979360702</v>
      </c>
      <c r="K66" s="55" t="str">
        <f ca="1">IFERROR(OFFSET(INDIRECT($H$3 &amp; "!A125"), 10, 0), "")</f>
        <v>아하토큰</v>
      </c>
      <c r="L66" s="38">
        <f t="shared" ca="1" si="18"/>
        <v>14</v>
      </c>
      <c r="M66" s="72">
        <f t="shared" ca="1" si="19"/>
        <v>-8.4967320299999996E-2</v>
      </c>
      <c r="N66" s="81">
        <f t="shared" ca="1" si="23"/>
        <v>320908711.27741981</v>
      </c>
      <c r="O66" s="55" t="str">
        <f ca="1">IFERROR(OFFSET(INDIRECT($H$3 &amp; "!A152"), 10, 0), "")</f>
        <v>휴먼스케이프</v>
      </c>
      <c r="P66" s="38">
        <f t="shared" ca="1" si="20"/>
        <v>134</v>
      </c>
      <c r="Q66" s="72">
        <f t="shared" ca="1" si="21"/>
        <v>-8.2191780800000003E-2</v>
      </c>
      <c r="R66" s="81">
        <f t="shared" ca="1" si="24"/>
        <v>53059964.083123319</v>
      </c>
    </row>
    <row r="67" spans="1:18">
      <c r="A67" s="40" t="s">
        <v>263</v>
      </c>
      <c r="B67" s="11" t="s">
        <v>264</v>
      </c>
      <c r="C67" s="91">
        <v>138</v>
      </c>
      <c r="D67" s="88">
        <v>-0.08</v>
      </c>
      <c r="E67" s="89">
        <v>27323558.86736609</v>
      </c>
      <c r="F67" s="35"/>
      <c r="G67" s="56" t="str">
        <f ca="1">IFERROR(OFFSET(INDIRECT($H$3 &amp; "!A179"), 11, 0), "")</f>
        <v>비트코인캐시에이비씨</v>
      </c>
      <c r="H67" s="39">
        <f t="shared" ca="1" si="25"/>
        <v>46200</v>
      </c>
      <c r="I67" s="73">
        <f t="shared" ca="1" si="26"/>
        <v>-9.3939988200000005E-2</v>
      </c>
      <c r="J67" s="82">
        <f t="shared" ca="1" si="22"/>
        <v>886806.93017114</v>
      </c>
      <c r="K67" s="56" t="str">
        <f ca="1">IFERROR(OFFSET(INDIRECT($H$3 &amp; "!A125"), 11, 0), "")</f>
        <v>캐리프로토콜</v>
      </c>
      <c r="L67" s="39">
        <f t="shared" ca="1" si="18"/>
        <v>15.3</v>
      </c>
      <c r="M67" s="73">
        <f t="shared" ca="1" si="19"/>
        <v>-8.9285714299999999E-2</v>
      </c>
      <c r="N67" s="82">
        <f t="shared" ca="1" si="23"/>
        <v>910901650.48677135</v>
      </c>
      <c r="O67" s="56" t="str">
        <f ca="1">IFERROR(OFFSET(INDIRECT($H$3 &amp; "!A152"), 11, 0), "")</f>
        <v>도지코인</v>
      </c>
      <c r="P67" s="39">
        <f t="shared" ca="1" si="20"/>
        <v>612</v>
      </c>
      <c r="Q67" s="73">
        <f t="shared" ca="1" si="21"/>
        <v>-4.07523511E-2</v>
      </c>
      <c r="R67" s="82">
        <f t="shared" ca="1" si="24"/>
        <v>3419345202.2320871</v>
      </c>
    </row>
    <row r="68" spans="1:18">
      <c r="A68" s="40" t="s">
        <v>71</v>
      </c>
      <c r="B68" s="11" t="s">
        <v>72</v>
      </c>
      <c r="C68" s="91">
        <v>27.4</v>
      </c>
      <c r="D68" s="88">
        <v>-8.0536912799999999E-2</v>
      </c>
      <c r="E68" s="89">
        <v>96148434.897079542</v>
      </c>
      <c r="F68" s="35"/>
      <c r="G68" s="56" t="str">
        <f ca="1">IFERROR(OFFSET(INDIRECT($H$3 &amp; "!A179"), 12, 0), "")</f>
        <v>파워렛저</v>
      </c>
      <c r="H68" s="39">
        <f t="shared" ca="1" si="25"/>
        <v>431</v>
      </c>
      <c r="I68" s="73">
        <f t="shared" ca="1" si="26"/>
        <v>-9.6436058699999994E-2</v>
      </c>
      <c r="J68" s="82">
        <f t="shared" ca="1" si="22"/>
        <v>48816626.013881058</v>
      </c>
      <c r="K68" s="56" t="str">
        <f ca="1">IFERROR(OFFSET(INDIRECT($H$3 &amp; "!A125"), 12, 0), "")</f>
        <v>퀴즈톡</v>
      </c>
      <c r="L68" s="39">
        <f t="shared" ca="1" si="18"/>
        <v>63.7</v>
      </c>
      <c r="M68" s="73">
        <f t="shared" ca="1" si="19"/>
        <v>-9.5170454500000001E-2</v>
      </c>
      <c r="N68" s="82">
        <f t="shared" ca="1" si="23"/>
        <v>89988720.789509624</v>
      </c>
      <c r="O68" s="56" t="str">
        <f ca="1">IFERROR(OFFSET(INDIRECT($H$3 &amp; "!A152"), 12, 0), "")</f>
        <v>하이브</v>
      </c>
      <c r="P68" s="39">
        <f t="shared" ca="1" si="20"/>
        <v>607</v>
      </c>
      <c r="Q68" s="73">
        <f t="shared" ca="1" si="21"/>
        <v>4.1166380799999999E-2</v>
      </c>
      <c r="R68" s="82">
        <f t="shared" ca="1" si="24"/>
        <v>111017858.63072585</v>
      </c>
    </row>
    <row r="69" spans="1:18">
      <c r="A69" s="40" t="s">
        <v>93</v>
      </c>
      <c r="B69" s="11" t="s">
        <v>94</v>
      </c>
      <c r="C69" s="91">
        <v>108550</v>
      </c>
      <c r="D69" s="88">
        <v>-8.2029598300000006E-2</v>
      </c>
      <c r="E69" s="89">
        <v>993270.21235674003</v>
      </c>
      <c r="F69" s="35"/>
      <c r="G69" s="56" t="str">
        <f ca="1">IFERROR(OFFSET(INDIRECT($H$3 &amp; "!A179"), 13, 0), "")</f>
        <v>리스크</v>
      </c>
      <c r="H69" s="39">
        <f t="shared" ca="1" si="25"/>
        <v>7235</v>
      </c>
      <c r="I69" s="73">
        <f t="shared" ca="1" si="26"/>
        <v>-7.89306174E-2</v>
      </c>
      <c r="J69" s="82">
        <f t="shared" ca="1" si="22"/>
        <v>4341638.7914356096</v>
      </c>
      <c r="K69" s="56" t="str">
        <f ca="1">IFERROR(OFFSET(INDIRECT($H$3 &amp; "!A125"), 13, 0), "")</f>
        <v>썬더토큰</v>
      </c>
      <c r="L69" s="39">
        <f t="shared" ca="1" si="18"/>
        <v>15.3</v>
      </c>
      <c r="M69" s="73">
        <f t="shared" ca="1" si="19"/>
        <v>-8.3832335300000005E-2</v>
      </c>
      <c r="N69" s="82">
        <f t="shared" ca="1" si="23"/>
        <v>485611242.62681782</v>
      </c>
      <c r="O69" s="56" t="str">
        <f ca="1">IFERROR(OFFSET(INDIRECT($H$3 &amp; "!A152"), 13, 0), "")</f>
        <v>피르마체인</v>
      </c>
      <c r="P69" s="39">
        <f t="shared" ca="1" si="20"/>
        <v>146</v>
      </c>
      <c r="Q69" s="73">
        <f t="shared" ca="1" si="21"/>
        <v>-8.7499999999999994E-2</v>
      </c>
      <c r="R69" s="82">
        <f t="shared" ca="1" si="24"/>
        <v>32523246.11395422</v>
      </c>
    </row>
    <row r="70" spans="1:18">
      <c r="A70" s="40" t="s">
        <v>229</v>
      </c>
      <c r="B70" s="11" t="s">
        <v>230</v>
      </c>
      <c r="C70" s="91">
        <v>134</v>
      </c>
      <c r="D70" s="88">
        <v>-8.2191780800000003E-2</v>
      </c>
      <c r="E70" s="89">
        <v>53059964.083123319</v>
      </c>
      <c r="F70" s="35"/>
      <c r="G70" s="56" t="str">
        <f ca="1">IFERROR(OFFSET(INDIRECT($H$3 &amp; "!A179"), 14, 0), "")</f>
        <v>이더리움클래식</v>
      </c>
      <c r="H70" s="39">
        <f t="shared" ca="1" si="25"/>
        <v>111800</v>
      </c>
      <c r="I70" s="73">
        <f t="shared" ca="1" si="26"/>
        <v>-5.2140737600000001E-2</v>
      </c>
      <c r="J70" s="86">
        <f t="shared" ca="1" si="22"/>
        <v>15048889.69545453</v>
      </c>
      <c r="K70" s="58" t="str">
        <f ca="1">IFERROR(OFFSET(INDIRECT($H$3 &amp; "!A125"), 14, 0), "")</f>
        <v>무비블록</v>
      </c>
      <c r="L70" s="44">
        <f t="shared" ca="1" si="18"/>
        <v>13.3</v>
      </c>
      <c r="M70" s="74">
        <f t="shared" ca="1" si="19"/>
        <v>-9.5238095199999998E-2</v>
      </c>
      <c r="N70" s="86">
        <f t="shared" ca="1" si="23"/>
        <v>1982625663.0803597</v>
      </c>
      <c r="O70" s="58" t="str">
        <f ca="1">IFERROR(OFFSET(INDIRECT($H$3 &amp; "!A152"), 14, 0), "")</f>
        <v>모스코인</v>
      </c>
      <c r="P70" s="44">
        <f t="shared" ca="1" si="20"/>
        <v>143</v>
      </c>
      <c r="Q70" s="74">
        <f t="shared" ca="1" si="21"/>
        <v>-5.9210526300000003E-2</v>
      </c>
      <c r="R70" s="86">
        <f t="shared" ca="1" si="24"/>
        <v>84316345.185264647</v>
      </c>
    </row>
    <row r="71" spans="1:18">
      <c r="A71" s="40" t="s">
        <v>195</v>
      </c>
      <c r="B71" s="11" t="s">
        <v>196</v>
      </c>
      <c r="C71" s="91">
        <v>15.3</v>
      </c>
      <c r="D71" s="88">
        <v>-8.3832335300000005E-2</v>
      </c>
      <c r="E71" s="89">
        <v>485611242.62681782</v>
      </c>
      <c r="F71" s="35"/>
      <c r="G71" s="60" t="str">
        <f ca="1">IFERROR(OFFSET(INDIRECT($H$3 &amp; "!A179"), 15, 0), "")</f>
        <v>플레이댑</v>
      </c>
      <c r="H71" s="45">
        <f t="shared" ca="1" si="25"/>
        <v>380</v>
      </c>
      <c r="I71" s="76">
        <f t="shared" ca="1" si="26"/>
        <v>-9.5238095199999998E-2</v>
      </c>
      <c r="J71" s="95">
        <f t="shared" ca="1" si="22"/>
        <v>17658963.399905141</v>
      </c>
      <c r="K71" s="56" t="str">
        <f ca="1">IFERROR(OFFSET(INDIRECT($H$3 &amp; "!A125"), 15, 0), "")</f>
        <v>트웰브쉽스</v>
      </c>
      <c r="L71" s="39">
        <f t="shared" ca="1" si="18"/>
        <v>19.5</v>
      </c>
      <c r="M71" s="73">
        <f t="shared" ca="1" si="19"/>
        <v>-9.3023255799999996E-2</v>
      </c>
      <c r="N71" s="95">
        <f t="shared" ca="1" si="23"/>
        <v>510405451.59268749</v>
      </c>
      <c r="O71" s="56" t="str">
        <f ca="1">IFERROR(OFFSET(INDIRECT($H$3 &amp; "!A152"), 15, 0), "")</f>
        <v>이그니스</v>
      </c>
      <c r="P71" s="39">
        <f t="shared" ca="1" si="20"/>
        <v>129</v>
      </c>
      <c r="Q71" s="73">
        <f t="shared" ca="1" si="21"/>
        <v>-9.7902097899999999E-2</v>
      </c>
      <c r="R71" s="95">
        <f t="shared" ca="1" si="24"/>
        <v>39492074.346960522</v>
      </c>
    </row>
    <row r="72" spans="1:18">
      <c r="A72" s="40" t="s">
        <v>283</v>
      </c>
      <c r="B72" s="11" t="s">
        <v>284</v>
      </c>
      <c r="C72" s="91">
        <v>360</v>
      </c>
      <c r="D72" s="88">
        <v>-8.3969465600000001E-2</v>
      </c>
      <c r="E72" s="89">
        <v>20336790.190853741</v>
      </c>
      <c r="F72" s="35"/>
      <c r="G72" s="56" t="str">
        <f ca="1">IFERROR(OFFSET(INDIRECT($H$3 &amp; "!A179"), 16, 0), "")</f>
        <v>메인프레임</v>
      </c>
      <c r="H72" s="39">
        <f t="shared" ca="1" si="25"/>
        <v>15.5</v>
      </c>
      <c r="I72" s="73">
        <f t="shared" ca="1" si="26"/>
        <v>-9.3567251500000004E-2</v>
      </c>
      <c r="J72" s="82">
        <f t="shared" ca="1" si="22"/>
        <v>377246733.94967973</v>
      </c>
      <c r="K72" s="56" t="str">
        <f ca="1">IFERROR(OFFSET(INDIRECT($H$3 &amp; "!A125"), 16, 0), "")</f>
        <v>스톰엑스</v>
      </c>
      <c r="L72" s="39">
        <f t="shared" ca="1" si="18"/>
        <v>44.3</v>
      </c>
      <c r="M72" s="73">
        <f t="shared" ca="1" si="19"/>
        <v>-4.7311828E-2</v>
      </c>
      <c r="N72" s="82">
        <f t="shared" ca="1" si="23"/>
        <v>185711837.7301617</v>
      </c>
      <c r="O72" s="56" t="str">
        <f ca="1">IFERROR(OFFSET(INDIRECT($H$3 &amp; "!A152"), 16, 0), "")</f>
        <v>파워렛저</v>
      </c>
      <c r="P72" s="39">
        <f t="shared" ca="1" si="20"/>
        <v>431</v>
      </c>
      <c r="Q72" s="73">
        <f t="shared" ca="1" si="21"/>
        <v>-9.6436058699999994E-2</v>
      </c>
      <c r="R72" s="82">
        <f t="shared" ca="1" si="24"/>
        <v>48816626.013881058</v>
      </c>
    </row>
    <row r="73" spans="1:18">
      <c r="A73" s="40" t="s">
        <v>205</v>
      </c>
      <c r="B73" s="11" t="s">
        <v>206</v>
      </c>
      <c r="C73" s="91">
        <v>26900</v>
      </c>
      <c r="D73" s="88">
        <v>-8.4099421199999996E-2</v>
      </c>
      <c r="E73" s="89">
        <v>717712.73317658005</v>
      </c>
      <c r="F73" s="35"/>
      <c r="G73" s="56" t="str">
        <f ca="1">IFERROR(OFFSET(INDIRECT($H$3 &amp; "!A179"), 17, 0), "")</f>
        <v>스트라이크</v>
      </c>
      <c r="H73" s="39">
        <f t="shared" ca="1" si="25"/>
        <v>60920</v>
      </c>
      <c r="I73" s="73">
        <f t="shared" ca="1" si="26"/>
        <v>-8.7477531499999997E-2</v>
      </c>
      <c r="J73" s="82">
        <f t="shared" ca="1" si="22"/>
        <v>259832.73108508001</v>
      </c>
      <c r="K73" s="56" t="str">
        <f ca="1">IFERROR(OFFSET(INDIRECT($H$3 &amp; "!A125"), 17, 0), "")</f>
        <v>옵저버</v>
      </c>
      <c r="L73" s="39">
        <f t="shared" ca="1" si="18"/>
        <v>20.100000000000001</v>
      </c>
      <c r="M73" s="73">
        <f t="shared" ca="1" si="19"/>
        <v>-8.6363636399999999E-2</v>
      </c>
      <c r="N73" s="82">
        <f t="shared" ca="1" si="23"/>
        <v>471949028.86068219</v>
      </c>
      <c r="O73" s="56" t="str">
        <f ca="1">IFERROR(OFFSET(INDIRECT($H$3 &amp; "!A152"), 17, 0), "")</f>
        <v>플레이댑</v>
      </c>
      <c r="P73" s="39">
        <f t="shared" ca="1" si="20"/>
        <v>380</v>
      </c>
      <c r="Q73" s="73">
        <f t="shared" ca="1" si="21"/>
        <v>-9.5238095199999998E-2</v>
      </c>
      <c r="R73" s="82">
        <f t="shared" ca="1" si="24"/>
        <v>17658963.399905141</v>
      </c>
    </row>
    <row r="74" spans="1:18">
      <c r="A74" s="40" t="s">
        <v>167</v>
      </c>
      <c r="B74" s="11" t="s">
        <v>168</v>
      </c>
      <c r="C74" s="91">
        <v>196</v>
      </c>
      <c r="D74" s="88">
        <v>-8.4112149499999997E-2</v>
      </c>
      <c r="E74" s="89">
        <v>662407831.69838965</v>
      </c>
      <c r="F74" s="35"/>
      <c r="G74" s="56" t="str">
        <f ca="1">IFERROR(OFFSET(INDIRECT($H$3 &amp; "!A179"), 18, 0), "")</f>
        <v>썸씽</v>
      </c>
      <c r="H74" s="39">
        <f t="shared" ca="1" si="25"/>
        <v>110</v>
      </c>
      <c r="I74" s="73">
        <f t="shared" ca="1" si="26"/>
        <v>-9.0909090900000003E-2</v>
      </c>
      <c r="J74" s="82">
        <f t="shared" ca="1" si="22"/>
        <v>442212441.83229131</v>
      </c>
      <c r="K74" s="56" t="str">
        <f ca="1">IFERROR(OFFSET(INDIRECT($H$3 &amp; "!A125"), 18, 0), "")</f>
        <v>보라</v>
      </c>
      <c r="L74" s="39">
        <f t="shared" ca="1" si="18"/>
        <v>217</v>
      </c>
      <c r="M74" s="73">
        <f t="shared" ca="1" si="19"/>
        <v>-9.2050209199999997E-2</v>
      </c>
      <c r="N74" s="82">
        <f t="shared" ca="1" si="23"/>
        <v>36364959.386976629</v>
      </c>
      <c r="O74" s="56" t="str">
        <f ca="1">IFERROR(OFFSET(INDIRECT($H$3 &amp; "!A152"), 18, 0), "")</f>
        <v>썸씽</v>
      </c>
      <c r="P74" s="39">
        <f t="shared" ca="1" si="20"/>
        <v>110</v>
      </c>
      <c r="Q74" s="73">
        <f t="shared" ca="1" si="21"/>
        <v>-9.0909090900000003E-2</v>
      </c>
      <c r="R74" s="82">
        <f t="shared" ca="1" si="24"/>
        <v>442212441.83229131</v>
      </c>
    </row>
    <row r="75" spans="1:18" ht="17.25" thickBot="1">
      <c r="A75" s="40" t="s">
        <v>213</v>
      </c>
      <c r="B75" s="11" t="s">
        <v>214</v>
      </c>
      <c r="C75" s="91">
        <v>18.399999999999999</v>
      </c>
      <c r="D75" s="88">
        <v>-8.45771144E-2</v>
      </c>
      <c r="E75" s="89">
        <v>1267388825.223599</v>
      </c>
      <c r="F75" s="35"/>
      <c r="G75" s="57" t="str">
        <f ca="1">IFERROR(OFFSET(INDIRECT($H$3 &amp; "!A179"), 19, 0), "")</f>
        <v>헌트</v>
      </c>
      <c r="H75" s="37">
        <f t="shared" ca="1" si="25"/>
        <v>295</v>
      </c>
      <c r="I75" s="75">
        <f t="shared" ca="1" si="26"/>
        <v>-9.5092024499999997E-2</v>
      </c>
      <c r="J75" s="83">
        <f t="shared" ca="1" si="22"/>
        <v>20840189.49543253</v>
      </c>
      <c r="K75" s="57" t="str">
        <f ca="1">IFERROR(OFFSET(INDIRECT($H$3 &amp; "!A125"), 19, 0), "")</f>
        <v>아르고</v>
      </c>
      <c r="L75" s="37">
        <f t="shared" ca="1" si="18"/>
        <v>269</v>
      </c>
      <c r="M75" s="75">
        <f t="shared" ca="1" si="19"/>
        <v>-8.8135593200000001E-2</v>
      </c>
      <c r="N75" s="83">
        <f t="shared" ca="1" si="23"/>
        <v>12512742.65231126</v>
      </c>
      <c r="O75" s="57" t="str">
        <f ca="1">IFERROR(OFFSET(INDIRECT($H$3 &amp; "!A152"), 19, 0), "")</f>
        <v>헌트</v>
      </c>
      <c r="P75" s="37">
        <f t="shared" ca="1" si="20"/>
        <v>295</v>
      </c>
      <c r="Q75" s="75">
        <f t="shared" ca="1" si="21"/>
        <v>-9.5092024499999997E-2</v>
      </c>
      <c r="R75" s="83">
        <f t="shared" ca="1" si="24"/>
        <v>20840189.49543253</v>
      </c>
    </row>
    <row r="76" spans="1:18">
      <c r="A76" s="40" t="s">
        <v>221</v>
      </c>
      <c r="B76" s="11" t="s">
        <v>222</v>
      </c>
      <c r="C76" s="91">
        <v>14</v>
      </c>
      <c r="D76" s="88">
        <v>-8.4967320299999996E-2</v>
      </c>
      <c r="E76" s="89">
        <v>320908711.27741981</v>
      </c>
      <c r="F76" s="35"/>
      <c r="G76" s="35"/>
      <c r="H76" s="35"/>
      <c r="I76" s="35"/>
    </row>
    <row r="77" spans="1:18">
      <c r="A77" s="40" t="s">
        <v>203</v>
      </c>
      <c r="B77" s="11" t="s">
        <v>204</v>
      </c>
      <c r="C77" s="91">
        <v>5535</v>
      </c>
      <c r="D77" s="88">
        <v>-8.51239669E-2</v>
      </c>
      <c r="E77" s="89">
        <v>21656228.757745389</v>
      </c>
      <c r="F77" s="35"/>
      <c r="G77" s="35"/>
      <c r="H77" s="35"/>
      <c r="I77" s="35"/>
    </row>
    <row r="78" spans="1:18">
      <c r="A78" s="40" t="s">
        <v>211</v>
      </c>
      <c r="B78" s="11" t="s">
        <v>212</v>
      </c>
      <c r="C78" s="91">
        <v>106</v>
      </c>
      <c r="D78" s="88">
        <v>-8.6206896599999999E-2</v>
      </c>
      <c r="E78" s="89">
        <v>709790469.82815421</v>
      </c>
      <c r="F78" s="35"/>
      <c r="G78" s="35"/>
      <c r="H78" s="35"/>
      <c r="I78" s="35"/>
    </row>
    <row r="79" spans="1:18">
      <c r="A79" s="40" t="s">
        <v>217</v>
      </c>
      <c r="B79" s="11" t="s">
        <v>218</v>
      </c>
      <c r="C79" s="91">
        <v>20.100000000000001</v>
      </c>
      <c r="D79" s="88">
        <v>-8.6363636399999999E-2</v>
      </c>
      <c r="E79" s="89">
        <v>471949028.86068219</v>
      </c>
      <c r="F79" s="35"/>
      <c r="G79" s="35"/>
      <c r="H79" s="35"/>
      <c r="I79" s="35"/>
    </row>
    <row r="80" spans="1:18">
      <c r="A80" s="40" t="s">
        <v>161</v>
      </c>
      <c r="B80" s="11" t="s">
        <v>162</v>
      </c>
      <c r="C80" s="91">
        <v>1570</v>
      </c>
      <c r="D80" s="88">
        <v>-8.7209302299999999E-2</v>
      </c>
      <c r="E80" s="89">
        <v>12043698.5013656</v>
      </c>
      <c r="F80" s="35"/>
      <c r="G80" s="35"/>
      <c r="H80" s="35"/>
      <c r="I80" s="35"/>
    </row>
    <row r="81" spans="1:9">
      <c r="A81" s="40" t="s">
        <v>197</v>
      </c>
      <c r="B81" s="11" t="s">
        <v>198</v>
      </c>
      <c r="C81" s="91">
        <v>20.9</v>
      </c>
      <c r="D81" s="88">
        <v>-8.7336244499999993E-2</v>
      </c>
      <c r="E81" s="89">
        <v>801965920.75730085</v>
      </c>
      <c r="F81" s="35"/>
      <c r="G81" s="35"/>
      <c r="H81" s="35"/>
      <c r="I81" s="35"/>
    </row>
    <row r="82" spans="1:9">
      <c r="A82" s="40" t="s">
        <v>189</v>
      </c>
      <c r="B82" s="11" t="s">
        <v>190</v>
      </c>
      <c r="C82" s="91">
        <v>60920</v>
      </c>
      <c r="D82" s="88">
        <v>-8.7477531499999997E-2</v>
      </c>
      <c r="E82" s="89">
        <v>259832.73108508001</v>
      </c>
      <c r="F82" s="35"/>
      <c r="G82" s="35"/>
      <c r="H82" s="35"/>
      <c r="I82" s="35"/>
    </row>
    <row r="83" spans="1:9">
      <c r="A83" s="40" t="s">
        <v>209</v>
      </c>
      <c r="B83" s="11" t="s">
        <v>210</v>
      </c>
      <c r="C83" s="91">
        <v>146</v>
      </c>
      <c r="D83" s="88">
        <v>-8.7499999999999994E-2</v>
      </c>
      <c r="E83" s="89">
        <v>32523246.11395422</v>
      </c>
      <c r="F83" s="35"/>
      <c r="G83" s="35"/>
      <c r="H83" s="35"/>
      <c r="I83" s="35"/>
    </row>
    <row r="84" spans="1:9">
      <c r="A84" s="40" t="s">
        <v>199</v>
      </c>
      <c r="B84" s="11" t="s">
        <v>200</v>
      </c>
      <c r="C84" s="91">
        <v>269</v>
      </c>
      <c r="D84" s="88">
        <v>-8.8135593200000001E-2</v>
      </c>
      <c r="E84" s="89">
        <v>12512742.65231126</v>
      </c>
      <c r="F84" s="35"/>
      <c r="G84" s="35"/>
      <c r="H84" s="35"/>
      <c r="I84" s="35"/>
    </row>
    <row r="85" spans="1:9">
      <c r="A85" s="40" t="s">
        <v>66</v>
      </c>
      <c r="B85" s="11" t="s">
        <v>67</v>
      </c>
      <c r="C85" s="91">
        <v>6265</v>
      </c>
      <c r="D85" s="88">
        <v>-8.8727272699999998E-2</v>
      </c>
      <c r="E85" s="89">
        <v>1096478.1327187601</v>
      </c>
      <c r="F85" s="35"/>
      <c r="G85" s="35"/>
      <c r="H85" s="35"/>
      <c r="I85" s="35"/>
    </row>
    <row r="86" spans="1:9">
      <c r="A86" s="40" t="s">
        <v>201</v>
      </c>
      <c r="B86" s="11" t="s">
        <v>202</v>
      </c>
      <c r="C86" s="91">
        <v>143</v>
      </c>
      <c r="D86" s="88">
        <v>-8.9171974500000001E-2</v>
      </c>
      <c r="E86" s="89">
        <v>182523756.44482255</v>
      </c>
      <c r="F86" s="35"/>
      <c r="G86" s="35"/>
      <c r="H86" s="35"/>
      <c r="I86" s="35"/>
    </row>
    <row r="87" spans="1:9">
      <c r="A87" s="40" t="s">
        <v>153</v>
      </c>
      <c r="B87" s="11" t="s">
        <v>154</v>
      </c>
      <c r="C87" s="91">
        <v>15.3</v>
      </c>
      <c r="D87" s="88">
        <v>-8.9285714299999999E-2</v>
      </c>
      <c r="E87" s="89">
        <v>910901650.48677135</v>
      </c>
      <c r="F87" s="35"/>
      <c r="G87" s="35"/>
      <c r="H87" s="35"/>
      <c r="I87" s="35"/>
    </row>
    <row r="88" spans="1:9">
      <c r="A88" s="40" t="s">
        <v>231</v>
      </c>
      <c r="B88" s="11" t="s">
        <v>232</v>
      </c>
      <c r="C88" s="91">
        <v>132</v>
      </c>
      <c r="D88" s="88">
        <v>-8.9655172399999997E-2</v>
      </c>
      <c r="E88" s="89">
        <v>96627151.434030443</v>
      </c>
      <c r="F88" s="35"/>
      <c r="G88" s="35"/>
      <c r="H88" s="35"/>
      <c r="I88" s="35"/>
    </row>
    <row r="89" spans="1:9">
      <c r="A89" s="40" t="s">
        <v>191</v>
      </c>
      <c r="B89" s="11" t="s">
        <v>192</v>
      </c>
      <c r="C89" s="91">
        <v>884</v>
      </c>
      <c r="D89" s="88">
        <v>-9.0534979400000007E-2</v>
      </c>
      <c r="E89" s="89">
        <v>6018206.3315311503</v>
      </c>
      <c r="F89" s="35"/>
      <c r="G89" s="35"/>
      <c r="H89" s="35"/>
      <c r="I89" s="35"/>
    </row>
    <row r="90" spans="1:9">
      <c r="A90" s="40" t="s">
        <v>259</v>
      </c>
      <c r="B90" s="11" t="s">
        <v>260</v>
      </c>
      <c r="C90" s="91">
        <v>110</v>
      </c>
      <c r="D90" s="88">
        <v>-9.0909090900000003E-2</v>
      </c>
      <c r="E90" s="89">
        <v>442212441.83229131</v>
      </c>
      <c r="F90" s="35"/>
      <c r="G90" s="35"/>
      <c r="H90" s="35"/>
      <c r="I90" s="35"/>
    </row>
    <row r="91" spans="1:9">
      <c r="A91" s="40" t="s">
        <v>233</v>
      </c>
      <c r="B91" s="11" t="s">
        <v>234</v>
      </c>
      <c r="C91" s="91">
        <v>977</v>
      </c>
      <c r="D91" s="88">
        <v>-9.1162790699999996E-2</v>
      </c>
      <c r="E91" s="89">
        <v>8865125.2185040303</v>
      </c>
      <c r="F91" s="35"/>
      <c r="G91" s="35"/>
      <c r="H91" s="35"/>
      <c r="I91" s="35"/>
    </row>
    <row r="92" spans="1:9">
      <c r="A92" s="40" t="s">
        <v>173</v>
      </c>
      <c r="B92" s="11" t="s">
        <v>174</v>
      </c>
      <c r="C92" s="91">
        <v>217</v>
      </c>
      <c r="D92" s="88">
        <v>-9.2050209199999997E-2</v>
      </c>
      <c r="E92" s="89">
        <v>36364959.386976629</v>
      </c>
      <c r="F92" s="35"/>
      <c r="G92" s="35"/>
      <c r="H92" s="35"/>
      <c r="I92" s="35"/>
    </row>
    <row r="93" spans="1:9">
      <c r="A93" s="40" t="s">
        <v>121</v>
      </c>
      <c r="B93" s="11" t="s">
        <v>122</v>
      </c>
      <c r="C93" s="91">
        <v>92.6</v>
      </c>
      <c r="D93" s="88">
        <v>-9.2156862699999995E-2</v>
      </c>
      <c r="E93" s="89">
        <v>195068201.90068045</v>
      </c>
      <c r="F93" s="35"/>
      <c r="G93" s="35"/>
      <c r="H93" s="35"/>
      <c r="I93" s="35"/>
    </row>
    <row r="94" spans="1:9">
      <c r="A94" s="40" t="s">
        <v>267</v>
      </c>
      <c r="B94" s="11" t="s">
        <v>268</v>
      </c>
      <c r="C94" s="91">
        <v>68.7</v>
      </c>
      <c r="D94" s="88">
        <v>-9.2470277399999995E-2</v>
      </c>
      <c r="E94" s="89">
        <v>89144062.75648734</v>
      </c>
      <c r="F94" s="35"/>
      <c r="G94" s="35"/>
      <c r="H94" s="35"/>
      <c r="I94" s="35"/>
    </row>
    <row r="95" spans="1:9">
      <c r="A95" s="40" t="s">
        <v>249</v>
      </c>
      <c r="B95" s="11" t="s">
        <v>250</v>
      </c>
      <c r="C95" s="91">
        <v>157</v>
      </c>
      <c r="D95" s="88">
        <v>-9.2485549099999995E-2</v>
      </c>
      <c r="E95" s="89">
        <v>20550943.702807099</v>
      </c>
      <c r="F95" s="35"/>
      <c r="G95" s="35"/>
      <c r="H95" s="35"/>
      <c r="I95" s="35"/>
    </row>
    <row r="96" spans="1:9">
      <c r="A96" s="40" t="s">
        <v>207</v>
      </c>
      <c r="B96" s="11" t="s">
        <v>208</v>
      </c>
      <c r="C96" s="91">
        <v>372</v>
      </c>
      <c r="D96" s="88">
        <v>-9.2682926799999996E-2</v>
      </c>
      <c r="E96" s="89">
        <v>108132590.2960805</v>
      </c>
      <c r="F96" s="35"/>
      <c r="G96" s="35"/>
      <c r="H96" s="35"/>
      <c r="I96" s="35"/>
    </row>
    <row r="97" spans="1:9">
      <c r="A97" s="40" t="s">
        <v>265</v>
      </c>
      <c r="B97" s="11" t="s">
        <v>266</v>
      </c>
      <c r="C97" s="91">
        <v>75.099999999999994</v>
      </c>
      <c r="D97" s="88">
        <v>-9.2995169099999997E-2</v>
      </c>
      <c r="E97" s="89">
        <v>201404853.37925383</v>
      </c>
      <c r="F97" s="35"/>
      <c r="G97" s="35"/>
      <c r="H97" s="35"/>
      <c r="I97" s="35"/>
    </row>
    <row r="98" spans="1:9">
      <c r="A98" s="40" t="s">
        <v>171</v>
      </c>
      <c r="B98" s="11" t="s">
        <v>172</v>
      </c>
      <c r="C98" s="91">
        <v>19.5</v>
      </c>
      <c r="D98" s="88">
        <v>-9.3023255799999996E-2</v>
      </c>
      <c r="E98" s="89">
        <v>510405451.59268749</v>
      </c>
      <c r="F98" s="35"/>
      <c r="G98" s="35"/>
      <c r="H98" s="35"/>
      <c r="I98" s="35"/>
    </row>
    <row r="99" spans="1:9">
      <c r="A99" s="40" t="s">
        <v>123</v>
      </c>
      <c r="B99" s="11" t="s">
        <v>124</v>
      </c>
      <c r="C99" s="91">
        <v>4990</v>
      </c>
      <c r="D99" s="88">
        <v>-9.3551316999999995E-2</v>
      </c>
      <c r="E99" s="89">
        <v>1028779.55781687</v>
      </c>
      <c r="F99" s="35"/>
      <c r="G99" s="35"/>
      <c r="H99" s="35"/>
      <c r="I99" s="35"/>
    </row>
    <row r="100" spans="1:9">
      <c r="A100" s="40" t="s">
        <v>219</v>
      </c>
      <c r="B100" s="11" t="s">
        <v>220</v>
      </c>
      <c r="C100" s="91">
        <v>15.5</v>
      </c>
      <c r="D100" s="88">
        <v>-9.3567251500000004E-2</v>
      </c>
      <c r="E100" s="89">
        <v>377246733.94967973</v>
      </c>
      <c r="F100" s="35"/>
      <c r="G100" s="35"/>
      <c r="H100" s="35"/>
      <c r="I100" s="35"/>
    </row>
    <row r="101" spans="1:9">
      <c r="A101" s="40" t="s">
        <v>273</v>
      </c>
      <c r="B101" s="11" t="s">
        <v>274</v>
      </c>
      <c r="C101" s="91">
        <v>6475</v>
      </c>
      <c r="D101" s="88">
        <v>-9.37718684E-2</v>
      </c>
      <c r="E101" s="89">
        <v>672456.34897545003</v>
      </c>
      <c r="F101" s="35"/>
      <c r="G101" s="35"/>
      <c r="H101" s="35"/>
      <c r="I101" s="35"/>
    </row>
    <row r="102" spans="1:9">
      <c r="A102" s="40" t="s">
        <v>107</v>
      </c>
      <c r="B102" s="11" t="s">
        <v>108</v>
      </c>
      <c r="C102" s="91">
        <v>46200</v>
      </c>
      <c r="D102" s="88">
        <v>-9.3939988200000005E-2</v>
      </c>
      <c r="E102" s="89">
        <v>886806.93017114</v>
      </c>
      <c r="F102" s="35"/>
      <c r="G102" s="35"/>
      <c r="H102" s="35"/>
      <c r="I102" s="35"/>
    </row>
    <row r="103" spans="1:9">
      <c r="A103" s="40" t="s">
        <v>235</v>
      </c>
      <c r="B103" s="11" t="s">
        <v>236</v>
      </c>
      <c r="C103" s="91">
        <v>66.900000000000006</v>
      </c>
      <c r="D103" s="88">
        <v>-9.4722598099999999E-2</v>
      </c>
      <c r="E103" s="89">
        <v>504648379.61928153</v>
      </c>
      <c r="F103" s="35"/>
      <c r="G103" s="35"/>
      <c r="H103" s="35"/>
      <c r="I103" s="35"/>
    </row>
    <row r="104" spans="1:9">
      <c r="A104" s="40" t="s">
        <v>245</v>
      </c>
      <c r="B104" s="11" t="s">
        <v>246</v>
      </c>
      <c r="C104" s="91">
        <v>295</v>
      </c>
      <c r="D104" s="88">
        <v>-9.5092024499999997E-2</v>
      </c>
      <c r="E104" s="89">
        <v>20840189.49543253</v>
      </c>
      <c r="F104" s="35"/>
      <c r="G104" s="35"/>
      <c r="H104" s="35"/>
      <c r="I104" s="35"/>
    </row>
    <row r="105" spans="1:9">
      <c r="A105" s="40" t="s">
        <v>253</v>
      </c>
      <c r="B105" s="11" t="s">
        <v>254</v>
      </c>
      <c r="C105" s="91">
        <v>63.7</v>
      </c>
      <c r="D105" s="88">
        <v>-9.5170454500000001E-2</v>
      </c>
      <c r="E105" s="89">
        <v>89988720.789509624</v>
      </c>
      <c r="F105" s="35"/>
      <c r="G105" s="35"/>
      <c r="H105" s="35"/>
      <c r="I105" s="35"/>
    </row>
    <row r="106" spans="1:9">
      <c r="A106" s="40" t="s">
        <v>227</v>
      </c>
      <c r="B106" s="11" t="s">
        <v>228</v>
      </c>
      <c r="C106" s="91">
        <v>13.3</v>
      </c>
      <c r="D106" s="88">
        <v>-9.5238095199999998E-2</v>
      </c>
      <c r="E106" s="89">
        <v>1982625663.0803597</v>
      </c>
      <c r="F106" s="35"/>
      <c r="G106" s="35"/>
      <c r="H106" s="35"/>
      <c r="I106" s="35"/>
    </row>
    <row r="107" spans="1:9">
      <c r="A107" s="40" t="s">
        <v>225</v>
      </c>
      <c r="B107" s="11" t="s">
        <v>226</v>
      </c>
      <c r="C107" s="91">
        <v>380</v>
      </c>
      <c r="D107" s="88">
        <v>-9.5238095199999998E-2</v>
      </c>
      <c r="E107" s="89">
        <v>17658963.399905141</v>
      </c>
      <c r="F107" s="35"/>
      <c r="G107" s="35"/>
      <c r="H107" s="35"/>
      <c r="I107" s="35"/>
    </row>
    <row r="108" spans="1:9">
      <c r="A108" s="40" t="s">
        <v>247</v>
      </c>
      <c r="B108" s="11" t="s">
        <v>248</v>
      </c>
      <c r="C108" s="91">
        <v>2605</v>
      </c>
      <c r="D108" s="88">
        <v>-9.5486111100000007E-2</v>
      </c>
      <c r="E108" s="89">
        <v>5469547.4755585799</v>
      </c>
      <c r="F108" s="35"/>
      <c r="G108" s="35"/>
      <c r="H108" s="35"/>
      <c r="I108" s="35"/>
    </row>
    <row r="109" spans="1:9">
      <c r="A109" s="40" t="s">
        <v>193</v>
      </c>
      <c r="B109" s="11" t="s">
        <v>194</v>
      </c>
      <c r="C109" s="91">
        <v>10230</v>
      </c>
      <c r="D109" s="88">
        <v>-9.5490716200000006E-2</v>
      </c>
      <c r="E109" s="41">
        <v>1436474.0996909901</v>
      </c>
    </row>
    <row r="110" spans="1:9">
      <c r="A110" s="40" t="s">
        <v>181</v>
      </c>
      <c r="B110" s="11" t="s">
        <v>182</v>
      </c>
      <c r="C110" s="91">
        <v>431</v>
      </c>
      <c r="D110" s="88">
        <v>-9.6436058699999994E-2</v>
      </c>
      <c r="E110" s="41">
        <v>48816626.013881058</v>
      </c>
    </row>
    <row r="111" spans="1:9">
      <c r="A111" s="40" t="s">
        <v>281</v>
      </c>
      <c r="B111" s="11" t="s">
        <v>282</v>
      </c>
      <c r="C111" s="91">
        <v>129</v>
      </c>
      <c r="D111" s="88">
        <v>-9.7902097899999999E-2</v>
      </c>
      <c r="E111" s="41">
        <v>39492074.346960522</v>
      </c>
    </row>
    <row r="112" spans="1:9">
      <c r="A112" s="40" t="s">
        <v>179</v>
      </c>
      <c r="B112" s="11" t="s">
        <v>180</v>
      </c>
      <c r="C112" s="91">
        <v>3795</v>
      </c>
      <c r="D112" s="88">
        <v>-9.8574821899999998E-2</v>
      </c>
      <c r="E112" s="41">
        <v>7399178.5495409304</v>
      </c>
    </row>
    <row r="113" spans="1:5">
      <c r="A113" s="40" t="s">
        <v>279</v>
      </c>
      <c r="B113" s="11" t="s">
        <v>280</v>
      </c>
      <c r="C113" s="91">
        <v>1280</v>
      </c>
      <c r="D113" s="88">
        <v>-9.8591549299999998E-2</v>
      </c>
      <c r="E113" s="41">
        <v>6900652.6747867502</v>
      </c>
    </row>
    <row r="114" spans="1:5">
      <c r="A114" s="40" t="s">
        <v>251</v>
      </c>
      <c r="B114" s="11" t="s">
        <v>252</v>
      </c>
      <c r="C114" s="91">
        <v>378</v>
      </c>
      <c r="D114" s="88">
        <v>-0.1</v>
      </c>
      <c r="E114" s="41">
        <v>26585635.017698921</v>
      </c>
    </row>
    <row r="115" spans="1:5">
      <c r="A115" s="40" t="s">
        <v>81</v>
      </c>
      <c r="B115" s="11" t="s">
        <v>82</v>
      </c>
      <c r="C115" s="91">
        <v>1215</v>
      </c>
      <c r="D115" s="88">
        <v>-0.1</v>
      </c>
      <c r="E115" s="41">
        <v>6889855.5356046204</v>
      </c>
    </row>
    <row r="116" spans="1:5">
      <c r="A116" s="40" t="s">
        <v>275</v>
      </c>
      <c r="B116" s="11" t="s">
        <v>276</v>
      </c>
      <c r="C116" s="91">
        <v>3690</v>
      </c>
      <c r="D116" s="88">
        <v>-0.10109622410000001</v>
      </c>
      <c r="E116" s="41">
        <v>3158012.7049805098</v>
      </c>
    </row>
    <row r="117" spans="1:5">
      <c r="A117" s="40" t="s">
        <v>89</v>
      </c>
      <c r="B117" s="11" t="s">
        <v>90</v>
      </c>
      <c r="C117" s="91">
        <v>350400</v>
      </c>
      <c r="D117" s="88">
        <v>-0.1048665219</v>
      </c>
      <c r="E117" s="41">
        <v>105344.41426201</v>
      </c>
    </row>
    <row r="118" spans="1:5">
      <c r="A118" s="40" t="s">
        <v>185</v>
      </c>
      <c r="B118" s="11" t="s">
        <v>186</v>
      </c>
      <c r="C118" s="91">
        <v>21.6</v>
      </c>
      <c r="D118" s="88">
        <v>-0.11111111110000001</v>
      </c>
      <c r="E118" s="41">
        <v>1052430719.6805791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237</v>
      </c>
      <c r="B2" s="11" t="s">
        <v>238</v>
      </c>
      <c r="C2" s="91">
        <v>259</v>
      </c>
      <c r="D2" s="88">
        <v>0.12608695650000001</v>
      </c>
      <c r="E2" s="89">
        <v>442951405.49547029</v>
      </c>
      <c r="F2" s="35"/>
      <c r="G2" s="54"/>
      <c r="H2" s="35"/>
      <c r="I2" s="35"/>
    </row>
    <row r="3" spans="1:18" ht="17.25" thickBot="1">
      <c r="A3" s="40" t="s">
        <v>113</v>
      </c>
      <c r="B3" s="11" t="s">
        <v>114</v>
      </c>
      <c r="C3" s="91">
        <v>12840</v>
      </c>
      <c r="D3" s="88">
        <v>9.3696763200000005E-2</v>
      </c>
      <c r="E3" s="89">
        <v>6885329.2374961702</v>
      </c>
      <c r="F3" s="35"/>
      <c r="G3" s="332" t="s">
        <v>290</v>
      </c>
      <c r="H3" s="344" t="s">
        <v>406</v>
      </c>
      <c r="I3" s="344"/>
      <c r="K3" s="279" t="s">
        <v>34</v>
      </c>
      <c r="L3" s="280"/>
      <c r="M3" s="280"/>
      <c r="N3" s="281"/>
      <c r="O3" s="279" t="s">
        <v>291</v>
      </c>
      <c r="P3" s="280"/>
      <c r="Q3" s="280"/>
      <c r="R3" s="281"/>
    </row>
    <row r="4" spans="1:18" ht="17.25" thickBot="1">
      <c r="A4" s="40" t="s">
        <v>257</v>
      </c>
      <c r="B4" s="11" t="s">
        <v>258</v>
      </c>
      <c r="C4" s="91">
        <v>607</v>
      </c>
      <c r="D4" s="88">
        <v>4.1166380799999999E-2</v>
      </c>
      <c r="E4" s="89">
        <v>111017858.63072585</v>
      </c>
      <c r="F4" s="35"/>
      <c r="G4" s="333"/>
      <c r="H4" s="345"/>
      <c r="I4" s="345"/>
      <c r="K4" s="322" t="s">
        <v>55</v>
      </c>
      <c r="L4" s="341">
        <f ca="1">NOW()</f>
        <v>44333.877935763892</v>
      </c>
      <c r="M4" s="342"/>
      <c r="N4" s="343"/>
      <c r="O4" s="340" t="s">
        <v>55</v>
      </c>
      <c r="P4" s="341">
        <f ca="1">NOW()</f>
        <v>44333.877935763892</v>
      </c>
      <c r="Q4" s="342"/>
      <c r="R4" s="343"/>
    </row>
    <row r="5" spans="1:18" ht="17.25" thickBot="1">
      <c r="A5" s="40" t="s">
        <v>91</v>
      </c>
      <c r="B5" s="11" t="s">
        <v>92</v>
      </c>
      <c r="C5" s="91">
        <v>1870</v>
      </c>
      <c r="D5" s="88">
        <v>3.8888888900000002E-2</v>
      </c>
      <c r="E5" s="89">
        <v>1228716264.3214428</v>
      </c>
      <c r="F5" s="35"/>
      <c r="K5" s="333"/>
      <c r="L5" s="51" t="s">
        <v>58</v>
      </c>
      <c r="M5" s="69" t="s">
        <v>59</v>
      </c>
      <c r="N5" s="65" t="s">
        <v>294</v>
      </c>
      <c r="O5" s="302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157</v>
      </c>
      <c r="B6" s="11" t="s">
        <v>158</v>
      </c>
      <c r="C6" s="91">
        <v>8360</v>
      </c>
      <c r="D6" s="88">
        <v>3.5935563800000001E-2</v>
      </c>
      <c r="E6" s="89">
        <v>2958580.4560820698</v>
      </c>
      <c r="F6" s="35"/>
      <c r="G6" s="279" t="s">
        <v>52</v>
      </c>
      <c r="H6" s="280"/>
      <c r="I6" s="281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129</v>
      </c>
      <c r="M6" s="72">
        <f t="shared" ref="M6:M25" ca="1" si="1">_xlfn.IFNA(VLOOKUP(K6, $B$2:$D$200, 3, FALSE), "")</f>
        <v>-5.8394160600000002E-2</v>
      </c>
      <c r="N6" s="81">
        <f ca="1">_xlfn.IFNA(VLOOKUP(K6, $B$2:$E$200, 4, FALSE), "")</f>
        <v>103180801.31924941</v>
      </c>
      <c r="O6" s="68" t="s">
        <v>238</v>
      </c>
      <c r="P6" s="38">
        <f t="shared" ref="P6:P25" si="2">_xlfn.IFNA(VLOOKUP(O6, $B$2:$D$200, 2, FALSE), "")</f>
        <v>259</v>
      </c>
      <c r="Q6" s="72">
        <f t="shared" ref="Q6:Q25" si="3">_xlfn.IFNA(VLOOKUP(O6, $B$2:$D$200, 3, FALSE), "")</f>
        <v>0.12608695650000001</v>
      </c>
      <c r="R6" s="81">
        <f>_xlfn.IFNA(VLOOKUP(O6, $B$2:$E$200, 4, FALSE), "")</f>
        <v>442951405.49547029</v>
      </c>
    </row>
    <row r="7" spans="1:18">
      <c r="A7" s="40" t="s">
        <v>68</v>
      </c>
      <c r="B7" s="11" t="s">
        <v>69</v>
      </c>
      <c r="C7" s="91">
        <v>12470</v>
      </c>
      <c r="D7" s="88">
        <v>3.4854771800000003E-2</v>
      </c>
      <c r="E7" s="89">
        <v>39133375.465247937</v>
      </c>
      <c r="F7" s="35"/>
      <c r="G7" s="307" t="s">
        <v>36</v>
      </c>
      <c r="H7" s="308"/>
      <c r="I7" s="309"/>
      <c r="K7" s="56" t="str">
        <f ca="1">IFERROR(OFFSET(INDIRECT($H$3 &amp; "!A17"), 1, 0), "")</f>
        <v>크립토닷컴체인</v>
      </c>
      <c r="L7" s="39">
        <f t="shared" ca="1" si="0"/>
        <v>183</v>
      </c>
      <c r="M7" s="73">
        <f t="shared" ca="1" si="1"/>
        <v>-4.1884816800000002E-2</v>
      </c>
      <c r="N7" s="82">
        <f t="shared" ref="N7:N25" ca="1" si="4">_xlfn.IFNA(VLOOKUP(K7, $B$2:$E$200, 4, FALSE), "")</f>
        <v>86662598.084233835</v>
      </c>
      <c r="O7" s="84" t="s">
        <v>114</v>
      </c>
      <c r="P7" s="39">
        <f t="shared" si="2"/>
        <v>12840</v>
      </c>
      <c r="Q7" s="73">
        <f t="shared" si="3"/>
        <v>9.3696763200000005E-2</v>
      </c>
      <c r="R7" s="82">
        <f t="shared" ref="R7:R25" si="5">_xlfn.IFNA(VLOOKUP(O7, $B$2:$E$200, 4, FALSE), "")</f>
        <v>6885329.2374961702</v>
      </c>
    </row>
    <row r="8" spans="1:18" ht="17.25" thickBot="1">
      <c r="A8" s="40" t="s">
        <v>169</v>
      </c>
      <c r="B8" s="11" t="s">
        <v>170</v>
      </c>
      <c r="C8" s="91">
        <v>445</v>
      </c>
      <c r="D8" s="88">
        <v>9.0702947999999999E-3</v>
      </c>
      <c r="E8" s="89">
        <v>32852692.606488269</v>
      </c>
      <c r="F8" s="35"/>
      <c r="G8" s="300"/>
      <c r="H8" s="301"/>
      <c r="I8" s="302"/>
      <c r="K8" s="56" t="str">
        <f ca="1">IFERROR(OFFSET(INDIRECT($H$3 &amp; "!A17"), 2, 0), "")</f>
        <v>룸네트워크</v>
      </c>
      <c r="L8" s="39">
        <f t="shared" ca="1" si="0"/>
        <v>138</v>
      </c>
      <c r="M8" s="73">
        <f t="shared" ca="1" si="1"/>
        <v>-0.08</v>
      </c>
      <c r="N8" s="82">
        <f t="shared" ca="1" si="4"/>
        <v>27323558.86736609</v>
      </c>
      <c r="O8" s="84" t="s">
        <v>258</v>
      </c>
      <c r="P8" s="39">
        <f t="shared" si="2"/>
        <v>607</v>
      </c>
      <c r="Q8" s="73">
        <f t="shared" si="3"/>
        <v>4.1166380799999999E-2</v>
      </c>
      <c r="R8" s="82">
        <f t="shared" si="5"/>
        <v>111017858.63072585</v>
      </c>
    </row>
    <row r="9" spans="1:18" ht="17.25" thickBot="1">
      <c r="A9" s="40" t="s">
        <v>141</v>
      </c>
      <c r="B9" s="11" t="s">
        <v>142</v>
      </c>
      <c r="C9" s="91">
        <v>426</v>
      </c>
      <c r="D9" s="88">
        <v>-2.3419204000000001E-3</v>
      </c>
      <c r="E9" s="89">
        <v>140637230.36549845</v>
      </c>
      <c r="F9" s="35"/>
      <c r="G9" s="50" t="s">
        <v>38</v>
      </c>
      <c r="H9" s="280" t="s">
        <v>37</v>
      </c>
      <c r="I9" s="281"/>
      <c r="K9" s="56" t="str">
        <f ca="1">IFERROR(OFFSET(INDIRECT($H$3 &amp; "!A17"), 3, 0), "")</f>
        <v>이그니스</v>
      </c>
      <c r="L9" s="39">
        <f t="shared" ca="1" si="0"/>
        <v>129</v>
      </c>
      <c r="M9" s="73">
        <f t="shared" ca="1" si="1"/>
        <v>-9.7902097899999999E-2</v>
      </c>
      <c r="N9" s="82">
        <f t="shared" ca="1" si="4"/>
        <v>39492074.346960522</v>
      </c>
      <c r="O9" s="84" t="s">
        <v>92</v>
      </c>
      <c r="P9" s="39">
        <f t="shared" si="2"/>
        <v>1870</v>
      </c>
      <c r="Q9" s="73">
        <f t="shared" si="3"/>
        <v>3.8888888900000002E-2</v>
      </c>
      <c r="R9" s="82">
        <f t="shared" si="5"/>
        <v>1228716264.3214428</v>
      </c>
    </row>
    <row r="10" spans="1:18">
      <c r="A10" s="40" t="s">
        <v>149</v>
      </c>
      <c r="B10" s="11" t="s">
        <v>150</v>
      </c>
      <c r="C10" s="91">
        <v>4695</v>
      </c>
      <c r="D10" s="88">
        <v>-8.4477297E-3</v>
      </c>
      <c r="E10" s="89">
        <v>11155184.568287561</v>
      </c>
      <c r="F10" s="35"/>
      <c r="G10" s="334">
        <f>_xlfn.IFNA(VLOOKUP(G7, $B$2:$D$200, 3, FALSE), "-")</f>
        <v>-3.6323266700000002E-2</v>
      </c>
      <c r="H10" s="336">
        <f>_xlfn.IFNA(VLOOKUP(G7, $B$2:$D$200, 2, FALSE), "-")</f>
        <v>55555000</v>
      </c>
      <c r="I10" s="337"/>
      <c r="K10" s="58" t="str">
        <f ca="1">IFERROR(OFFSET(INDIRECT($H$3 &amp; "!A17"), 4, 0), "")</f>
        <v>모스코인</v>
      </c>
      <c r="L10" s="44">
        <f t="shared" ca="1" si="0"/>
        <v>143</v>
      </c>
      <c r="M10" s="74">
        <f t="shared" ca="1" si="1"/>
        <v>-5.9210526300000003E-2</v>
      </c>
      <c r="N10" s="86">
        <f t="shared" ca="1" si="4"/>
        <v>84316345.185264647</v>
      </c>
      <c r="O10" s="84" t="s">
        <v>158</v>
      </c>
      <c r="P10" s="39">
        <f t="shared" si="2"/>
        <v>8360</v>
      </c>
      <c r="Q10" s="73">
        <f t="shared" si="3"/>
        <v>3.5935563800000001E-2</v>
      </c>
      <c r="R10" s="86">
        <f t="shared" si="5"/>
        <v>2958580.4560820698</v>
      </c>
    </row>
    <row r="11" spans="1:18" ht="17.25" thickBot="1">
      <c r="A11" s="40" t="s">
        <v>269</v>
      </c>
      <c r="B11" s="11" t="s">
        <v>270</v>
      </c>
      <c r="C11" s="91">
        <v>460</v>
      </c>
      <c r="D11" s="88">
        <v>-2.3354564800000002E-2</v>
      </c>
      <c r="E11" s="89">
        <v>27338059.834140468</v>
      </c>
      <c r="F11" s="35"/>
      <c r="G11" s="335"/>
      <c r="H11" s="338"/>
      <c r="I11" s="339"/>
      <c r="K11" s="56" t="str">
        <f ca="1">IFERROR(OFFSET(INDIRECT($H$3 &amp; "!A17"), 5, 0), "")</f>
        <v>아르고</v>
      </c>
      <c r="L11" s="39">
        <f t="shared" ca="1" si="0"/>
        <v>269</v>
      </c>
      <c r="M11" s="73">
        <f t="shared" ca="1" si="1"/>
        <v>-8.8135593200000001E-2</v>
      </c>
      <c r="N11" s="95">
        <f t="shared" ca="1" si="4"/>
        <v>12512742.65231126</v>
      </c>
      <c r="O11" s="85" t="s">
        <v>69</v>
      </c>
      <c r="P11" s="45">
        <f t="shared" si="2"/>
        <v>12470</v>
      </c>
      <c r="Q11" s="76">
        <f t="shared" si="3"/>
        <v>3.4854771800000003E-2</v>
      </c>
      <c r="R11" s="95">
        <f t="shared" si="5"/>
        <v>39133375.465247937</v>
      </c>
    </row>
    <row r="12" spans="1:18" ht="17.25" thickBot="1">
      <c r="A12" s="40" t="s">
        <v>155</v>
      </c>
      <c r="B12" s="11" t="s">
        <v>156</v>
      </c>
      <c r="C12" s="91">
        <v>145</v>
      </c>
      <c r="D12" s="88">
        <v>-2.68456376E-2</v>
      </c>
      <c r="E12" s="89">
        <v>726974303.93945134</v>
      </c>
      <c r="F12" s="35"/>
      <c r="K12" s="56" t="str">
        <f ca="1">IFERROR(OFFSET(INDIRECT($H$3 &amp; "!A17"), 6, 0), "")</f>
        <v>센티넬프로토콜</v>
      </c>
      <c r="L12" s="39">
        <f t="shared" ca="1" si="0"/>
        <v>132</v>
      </c>
      <c r="M12" s="73">
        <f t="shared" ca="1" si="1"/>
        <v>-8.9655172399999997E-2</v>
      </c>
      <c r="N12" s="82">
        <f t="shared" ca="1" si="4"/>
        <v>96627151.434030443</v>
      </c>
      <c r="O12" s="84" t="s">
        <v>170</v>
      </c>
      <c r="P12" s="39">
        <f t="shared" si="2"/>
        <v>445</v>
      </c>
      <c r="Q12" s="73">
        <f t="shared" si="3"/>
        <v>9.0702947999999999E-3</v>
      </c>
      <c r="R12" s="82">
        <f t="shared" si="5"/>
        <v>32852692.606488269</v>
      </c>
    </row>
    <row r="13" spans="1:18" ht="17.25" thickBot="1">
      <c r="A13" s="40" t="s">
        <v>105</v>
      </c>
      <c r="B13" s="11" t="s">
        <v>106</v>
      </c>
      <c r="C13" s="91">
        <v>1885</v>
      </c>
      <c r="D13" s="88">
        <v>-3.3333333299999997E-2</v>
      </c>
      <c r="E13" s="89">
        <v>3730444.4399451199</v>
      </c>
      <c r="F13" s="35"/>
      <c r="G13" s="279" t="s">
        <v>70</v>
      </c>
      <c r="H13" s="280"/>
      <c r="I13" s="281"/>
      <c r="K13" s="56" t="str">
        <f ca="1">IFERROR(OFFSET(INDIRECT($H$3 &amp; "!A17"), 7, 0), "")</f>
        <v>보라</v>
      </c>
      <c r="L13" s="39">
        <f t="shared" ca="1" si="0"/>
        <v>217</v>
      </c>
      <c r="M13" s="73">
        <f t="shared" ca="1" si="1"/>
        <v>-9.2050209199999997E-2</v>
      </c>
      <c r="N13" s="82">
        <f t="shared" ca="1" si="4"/>
        <v>36364959.386976629</v>
      </c>
      <c r="O13" s="84" t="s">
        <v>142</v>
      </c>
      <c r="P13" s="39">
        <f t="shared" si="2"/>
        <v>426</v>
      </c>
      <c r="Q13" s="73">
        <f t="shared" si="3"/>
        <v>-2.3419204000000001E-3</v>
      </c>
      <c r="R13" s="82">
        <f t="shared" si="5"/>
        <v>140637230.36549845</v>
      </c>
    </row>
    <row r="14" spans="1:18">
      <c r="A14" s="40" t="s">
        <v>147</v>
      </c>
      <c r="B14" s="11" t="s">
        <v>148</v>
      </c>
      <c r="C14" s="91">
        <v>168</v>
      </c>
      <c r="D14" s="88">
        <v>-3.4482758600000003E-2</v>
      </c>
      <c r="E14" s="89">
        <v>38749270.14572867</v>
      </c>
      <c r="F14" s="35"/>
      <c r="G14" s="307" t="s">
        <v>36</v>
      </c>
      <c r="H14" s="308"/>
      <c r="I14" s="309"/>
      <c r="K14" s="56" t="str">
        <f ca="1">IFERROR(OFFSET(INDIRECT($H$3 &amp; "!A17"), 8, 0), "")</f>
        <v>디카르고</v>
      </c>
      <c r="L14" s="39">
        <f t="shared" ca="1" si="0"/>
        <v>199</v>
      </c>
      <c r="M14" s="73">
        <f t="shared" ca="1" si="1"/>
        <v>-7.8703703700000002E-2</v>
      </c>
      <c r="N14" s="82">
        <f t="shared" ca="1" si="4"/>
        <v>79369272.317686915</v>
      </c>
      <c r="O14" s="84" t="s">
        <v>150</v>
      </c>
      <c r="P14" s="39">
        <f t="shared" si="2"/>
        <v>4695</v>
      </c>
      <c r="Q14" s="73">
        <f t="shared" si="3"/>
        <v>-8.4477297E-3</v>
      </c>
      <c r="R14" s="82">
        <f t="shared" si="5"/>
        <v>11155184.568287561</v>
      </c>
    </row>
    <row r="15" spans="1:18" ht="17.25" thickBot="1">
      <c r="A15" s="40" t="s">
        <v>50</v>
      </c>
      <c r="B15" s="11" t="s">
        <v>51</v>
      </c>
      <c r="C15" s="91">
        <v>854</v>
      </c>
      <c r="D15" s="88">
        <v>-3.5028248599999999E-2</v>
      </c>
      <c r="E15" s="89">
        <v>507578163.24821651</v>
      </c>
      <c r="F15" s="35"/>
      <c r="G15" s="300"/>
      <c r="H15" s="301"/>
      <c r="I15" s="302"/>
      <c r="K15" s="57" t="str">
        <f ca="1">IFERROR(OFFSET(INDIRECT($H$3 &amp; "!A17"), 9, 0), "")</f>
        <v>픽셀</v>
      </c>
      <c r="L15" s="37">
        <f t="shared" ca="1" si="0"/>
        <v>92.6</v>
      </c>
      <c r="M15" s="75">
        <f t="shared" ca="1" si="1"/>
        <v>-9.2156862699999995E-2</v>
      </c>
      <c r="N15" s="83">
        <f t="shared" ca="1" si="4"/>
        <v>195068201.90068045</v>
      </c>
      <c r="O15" s="70" t="s">
        <v>270</v>
      </c>
      <c r="P15" s="37">
        <f t="shared" si="2"/>
        <v>460</v>
      </c>
      <c r="Q15" s="75">
        <f t="shared" si="3"/>
        <v>-2.3354564800000002E-2</v>
      </c>
      <c r="R15" s="83">
        <f t="shared" si="5"/>
        <v>27338059.834140468</v>
      </c>
    </row>
    <row r="16" spans="1:18" ht="17.25" thickBot="1">
      <c r="A16" s="40" t="s">
        <v>135</v>
      </c>
      <c r="B16" s="11" t="s">
        <v>136</v>
      </c>
      <c r="C16" s="91">
        <v>213</v>
      </c>
      <c r="D16" s="88">
        <v>-3.6199095000000001E-2</v>
      </c>
      <c r="E16" s="89">
        <v>35854396.120439582</v>
      </c>
      <c r="F16" s="35"/>
      <c r="G16" s="50" t="s">
        <v>38</v>
      </c>
      <c r="H16" s="280" t="s">
        <v>37</v>
      </c>
      <c r="I16" s="281"/>
      <c r="K16" s="55" t="str">
        <f ca="1">IFERROR(OFFSET(INDIRECT($H$3 &amp; "!A17"), 10, 0), "")</f>
        <v>메타디움</v>
      </c>
      <c r="L16" s="38">
        <f t="shared" ca="1" si="0"/>
        <v>143</v>
      </c>
      <c r="M16" s="72">
        <f t="shared" ca="1" si="1"/>
        <v>-8.9171974500000001E-2</v>
      </c>
      <c r="N16" s="81">
        <f t="shared" ca="1" si="4"/>
        <v>182523756.44482255</v>
      </c>
      <c r="O16" s="68" t="s">
        <v>156</v>
      </c>
      <c r="P16" s="38">
        <f t="shared" si="2"/>
        <v>145</v>
      </c>
      <c r="Q16" s="72">
        <f t="shared" si="3"/>
        <v>-2.68456376E-2</v>
      </c>
      <c r="R16" s="81">
        <f t="shared" si="5"/>
        <v>726974303.93945134</v>
      </c>
    </row>
    <row r="17" spans="1:18">
      <c r="A17" s="40" t="s">
        <v>109</v>
      </c>
      <c r="B17" s="11" t="s">
        <v>110</v>
      </c>
      <c r="C17" s="91">
        <v>2390</v>
      </c>
      <c r="D17" s="88">
        <v>-3.6290322600000001E-2</v>
      </c>
      <c r="E17" s="89">
        <v>3492390.4807595601</v>
      </c>
      <c r="F17" s="35"/>
      <c r="G17" s="334">
        <f>_xlfn.IFNA(VLOOKUP(G14, $B$2:$D$200, 3, FALSE), "-")</f>
        <v>-3.6323266700000002E-2</v>
      </c>
      <c r="H17" s="336">
        <f>_xlfn.IFNA(VLOOKUP(G14, $B$2:$D$200, 2, FALSE), "-")</f>
        <v>55555000</v>
      </c>
      <c r="I17" s="337"/>
      <c r="K17" s="56" t="str">
        <f ca="1">IFERROR(OFFSET(INDIRECT($H$3 &amp; "!A17"), 11, 0), "")</f>
        <v>솔브케어</v>
      </c>
      <c r="L17" s="39">
        <f t="shared" ca="1" si="0"/>
        <v>259</v>
      </c>
      <c r="M17" s="73">
        <f t="shared" ca="1" si="1"/>
        <v>0.12608695650000001</v>
      </c>
      <c r="N17" s="82">
        <f t="shared" ca="1" si="4"/>
        <v>442951405.49547029</v>
      </c>
      <c r="O17" s="84" t="s">
        <v>106</v>
      </c>
      <c r="P17" s="39">
        <f t="shared" si="2"/>
        <v>1885</v>
      </c>
      <c r="Q17" s="73">
        <f t="shared" si="3"/>
        <v>-3.3333333299999997E-2</v>
      </c>
      <c r="R17" s="82">
        <f t="shared" si="5"/>
        <v>3730444.4399451199</v>
      </c>
    </row>
    <row r="18" spans="1:18" ht="17.25" thickBot="1">
      <c r="A18" s="40" t="s">
        <v>48</v>
      </c>
      <c r="B18" s="11" t="s">
        <v>49</v>
      </c>
      <c r="C18" s="91">
        <v>55555000</v>
      </c>
      <c r="D18" s="88">
        <v>-3.6323266700000002E-2</v>
      </c>
      <c r="E18" s="89">
        <v>20202.342972120001</v>
      </c>
      <c r="F18" s="35"/>
      <c r="G18" s="335"/>
      <c r="H18" s="338"/>
      <c r="I18" s="339"/>
      <c r="K18" s="56" t="str">
        <f ca="1">IFERROR(OFFSET(INDIRECT($H$3 &amp; "!A17"), 12, 0), "")</f>
        <v>피르마체인</v>
      </c>
      <c r="L18" s="39">
        <f t="shared" ca="1" si="0"/>
        <v>146</v>
      </c>
      <c r="M18" s="73">
        <f t="shared" ca="1" si="1"/>
        <v>-8.7499999999999994E-2</v>
      </c>
      <c r="N18" s="82">
        <f t="shared" ca="1" si="4"/>
        <v>32523246.11395422</v>
      </c>
      <c r="O18" s="84" t="s">
        <v>148</v>
      </c>
      <c r="P18" s="39">
        <f t="shared" si="2"/>
        <v>168</v>
      </c>
      <c r="Q18" s="73">
        <f t="shared" si="3"/>
        <v>-3.4482758600000003E-2</v>
      </c>
      <c r="R18" s="82">
        <f t="shared" si="5"/>
        <v>38749270.14572867</v>
      </c>
    </row>
    <row r="19" spans="1:18" ht="17.25" thickBot="1">
      <c r="A19" s="40" t="s">
        <v>87</v>
      </c>
      <c r="B19" s="11" t="s">
        <v>88</v>
      </c>
      <c r="C19" s="91">
        <v>522</v>
      </c>
      <c r="D19" s="88">
        <v>-3.8674033099999998E-2</v>
      </c>
      <c r="E19" s="89">
        <v>78880387.770326674</v>
      </c>
      <c r="F19" s="35"/>
      <c r="K19" s="56" t="str">
        <f ca="1">IFERROR(OFFSET(INDIRECT($H$3 &amp; "!A17"), 13, 0), "")</f>
        <v>메디블록</v>
      </c>
      <c r="L19" s="39">
        <f t="shared" ca="1" si="0"/>
        <v>106</v>
      </c>
      <c r="M19" s="73">
        <f t="shared" ca="1" si="1"/>
        <v>-8.6206896599999999E-2</v>
      </c>
      <c r="N19" s="82">
        <f t="shared" ca="1" si="4"/>
        <v>709790469.82815421</v>
      </c>
      <c r="O19" s="84" t="s">
        <v>51</v>
      </c>
      <c r="P19" s="39">
        <f t="shared" si="2"/>
        <v>854</v>
      </c>
      <c r="Q19" s="73">
        <f t="shared" si="3"/>
        <v>-3.5028248599999999E-2</v>
      </c>
      <c r="R19" s="82">
        <f t="shared" si="5"/>
        <v>507578163.24821651</v>
      </c>
    </row>
    <row r="20" spans="1:18" ht="17.25" thickBot="1">
      <c r="A20" s="40" t="s">
        <v>95</v>
      </c>
      <c r="B20" s="11" t="s">
        <v>96</v>
      </c>
      <c r="C20" s="91">
        <v>4276000</v>
      </c>
      <c r="D20" s="88">
        <v>-3.9532794199999999E-2</v>
      </c>
      <c r="E20" s="89">
        <v>375170.21748842997</v>
      </c>
      <c r="F20" s="35"/>
      <c r="G20" s="279" t="s">
        <v>286</v>
      </c>
      <c r="H20" s="280"/>
      <c r="I20" s="281"/>
      <c r="K20" s="58" t="str">
        <f ca="1">IFERROR(OFFSET(INDIRECT($H$3 &amp; "!A17"), 14, 0), "")</f>
        <v>플레이댑</v>
      </c>
      <c r="L20" s="44">
        <f t="shared" ca="1" si="0"/>
        <v>380</v>
      </c>
      <c r="M20" s="74">
        <f t="shared" ca="1" si="1"/>
        <v>-9.5238095199999998E-2</v>
      </c>
      <c r="N20" s="86">
        <f t="shared" ca="1" si="4"/>
        <v>17658963.399905141</v>
      </c>
      <c r="O20" s="84" t="s">
        <v>136</v>
      </c>
      <c r="P20" s="39">
        <f t="shared" si="2"/>
        <v>213</v>
      </c>
      <c r="Q20" s="73">
        <f t="shared" si="3"/>
        <v>-3.6199095000000001E-2</v>
      </c>
      <c r="R20" s="86">
        <f t="shared" si="5"/>
        <v>35854396.120439582</v>
      </c>
    </row>
    <row r="21" spans="1:18">
      <c r="A21" s="40" t="s">
        <v>165</v>
      </c>
      <c r="B21" s="11" t="s">
        <v>166</v>
      </c>
      <c r="C21" s="91">
        <v>1900</v>
      </c>
      <c r="D21" s="88">
        <v>-4.0404040400000001E-2</v>
      </c>
      <c r="E21" s="89">
        <v>2076897.40752608</v>
      </c>
      <c r="F21" s="35"/>
      <c r="G21" s="307" t="s">
        <v>36</v>
      </c>
      <c r="H21" s="308"/>
      <c r="I21" s="309"/>
      <c r="K21" s="56" t="str">
        <f ca="1">IFERROR(OFFSET(INDIRECT($H$3 &amp; "!A17"), 15, 0), "")</f>
        <v>엔도르</v>
      </c>
      <c r="L21" s="39">
        <f t="shared" ca="1" si="0"/>
        <v>66.900000000000006</v>
      </c>
      <c r="M21" s="73">
        <f t="shared" ca="1" si="1"/>
        <v>-9.4722598099999999E-2</v>
      </c>
      <c r="N21" s="95">
        <f t="shared" ca="1" si="4"/>
        <v>504648379.61928153</v>
      </c>
      <c r="O21" s="85" t="s">
        <v>110</v>
      </c>
      <c r="P21" s="45">
        <f t="shared" si="2"/>
        <v>2390</v>
      </c>
      <c r="Q21" s="76">
        <f t="shared" si="3"/>
        <v>-3.6290322600000001E-2</v>
      </c>
      <c r="R21" s="95">
        <f t="shared" si="5"/>
        <v>3492390.4807595601</v>
      </c>
    </row>
    <row r="22" spans="1:18" ht="17.25" thickBot="1">
      <c r="A22" s="40" t="s">
        <v>295</v>
      </c>
      <c r="B22" s="11" t="s">
        <v>296</v>
      </c>
      <c r="C22" s="91">
        <v>612</v>
      </c>
      <c r="D22" s="88">
        <v>-4.07523511E-2</v>
      </c>
      <c r="E22" s="89">
        <v>3419345202.2320871</v>
      </c>
      <c r="F22" s="35"/>
      <c r="G22" s="300"/>
      <c r="H22" s="301"/>
      <c r="I22" s="302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84" t="s">
        <v>49</v>
      </c>
      <c r="P22" s="39">
        <f t="shared" si="2"/>
        <v>55555000</v>
      </c>
      <c r="Q22" s="73">
        <f t="shared" si="3"/>
        <v>-3.6323266700000002E-2</v>
      </c>
      <c r="R22" s="82">
        <f t="shared" si="5"/>
        <v>20202.342972120001</v>
      </c>
    </row>
    <row r="23" spans="1:18" ht="17.25" thickBot="1">
      <c r="A23" s="40" t="s">
        <v>129</v>
      </c>
      <c r="B23" s="11" t="s">
        <v>130</v>
      </c>
      <c r="C23" s="91">
        <v>353300</v>
      </c>
      <c r="D23" s="88">
        <v>-4.0857879700000002E-2</v>
      </c>
      <c r="E23" s="89">
        <v>274633.50702907</v>
      </c>
      <c r="F23" s="35"/>
      <c r="G23" s="50" t="s">
        <v>38</v>
      </c>
      <c r="H23" s="280" t="s">
        <v>37</v>
      </c>
      <c r="I23" s="281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84" t="s">
        <v>88</v>
      </c>
      <c r="P23" s="39">
        <f t="shared" si="2"/>
        <v>522</v>
      </c>
      <c r="Q23" s="73">
        <f t="shared" si="3"/>
        <v>-3.8674033099999998E-2</v>
      </c>
      <c r="R23" s="82">
        <f t="shared" si="5"/>
        <v>78880387.770326674</v>
      </c>
    </row>
    <row r="24" spans="1:18">
      <c r="A24" s="40" t="s">
        <v>73</v>
      </c>
      <c r="B24" s="11" t="s">
        <v>74</v>
      </c>
      <c r="C24" s="91">
        <v>28840</v>
      </c>
      <c r="D24" s="88">
        <v>-4.1860465100000001E-2</v>
      </c>
      <c r="E24" s="89">
        <v>413172.75907479</v>
      </c>
      <c r="F24" s="35"/>
      <c r="G24" s="334">
        <f>_xlfn.IFNA(VLOOKUP(G21, $B$2:$D$200, 3, FALSE), "-")</f>
        <v>-3.6323266700000002E-2</v>
      </c>
      <c r="H24" s="336">
        <f>_xlfn.IFNA(VLOOKUP(G21, $B$2:$D$200, 2, FALSE), "-")</f>
        <v>55555000</v>
      </c>
      <c r="I24" s="337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96</v>
      </c>
      <c r="P24" s="39">
        <f t="shared" si="2"/>
        <v>4276000</v>
      </c>
      <c r="Q24" s="73">
        <f t="shared" si="3"/>
        <v>-3.9532794199999999E-2</v>
      </c>
      <c r="R24" s="82">
        <f t="shared" si="5"/>
        <v>375170.21748842997</v>
      </c>
    </row>
    <row r="25" spans="1:18" ht="17.25" thickBot="1">
      <c r="A25" s="40" t="s">
        <v>119</v>
      </c>
      <c r="B25" s="11" t="s">
        <v>120</v>
      </c>
      <c r="C25" s="91">
        <v>183</v>
      </c>
      <c r="D25" s="88">
        <v>-4.1884816800000002E-2</v>
      </c>
      <c r="E25" s="89">
        <v>86662598.084233835</v>
      </c>
      <c r="F25" s="35"/>
      <c r="G25" s="335"/>
      <c r="H25" s="338"/>
      <c r="I25" s="339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166</v>
      </c>
      <c r="P25" s="37">
        <f t="shared" si="2"/>
        <v>1900</v>
      </c>
      <c r="Q25" s="75">
        <f t="shared" si="3"/>
        <v>-4.0404040400000001E-2</v>
      </c>
      <c r="R25" s="83">
        <f t="shared" si="5"/>
        <v>2076897.40752608</v>
      </c>
    </row>
    <row r="26" spans="1:18">
      <c r="A26" s="40" t="s">
        <v>139</v>
      </c>
      <c r="B26" s="11" t="s">
        <v>140</v>
      </c>
      <c r="C26" s="91">
        <v>3200</v>
      </c>
      <c r="D26" s="88">
        <v>-4.19161677E-2</v>
      </c>
      <c r="E26" s="89">
        <v>1061500.0001749599</v>
      </c>
      <c r="F26" s="35"/>
    </row>
    <row r="27" spans="1:18" ht="17.25" thickBot="1">
      <c r="A27" s="40" t="s">
        <v>64</v>
      </c>
      <c r="B27" s="11" t="s">
        <v>65</v>
      </c>
      <c r="C27" s="91">
        <v>58.8</v>
      </c>
      <c r="D27" s="88">
        <v>-4.2345276899999999E-2</v>
      </c>
      <c r="E27" s="89">
        <v>130673109.85955507</v>
      </c>
      <c r="F27" s="35"/>
    </row>
    <row r="28" spans="1:18" ht="17.25" thickBot="1">
      <c r="A28" s="40" t="s">
        <v>75</v>
      </c>
      <c r="B28" s="11" t="s">
        <v>76</v>
      </c>
      <c r="C28" s="91">
        <v>48280</v>
      </c>
      <c r="D28" s="88">
        <v>-4.5094936699999998E-2</v>
      </c>
      <c r="E28" s="89">
        <v>1669718.1178780301</v>
      </c>
      <c r="F28" s="35"/>
      <c r="G28" s="279" t="s">
        <v>46</v>
      </c>
      <c r="H28" s="280"/>
      <c r="I28" s="280"/>
      <c r="J28" s="281"/>
      <c r="K28" s="279" t="s">
        <v>44</v>
      </c>
      <c r="L28" s="280"/>
      <c r="M28" s="280"/>
      <c r="N28" s="281"/>
      <c r="O28" s="279" t="s">
        <v>45</v>
      </c>
      <c r="P28" s="280"/>
      <c r="Q28" s="280"/>
      <c r="R28" s="281"/>
    </row>
    <row r="29" spans="1:18" ht="17.25" thickBot="1">
      <c r="A29" s="40" t="s">
        <v>79</v>
      </c>
      <c r="B29" s="11" t="s">
        <v>80</v>
      </c>
      <c r="C29" s="91">
        <v>1355</v>
      </c>
      <c r="D29" s="88">
        <v>-4.57746479E-2</v>
      </c>
      <c r="E29" s="89">
        <v>6526407.8909341898</v>
      </c>
      <c r="F29" s="35"/>
      <c r="G29" s="322" t="s">
        <v>55</v>
      </c>
      <c r="H29" s="341">
        <f ca="1">NOW()</f>
        <v>44333.877935763892</v>
      </c>
      <c r="I29" s="342"/>
      <c r="J29" s="343"/>
      <c r="K29" s="340" t="s">
        <v>55</v>
      </c>
      <c r="L29" s="341">
        <f ca="1">NOW()</f>
        <v>44333.877935763892</v>
      </c>
      <c r="M29" s="342"/>
      <c r="N29" s="343"/>
      <c r="O29" s="340" t="s">
        <v>55</v>
      </c>
      <c r="P29" s="341">
        <f ca="1">NOW()</f>
        <v>44333.877935763892</v>
      </c>
      <c r="Q29" s="342"/>
      <c r="R29" s="343"/>
    </row>
    <row r="30" spans="1:18" ht="17.25" thickBot="1">
      <c r="A30" s="40" t="s">
        <v>277</v>
      </c>
      <c r="B30" s="11" t="s">
        <v>278</v>
      </c>
      <c r="C30" s="91">
        <v>125</v>
      </c>
      <c r="D30" s="88">
        <v>-4.5801526699999998E-2</v>
      </c>
      <c r="E30" s="89">
        <v>35686160.99056755</v>
      </c>
      <c r="F30" s="35"/>
      <c r="G30" s="333"/>
      <c r="H30" s="51" t="s">
        <v>58</v>
      </c>
      <c r="I30" s="69" t="s">
        <v>59</v>
      </c>
      <c r="J30" s="65" t="s">
        <v>294</v>
      </c>
      <c r="K30" s="302"/>
      <c r="L30" s="51" t="s">
        <v>58</v>
      </c>
      <c r="M30" s="69" t="s">
        <v>59</v>
      </c>
      <c r="N30" s="87" t="s">
        <v>294</v>
      </c>
      <c r="O30" s="302"/>
      <c r="P30" s="51" t="s">
        <v>58</v>
      </c>
      <c r="Q30" s="69" t="s">
        <v>59</v>
      </c>
      <c r="R30" s="87" t="s">
        <v>294</v>
      </c>
    </row>
    <row r="31" spans="1:18">
      <c r="A31" s="40" t="s">
        <v>125</v>
      </c>
      <c r="B31" s="11" t="s">
        <v>126</v>
      </c>
      <c r="C31" s="91">
        <v>44.3</v>
      </c>
      <c r="D31" s="88">
        <v>-4.7311828E-2</v>
      </c>
      <c r="E31" s="89">
        <v>185711837.7301617</v>
      </c>
      <c r="F31" s="35"/>
      <c r="G31" s="52" t="s">
        <v>238</v>
      </c>
      <c r="H31" s="38">
        <f t="shared" ref="H31:H50" si="6">_xlfn.IFNA(VLOOKUP(G31, $B$2:$D$200, 2, FALSE), "")</f>
        <v>259</v>
      </c>
      <c r="I31" s="72">
        <f t="shared" ref="I31:I50" si="7">_xlfn.IFNA(VLOOKUP(G31, $B$2:$D$200, 3, FALSE), "")</f>
        <v>0.12608695650000001</v>
      </c>
      <c r="J31" s="81">
        <f>_xlfn.IFNA(VLOOKUP(G31, $B$2:$E$200, 4, FALSE), "")</f>
        <v>442951405.49547029</v>
      </c>
      <c r="K31" s="77" t="s">
        <v>65</v>
      </c>
      <c r="L31" s="38">
        <f t="shared" ref="L31:L50" si="8">_xlfn.IFNA(VLOOKUP(K31, $B$2:$D$200, 2, FALSE), "")</f>
        <v>58.8</v>
      </c>
      <c r="M31" s="72">
        <f t="shared" ref="M31:M50" si="9">_xlfn.IFNA(VLOOKUP(K31, $B$2:$D$200, 3, FALSE), "")</f>
        <v>-4.2345276899999999E-2</v>
      </c>
      <c r="N31" s="81">
        <f>_xlfn.IFNA(VLOOKUP(K31, $B$2:$E$200, 4, FALSE), "")</f>
        <v>130673109.85955507</v>
      </c>
      <c r="O31" s="77" t="s">
        <v>238</v>
      </c>
      <c r="P31" s="38">
        <f t="shared" ref="P31:P50" si="10">_xlfn.IFNA(VLOOKUP(O31, $B$2:$D$200, 2, FALSE), "")</f>
        <v>259</v>
      </c>
      <c r="Q31" s="72">
        <f t="shared" ref="Q31:Q50" si="11">_xlfn.IFNA(VLOOKUP(O31, $B$2:$D$200, 3, FALSE), "")</f>
        <v>0.12608695650000001</v>
      </c>
      <c r="R31" s="81">
        <f>_xlfn.IFNA(VLOOKUP(O31, $B$2:$E$200, 4, FALSE), "")</f>
        <v>442951405.49547029</v>
      </c>
    </row>
    <row r="32" spans="1:18">
      <c r="A32" s="40" t="s">
        <v>255</v>
      </c>
      <c r="B32" s="11" t="s">
        <v>256</v>
      </c>
      <c r="C32" s="91">
        <v>216</v>
      </c>
      <c r="D32" s="88">
        <v>-4.8458149800000003E-2</v>
      </c>
      <c r="E32" s="89">
        <v>16973501.14810564</v>
      </c>
      <c r="F32" s="35"/>
      <c r="G32" s="47" t="s">
        <v>114</v>
      </c>
      <c r="H32" s="39">
        <f t="shared" si="6"/>
        <v>12840</v>
      </c>
      <c r="I32" s="73">
        <f t="shared" si="7"/>
        <v>9.3696763200000005E-2</v>
      </c>
      <c r="J32" s="82">
        <f t="shared" ref="J32:J50" si="12">_xlfn.IFNA(VLOOKUP(G32, $B$2:$E$200, 4, FALSE), "")</f>
        <v>6885329.2374961702</v>
      </c>
      <c r="K32" s="78" t="s">
        <v>126</v>
      </c>
      <c r="L32" s="39">
        <f t="shared" si="8"/>
        <v>44.3</v>
      </c>
      <c r="M32" s="73">
        <f t="shared" si="9"/>
        <v>-4.7311828E-2</v>
      </c>
      <c r="N32" s="82">
        <f t="shared" ref="N32:N50" si="13">_xlfn.IFNA(VLOOKUP(K32, $B$2:$E$200, 4, FALSE), "")</f>
        <v>185711837.7301617</v>
      </c>
      <c r="O32" s="78" t="s">
        <v>258</v>
      </c>
      <c r="P32" s="39">
        <f t="shared" si="10"/>
        <v>607</v>
      </c>
      <c r="Q32" s="73">
        <f t="shared" si="11"/>
        <v>4.1166380799999999E-2</v>
      </c>
      <c r="R32" s="82">
        <f t="shared" ref="R32:R50" si="14">_xlfn.IFNA(VLOOKUP(O32, $B$2:$E$200, 4, FALSE), "")</f>
        <v>111017858.63072585</v>
      </c>
    </row>
    <row r="33" spans="1:18">
      <c r="A33" s="40" t="s">
        <v>99</v>
      </c>
      <c r="B33" s="11" t="s">
        <v>100</v>
      </c>
      <c r="C33" s="91">
        <v>6.81</v>
      </c>
      <c r="D33" s="88">
        <v>-5.0209205E-2</v>
      </c>
      <c r="E33" s="89">
        <v>54867118224.489655</v>
      </c>
      <c r="F33" s="35"/>
      <c r="G33" s="47" t="s">
        <v>258</v>
      </c>
      <c r="H33" s="39">
        <f t="shared" si="6"/>
        <v>607</v>
      </c>
      <c r="I33" s="73">
        <f t="shared" si="7"/>
        <v>4.1166380799999999E-2</v>
      </c>
      <c r="J33" s="82">
        <f t="shared" si="12"/>
        <v>111017858.63072585</v>
      </c>
      <c r="K33" s="78" t="s">
        <v>100</v>
      </c>
      <c r="L33" s="39">
        <f t="shared" si="8"/>
        <v>6.81</v>
      </c>
      <c r="M33" s="73">
        <f t="shared" si="9"/>
        <v>-5.0209205E-2</v>
      </c>
      <c r="N33" s="82">
        <f t="shared" si="13"/>
        <v>54867118224.489655</v>
      </c>
      <c r="O33" s="78" t="s">
        <v>170</v>
      </c>
      <c r="P33" s="39">
        <f t="shared" si="10"/>
        <v>445</v>
      </c>
      <c r="Q33" s="73">
        <f t="shared" si="11"/>
        <v>9.0702947999999999E-3</v>
      </c>
      <c r="R33" s="82">
        <f t="shared" si="14"/>
        <v>32852692.606488269</v>
      </c>
    </row>
    <row r="34" spans="1:18">
      <c r="A34" s="40" t="s">
        <v>62</v>
      </c>
      <c r="B34" s="11" t="s">
        <v>63</v>
      </c>
      <c r="C34" s="91">
        <v>109750</v>
      </c>
      <c r="D34" s="88">
        <v>-5.1015996500000001E-2</v>
      </c>
      <c r="E34" s="89">
        <v>1743109.2409224601</v>
      </c>
      <c r="F34" s="35"/>
      <c r="G34" s="47" t="s">
        <v>92</v>
      </c>
      <c r="H34" s="39">
        <f t="shared" si="6"/>
        <v>1870</v>
      </c>
      <c r="I34" s="73">
        <f t="shared" si="7"/>
        <v>3.8888888900000002E-2</v>
      </c>
      <c r="J34" s="82">
        <f t="shared" si="12"/>
        <v>1228716264.3214428</v>
      </c>
      <c r="K34" s="78" t="s">
        <v>152</v>
      </c>
      <c r="L34" s="39">
        <f t="shared" si="8"/>
        <v>33.5</v>
      </c>
      <c r="M34" s="73">
        <f t="shared" si="9"/>
        <v>-6.6852367699999998E-2</v>
      </c>
      <c r="N34" s="82">
        <f t="shared" si="13"/>
        <v>625359149.98309481</v>
      </c>
      <c r="O34" s="78" t="s">
        <v>142</v>
      </c>
      <c r="P34" s="39">
        <f t="shared" si="10"/>
        <v>426</v>
      </c>
      <c r="Q34" s="73">
        <f t="shared" si="11"/>
        <v>-2.3419204000000001E-3</v>
      </c>
      <c r="R34" s="82">
        <f t="shared" si="14"/>
        <v>140637230.36549845</v>
      </c>
    </row>
    <row r="35" spans="1:18">
      <c r="A35" s="40" t="s">
        <v>159</v>
      </c>
      <c r="B35" s="11" t="s">
        <v>160</v>
      </c>
      <c r="C35" s="91">
        <v>2325</v>
      </c>
      <c r="D35" s="88">
        <v>-5.1020408199999999E-2</v>
      </c>
      <c r="E35" s="89">
        <v>3143326.1258419701</v>
      </c>
      <c r="F35" s="35"/>
      <c r="G35" s="47" t="s">
        <v>158</v>
      </c>
      <c r="H35" s="44">
        <f t="shared" si="6"/>
        <v>8360</v>
      </c>
      <c r="I35" s="74">
        <f t="shared" si="7"/>
        <v>3.5935563800000001E-2</v>
      </c>
      <c r="J35" s="86">
        <f t="shared" si="12"/>
        <v>2958580.4560820698</v>
      </c>
      <c r="K35" s="79" t="s">
        <v>72</v>
      </c>
      <c r="L35" s="44">
        <f t="shared" si="8"/>
        <v>27.4</v>
      </c>
      <c r="M35" s="74">
        <f t="shared" si="9"/>
        <v>-8.0536912799999999E-2</v>
      </c>
      <c r="N35" s="86">
        <f t="shared" si="13"/>
        <v>96148434.897079542</v>
      </c>
      <c r="O35" s="79" t="s">
        <v>270</v>
      </c>
      <c r="P35" s="44">
        <f t="shared" si="10"/>
        <v>460</v>
      </c>
      <c r="Q35" s="74">
        <f t="shared" si="11"/>
        <v>-2.3354564800000002E-2</v>
      </c>
      <c r="R35" s="86">
        <f t="shared" si="14"/>
        <v>27338059.834140468</v>
      </c>
    </row>
    <row r="36" spans="1:18">
      <c r="A36" s="40" t="s">
        <v>101</v>
      </c>
      <c r="B36" s="11" t="s">
        <v>102</v>
      </c>
      <c r="C36" s="91">
        <v>111800</v>
      </c>
      <c r="D36" s="88">
        <v>-5.2140737600000001E-2</v>
      </c>
      <c r="E36" s="89">
        <v>15048889.69545453</v>
      </c>
      <c r="F36" s="35"/>
      <c r="G36" s="49" t="s">
        <v>69</v>
      </c>
      <c r="H36" s="39">
        <f t="shared" si="6"/>
        <v>12470</v>
      </c>
      <c r="I36" s="73">
        <f t="shared" si="7"/>
        <v>3.4854771800000003E-2</v>
      </c>
      <c r="J36" s="95">
        <f t="shared" si="12"/>
        <v>39133375.465247937</v>
      </c>
      <c r="K36" s="78" t="s">
        <v>196</v>
      </c>
      <c r="L36" s="39">
        <f t="shared" si="8"/>
        <v>15.3</v>
      </c>
      <c r="M36" s="73">
        <f t="shared" si="9"/>
        <v>-8.3832335300000005E-2</v>
      </c>
      <c r="N36" s="95">
        <f t="shared" si="13"/>
        <v>485611242.62681782</v>
      </c>
      <c r="O36" s="78" t="s">
        <v>156</v>
      </c>
      <c r="P36" s="39">
        <f t="shared" si="10"/>
        <v>145</v>
      </c>
      <c r="Q36" s="73">
        <f t="shared" si="11"/>
        <v>-2.68456376E-2</v>
      </c>
      <c r="R36" s="95">
        <f t="shared" si="14"/>
        <v>726974303.93945134</v>
      </c>
    </row>
    <row r="37" spans="1:18">
      <c r="A37" s="40" t="s">
        <v>131</v>
      </c>
      <c r="B37" s="11" t="s">
        <v>132</v>
      </c>
      <c r="C37" s="91">
        <v>206</v>
      </c>
      <c r="D37" s="88">
        <v>-5.5045871599999997E-2</v>
      </c>
      <c r="E37" s="89">
        <v>1009754286.7128011</v>
      </c>
      <c r="F37" s="35"/>
      <c r="G37" s="47" t="s">
        <v>170</v>
      </c>
      <c r="H37" s="39">
        <f t="shared" si="6"/>
        <v>445</v>
      </c>
      <c r="I37" s="73">
        <f t="shared" si="7"/>
        <v>9.0702947999999999E-3</v>
      </c>
      <c r="J37" s="82">
        <f t="shared" si="12"/>
        <v>32852692.606488269</v>
      </c>
      <c r="K37" s="78" t="s">
        <v>214</v>
      </c>
      <c r="L37" s="39">
        <f t="shared" si="8"/>
        <v>18.399999999999999</v>
      </c>
      <c r="M37" s="73">
        <f t="shared" si="9"/>
        <v>-8.45771144E-2</v>
      </c>
      <c r="N37" s="82">
        <f t="shared" si="13"/>
        <v>1267388825.223599</v>
      </c>
      <c r="O37" s="78" t="s">
        <v>148</v>
      </c>
      <c r="P37" s="39">
        <f t="shared" si="10"/>
        <v>168</v>
      </c>
      <c r="Q37" s="73">
        <f t="shared" si="11"/>
        <v>-3.4482758600000003E-2</v>
      </c>
      <c r="R37" s="82">
        <f t="shared" si="14"/>
        <v>38749270.14572867</v>
      </c>
    </row>
    <row r="38" spans="1:18">
      <c r="A38" s="40" t="s">
        <v>183</v>
      </c>
      <c r="B38" s="11" t="s">
        <v>184</v>
      </c>
      <c r="C38" s="91">
        <v>2370</v>
      </c>
      <c r="D38" s="88">
        <v>-5.57768924E-2</v>
      </c>
      <c r="E38" s="89">
        <v>2487731.5518979402</v>
      </c>
      <c r="F38" s="35"/>
      <c r="G38" s="47" t="s">
        <v>142</v>
      </c>
      <c r="H38" s="39">
        <f t="shared" si="6"/>
        <v>426</v>
      </c>
      <c r="I38" s="73">
        <f t="shared" si="7"/>
        <v>-2.3419204000000001E-3</v>
      </c>
      <c r="J38" s="82">
        <f t="shared" si="12"/>
        <v>140637230.36549845</v>
      </c>
      <c r="K38" s="78" t="s">
        <v>222</v>
      </c>
      <c r="L38" s="39">
        <f t="shared" si="8"/>
        <v>14</v>
      </c>
      <c r="M38" s="73">
        <f t="shared" si="9"/>
        <v>-8.4967320299999996E-2</v>
      </c>
      <c r="N38" s="82">
        <f t="shared" si="13"/>
        <v>320908711.27741981</v>
      </c>
      <c r="O38" s="78" t="s">
        <v>51</v>
      </c>
      <c r="P38" s="39">
        <f t="shared" si="10"/>
        <v>854</v>
      </c>
      <c r="Q38" s="73">
        <f t="shared" si="11"/>
        <v>-3.5028248599999999E-2</v>
      </c>
      <c r="R38" s="82">
        <f t="shared" si="14"/>
        <v>507578163.24821651</v>
      </c>
    </row>
    <row r="39" spans="1:18">
      <c r="A39" s="40" t="s">
        <v>117</v>
      </c>
      <c r="B39" s="11" t="s">
        <v>118</v>
      </c>
      <c r="C39" s="91">
        <v>5925</v>
      </c>
      <c r="D39" s="88">
        <v>-5.57768924E-2</v>
      </c>
      <c r="E39" s="89">
        <v>847384.04367180006</v>
      </c>
      <c r="F39" s="35"/>
      <c r="G39" s="47" t="s">
        <v>150</v>
      </c>
      <c r="H39" s="39">
        <f t="shared" si="6"/>
        <v>4695</v>
      </c>
      <c r="I39" s="73">
        <f t="shared" si="7"/>
        <v>-8.4477297E-3</v>
      </c>
      <c r="J39" s="82">
        <f t="shared" si="12"/>
        <v>11155184.568287561</v>
      </c>
      <c r="K39" s="78" t="s">
        <v>218</v>
      </c>
      <c r="L39" s="39">
        <f t="shared" si="8"/>
        <v>20.100000000000001</v>
      </c>
      <c r="M39" s="73">
        <f t="shared" si="9"/>
        <v>-8.6363636399999999E-2</v>
      </c>
      <c r="N39" s="82">
        <f t="shared" si="13"/>
        <v>471949028.86068219</v>
      </c>
      <c r="O39" s="78" t="s">
        <v>136</v>
      </c>
      <c r="P39" s="39">
        <f t="shared" si="10"/>
        <v>213</v>
      </c>
      <c r="Q39" s="73">
        <f t="shared" si="11"/>
        <v>-3.6199095000000001E-2</v>
      </c>
      <c r="R39" s="82">
        <f t="shared" si="14"/>
        <v>35854396.120439582</v>
      </c>
    </row>
    <row r="40" spans="1:18" ht="17.25" thickBot="1">
      <c r="A40" s="40" t="s">
        <v>97</v>
      </c>
      <c r="B40" s="11" t="s">
        <v>98</v>
      </c>
      <c r="C40" s="91">
        <v>6595</v>
      </c>
      <c r="D40" s="88">
        <v>-5.7857142899999998E-2</v>
      </c>
      <c r="E40" s="89">
        <v>4172905.33709832</v>
      </c>
      <c r="F40" s="35"/>
      <c r="G40" s="53" t="s">
        <v>270</v>
      </c>
      <c r="H40" s="37">
        <f t="shared" si="6"/>
        <v>460</v>
      </c>
      <c r="I40" s="75">
        <f t="shared" si="7"/>
        <v>-2.3354564800000002E-2</v>
      </c>
      <c r="J40" s="83">
        <f t="shared" si="12"/>
        <v>27338059.834140468</v>
      </c>
      <c r="K40" s="80" t="s">
        <v>198</v>
      </c>
      <c r="L40" s="37">
        <f t="shared" si="8"/>
        <v>20.9</v>
      </c>
      <c r="M40" s="75">
        <f t="shared" si="9"/>
        <v>-8.7336244499999993E-2</v>
      </c>
      <c r="N40" s="83">
        <f t="shared" si="13"/>
        <v>801965920.75730085</v>
      </c>
      <c r="O40" s="80" t="s">
        <v>88</v>
      </c>
      <c r="P40" s="37">
        <f t="shared" si="10"/>
        <v>522</v>
      </c>
      <c r="Q40" s="75">
        <f t="shared" si="11"/>
        <v>-3.8674033099999998E-2</v>
      </c>
      <c r="R40" s="83">
        <f t="shared" si="14"/>
        <v>78880387.770326674</v>
      </c>
    </row>
    <row r="41" spans="1:18">
      <c r="A41" s="40" t="s">
        <v>133</v>
      </c>
      <c r="B41" s="11" t="s">
        <v>134</v>
      </c>
      <c r="C41" s="91">
        <v>129</v>
      </c>
      <c r="D41" s="88">
        <v>-5.8394160600000002E-2</v>
      </c>
      <c r="E41" s="89">
        <v>103180801.31924941</v>
      </c>
      <c r="F41" s="35"/>
      <c r="G41" s="52" t="s">
        <v>156</v>
      </c>
      <c r="H41" s="38">
        <f t="shared" si="6"/>
        <v>145</v>
      </c>
      <c r="I41" s="72">
        <f t="shared" si="7"/>
        <v>-2.68456376E-2</v>
      </c>
      <c r="J41" s="81">
        <f t="shared" si="12"/>
        <v>726974303.93945134</v>
      </c>
      <c r="K41" s="77" t="s">
        <v>154</v>
      </c>
      <c r="L41" s="38">
        <f t="shared" si="8"/>
        <v>15.3</v>
      </c>
      <c r="M41" s="72">
        <f t="shared" si="9"/>
        <v>-8.9285714299999999E-2</v>
      </c>
      <c r="N41" s="81">
        <f t="shared" si="13"/>
        <v>910901650.48677135</v>
      </c>
      <c r="O41" s="77" t="s">
        <v>296</v>
      </c>
      <c r="P41" s="38">
        <f t="shared" si="10"/>
        <v>612</v>
      </c>
      <c r="Q41" s="72">
        <f t="shared" si="11"/>
        <v>-4.07523511E-2</v>
      </c>
      <c r="R41" s="81">
        <f t="shared" si="14"/>
        <v>3419345202.2320871</v>
      </c>
    </row>
    <row r="42" spans="1:18">
      <c r="A42" s="40" t="s">
        <v>103</v>
      </c>
      <c r="B42" s="11" t="s">
        <v>104</v>
      </c>
      <c r="C42" s="91">
        <v>2315</v>
      </c>
      <c r="D42" s="88">
        <v>-5.8943089400000002E-2</v>
      </c>
      <c r="E42" s="89">
        <v>20575810.475288711</v>
      </c>
      <c r="F42" s="35"/>
      <c r="G42" s="47" t="s">
        <v>106</v>
      </c>
      <c r="H42" s="39">
        <f t="shared" si="6"/>
        <v>1885</v>
      </c>
      <c r="I42" s="73">
        <f t="shared" si="7"/>
        <v>-3.3333333299999997E-2</v>
      </c>
      <c r="J42" s="82">
        <f t="shared" si="12"/>
        <v>3730444.4399451199</v>
      </c>
      <c r="K42" s="78" t="s">
        <v>122</v>
      </c>
      <c r="L42" s="39">
        <f t="shared" si="8"/>
        <v>92.6</v>
      </c>
      <c r="M42" s="73">
        <f t="shared" si="9"/>
        <v>-9.2156862699999995E-2</v>
      </c>
      <c r="N42" s="82">
        <f t="shared" si="13"/>
        <v>195068201.90068045</v>
      </c>
      <c r="O42" s="78" t="s">
        <v>120</v>
      </c>
      <c r="P42" s="39">
        <f t="shared" si="10"/>
        <v>183</v>
      </c>
      <c r="Q42" s="73">
        <f t="shared" si="11"/>
        <v>-4.1884816800000002E-2</v>
      </c>
      <c r="R42" s="82">
        <f t="shared" si="14"/>
        <v>86662598.084233835</v>
      </c>
    </row>
    <row r="43" spans="1:18">
      <c r="A43" s="40" t="s">
        <v>239</v>
      </c>
      <c r="B43" s="11" t="s">
        <v>240</v>
      </c>
      <c r="C43" s="91">
        <v>143</v>
      </c>
      <c r="D43" s="88">
        <v>-5.9210526300000003E-2</v>
      </c>
      <c r="E43" s="89">
        <v>84316345.185264647</v>
      </c>
      <c r="F43" s="35"/>
      <c r="G43" s="47" t="s">
        <v>148</v>
      </c>
      <c r="H43" s="39">
        <f t="shared" si="6"/>
        <v>168</v>
      </c>
      <c r="I43" s="73">
        <f t="shared" si="7"/>
        <v>-3.4482758600000003E-2</v>
      </c>
      <c r="J43" s="82">
        <f t="shared" si="12"/>
        <v>38749270.14572867</v>
      </c>
      <c r="K43" s="78" t="s">
        <v>268</v>
      </c>
      <c r="L43" s="39">
        <f t="shared" si="8"/>
        <v>68.7</v>
      </c>
      <c r="M43" s="73">
        <f t="shared" si="9"/>
        <v>-9.2470277399999995E-2</v>
      </c>
      <c r="N43" s="82">
        <f t="shared" si="13"/>
        <v>89144062.75648734</v>
      </c>
      <c r="O43" s="78" t="s">
        <v>278</v>
      </c>
      <c r="P43" s="39">
        <f t="shared" si="10"/>
        <v>125</v>
      </c>
      <c r="Q43" s="73">
        <f t="shared" si="11"/>
        <v>-4.5801526699999998E-2</v>
      </c>
      <c r="R43" s="82">
        <f t="shared" si="14"/>
        <v>35686160.99056755</v>
      </c>
    </row>
    <row r="44" spans="1:18">
      <c r="A44" s="40" t="s">
        <v>143</v>
      </c>
      <c r="B44" s="11" t="s">
        <v>144</v>
      </c>
      <c r="C44" s="91">
        <v>10900</v>
      </c>
      <c r="D44" s="88">
        <v>-5.9534081099999997E-2</v>
      </c>
      <c r="E44" s="89">
        <v>2540187.8303132602</v>
      </c>
      <c r="F44" s="35"/>
      <c r="G44" s="47" t="s">
        <v>51</v>
      </c>
      <c r="H44" s="39">
        <f t="shared" si="6"/>
        <v>854</v>
      </c>
      <c r="I44" s="73">
        <f t="shared" si="7"/>
        <v>-3.5028248599999999E-2</v>
      </c>
      <c r="J44" s="82">
        <f t="shared" si="12"/>
        <v>507578163.24821651</v>
      </c>
      <c r="K44" s="78" t="s">
        <v>266</v>
      </c>
      <c r="L44" s="39">
        <f t="shared" si="8"/>
        <v>75.099999999999994</v>
      </c>
      <c r="M44" s="73">
        <f t="shared" si="9"/>
        <v>-9.2995169099999997E-2</v>
      </c>
      <c r="N44" s="82">
        <f t="shared" si="13"/>
        <v>201404853.37925383</v>
      </c>
      <c r="O44" s="78" t="s">
        <v>256</v>
      </c>
      <c r="P44" s="39">
        <f t="shared" si="10"/>
        <v>216</v>
      </c>
      <c r="Q44" s="73">
        <f t="shared" si="11"/>
        <v>-4.8458149800000003E-2</v>
      </c>
      <c r="R44" s="82">
        <f t="shared" si="14"/>
        <v>16973501.14810564</v>
      </c>
    </row>
    <row r="45" spans="1:18">
      <c r="A45" s="40" t="s">
        <v>77</v>
      </c>
      <c r="B45" s="11" t="s">
        <v>78</v>
      </c>
      <c r="C45" s="91">
        <v>1367500</v>
      </c>
      <c r="D45" s="88">
        <v>-6.0137456999999998E-2</v>
      </c>
      <c r="E45" s="89">
        <v>298659.07309303997</v>
      </c>
      <c r="F45" s="35"/>
      <c r="G45" s="47" t="s">
        <v>136</v>
      </c>
      <c r="H45" s="44">
        <f t="shared" si="6"/>
        <v>213</v>
      </c>
      <c r="I45" s="74">
        <f t="shared" si="7"/>
        <v>-3.6199095000000001E-2</v>
      </c>
      <c r="J45" s="86">
        <f t="shared" si="12"/>
        <v>35854396.120439582</v>
      </c>
      <c r="K45" s="79" t="s">
        <v>172</v>
      </c>
      <c r="L45" s="44">
        <f t="shared" si="8"/>
        <v>19.5</v>
      </c>
      <c r="M45" s="74">
        <f t="shared" si="9"/>
        <v>-9.3023255799999996E-2</v>
      </c>
      <c r="N45" s="86">
        <f t="shared" si="13"/>
        <v>510405451.59268749</v>
      </c>
      <c r="O45" s="79" t="s">
        <v>132</v>
      </c>
      <c r="P45" s="44">
        <f t="shared" si="10"/>
        <v>206</v>
      </c>
      <c r="Q45" s="74">
        <f t="shared" si="11"/>
        <v>-5.5045871599999997E-2</v>
      </c>
      <c r="R45" s="86">
        <f t="shared" si="14"/>
        <v>1009754286.7128011</v>
      </c>
    </row>
    <row r="46" spans="1:18">
      <c r="A46" s="40" t="s">
        <v>223</v>
      </c>
      <c r="B46" s="11" t="s">
        <v>224</v>
      </c>
      <c r="C46" s="91">
        <v>1700</v>
      </c>
      <c r="D46" s="88">
        <v>-6.07734807E-2</v>
      </c>
      <c r="E46" s="89">
        <v>16812242.947278369</v>
      </c>
      <c r="F46" s="35"/>
      <c r="G46" s="49" t="s">
        <v>110</v>
      </c>
      <c r="H46" s="39">
        <f t="shared" si="6"/>
        <v>2390</v>
      </c>
      <c r="I46" s="73">
        <f t="shared" si="7"/>
        <v>-3.6290322600000001E-2</v>
      </c>
      <c r="J46" s="95">
        <f t="shared" si="12"/>
        <v>3492390.4807595601</v>
      </c>
      <c r="K46" s="78" t="s">
        <v>220</v>
      </c>
      <c r="L46" s="39">
        <f t="shared" si="8"/>
        <v>15.5</v>
      </c>
      <c r="M46" s="73">
        <f t="shared" si="9"/>
        <v>-9.3567251500000004E-2</v>
      </c>
      <c r="N46" s="95">
        <f t="shared" si="13"/>
        <v>377246733.94967973</v>
      </c>
      <c r="O46" s="78" t="s">
        <v>134</v>
      </c>
      <c r="P46" s="39">
        <f t="shared" si="10"/>
        <v>129</v>
      </c>
      <c r="Q46" s="73">
        <f t="shared" si="11"/>
        <v>-5.8394160600000002E-2</v>
      </c>
      <c r="R46" s="95">
        <f t="shared" si="14"/>
        <v>103180801.31924941</v>
      </c>
    </row>
    <row r="47" spans="1:18">
      <c r="A47" s="40" t="s">
        <v>271</v>
      </c>
      <c r="B47" s="11" t="s">
        <v>272</v>
      </c>
      <c r="C47" s="91">
        <v>1850</v>
      </c>
      <c r="D47" s="88">
        <v>-6.09137056E-2</v>
      </c>
      <c r="E47" s="89">
        <v>3166284.0061851698</v>
      </c>
      <c r="F47" s="35"/>
      <c r="G47" s="47" t="s">
        <v>49</v>
      </c>
      <c r="H47" s="39">
        <f t="shared" si="6"/>
        <v>55555000</v>
      </c>
      <c r="I47" s="73">
        <f t="shared" si="7"/>
        <v>-3.6323266700000002E-2</v>
      </c>
      <c r="J47" s="82">
        <f t="shared" si="12"/>
        <v>20202.342972120001</v>
      </c>
      <c r="K47" s="78" t="s">
        <v>236</v>
      </c>
      <c r="L47" s="39">
        <f t="shared" si="8"/>
        <v>66.900000000000006</v>
      </c>
      <c r="M47" s="73">
        <f t="shared" si="9"/>
        <v>-9.4722598099999999E-2</v>
      </c>
      <c r="N47" s="82">
        <f t="shared" si="13"/>
        <v>504648379.61928153</v>
      </c>
      <c r="O47" s="78" t="s">
        <v>240</v>
      </c>
      <c r="P47" s="39">
        <f t="shared" si="10"/>
        <v>143</v>
      </c>
      <c r="Q47" s="73">
        <f t="shared" si="11"/>
        <v>-5.9210526300000003E-2</v>
      </c>
      <c r="R47" s="82">
        <f t="shared" si="14"/>
        <v>84316345.185264647</v>
      </c>
    </row>
    <row r="48" spans="1:18">
      <c r="A48" s="40" t="s">
        <v>60</v>
      </c>
      <c r="B48" s="11" t="s">
        <v>61</v>
      </c>
      <c r="C48" s="91">
        <v>1375</v>
      </c>
      <c r="D48" s="88">
        <v>-6.1433447099999997E-2</v>
      </c>
      <c r="E48" s="89">
        <v>43633865.506718837</v>
      </c>
      <c r="F48" s="35"/>
      <c r="G48" s="47" t="s">
        <v>88</v>
      </c>
      <c r="H48" s="39">
        <f t="shared" si="6"/>
        <v>522</v>
      </c>
      <c r="I48" s="73">
        <f t="shared" si="7"/>
        <v>-3.8674033099999998E-2</v>
      </c>
      <c r="J48" s="82">
        <f t="shared" si="12"/>
        <v>78880387.770326674</v>
      </c>
      <c r="K48" s="78" t="s">
        <v>254</v>
      </c>
      <c r="L48" s="39">
        <f t="shared" si="8"/>
        <v>63.7</v>
      </c>
      <c r="M48" s="73">
        <f t="shared" si="9"/>
        <v>-9.5170454500000001E-2</v>
      </c>
      <c r="N48" s="82">
        <f t="shared" si="13"/>
        <v>89988720.789509624</v>
      </c>
      <c r="O48" s="78" t="s">
        <v>216</v>
      </c>
      <c r="P48" s="39">
        <f t="shared" si="10"/>
        <v>378</v>
      </c>
      <c r="Q48" s="73">
        <f t="shared" si="11"/>
        <v>-6.4356435599999998E-2</v>
      </c>
      <c r="R48" s="82">
        <f t="shared" si="14"/>
        <v>12527189.78418058</v>
      </c>
    </row>
    <row r="49" spans="1:18">
      <c r="A49" s="40" t="s">
        <v>85</v>
      </c>
      <c r="B49" s="11" t="s">
        <v>86</v>
      </c>
      <c r="C49" s="91">
        <v>11760</v>
      </c>
      <c r="D49" s="88">
        <v>-6.3694267499999999E-2</v>
      </c>
      <c r="E49" s="89">
        <v>52189326.13190002</v>
      </c>
      <c r="F49" s="35"/>
      <c r="G49" s="47" t="s">
        <v>96</v>
      </c>
      <c r="H49" s="39">
        <f t="shared" si="6"/>
        <v>4276000</v>
      </c>
      <c r="I49" s="73">
        <f t="shared" si="7"/>
        <v>-3.9532794199999999E-2</v>
      </c>
      <c r="J49" s="82">
        <f t="shared" si="12"/>
        <v>375170.21748842997</v>
      </c>
      <c r="K49" s="78" t="s">
        <v>228</v>
      </c>
      <c r="L49" s="39">
        <f t="shared" si="8"/>
        <v>13.3</v>
      </c>
      <c r="M49" s="73">
        <f t="shared" si="9"/>
        <v>-9.5238095199999998E-2</v>
      </c>
      <c r="N49" s="82">
        <f t="shared" si="13"/>
        <v>1982625663.0803597</v>
      </c>
      <c r="O49" s="78" t="s">
        <v>57</v>
      </c>
      <c r="P49" s="39">
        <f t="shared" si="10"/>
        <v>347</v>
      </c>
      <c r="Q49" s="73">
        <f t="shared" si="11"/>
        <v>-6.7204301100000002E-2</v>
      </c>
      <c r="R49" s="82">
        <f t="shared" si="14"/>
        <v>131768721.85917684</v>
      </c>
    </row>
    <row r="50" spans="1:18" ht="17.25" thickBot="1">
      <c r="A50" s="40" t="s">
        <v>215</v>
      </c>
      <c r="B50" s="11" t="s">
        <v>216</v>
      </c>
      <c r="C50" s="91">
        <v>378</v>
      </c>
      <c r="D50" s="88">
        <v>-6.4356435599999998E-2</v>
      </c>
      <c r="E50" s="89">
        <v>12527189.78418058</v>
      </c>
      <c r="F50" s="35"/>
      <c r="G50" s="53" t="s">
        <v>166</v>
      </c>
      <c r="H50" s="37">
        <f t="shared" si="6"/>
        <v>1900</v>
      </c>
      <c r="I50" s="75">
        <f t="shared" si="7"/>
        <v>-4.0404040400000001E-2</v>
      </c>
      <c r="J50" s="83">
        <f t="shared" si="12"/>
        <v>2076897.40752608</v>
      </c>
      <c r="K50" s="80" t="s">
        <v>186</v>
      </c>
      <c r="L50" s="37">
        <f t="shared" si="8"/>
        <v>21.6</v>
      </c>
      <c r="M50" s="75">
        <f t="shared" si="9"/>
        <v>-0.11111111110000001</v>
      </c>
      <c r="N50" s="83">
        <f t="shared" si="13"/>
        <v>1052430719.6805791</v>
      </c>
      <c r="O50" s="80" t="s">
        <v>54</v>
      </c>
      <c r="P50" s="37">
        <f t="shared" si="10"/>
        <v>379</v>
      </c>
      <c r="Q50" s="75">
        <f t="shared" si="11"/>
        <v>-7.1078431400000003E-2</v>
      </c>
      <c r="R50" s="83">
        <f t="shared" si="14"/>
        <v>96298904.494595483</v>
      </c>
    </row>
    <row r="51" spans="1:18">
      <c r="A51" s="40" t="s">
        <v>137</v>
      </c>
      <c r="B51" s="11" t="s">
        <v>138</v>
      </c>
      <c r="C51" s="91">
        <v>49280</v>
      </c>
      <c r="D51" s="88">
        <v>-6.5250379400000003E-2</v>
      </c>
      <c r="E51" s="89">
        <v>2387276.6979360702</v>
      </c>
      <c r="F51" s="35"/>
    </row>
    <row r="52" spans="1:18" ht="17.25" thickBot="1">
      <c r="A52" s="40" t="s">
        <v>151</v>
      </c>
      <c r="B52" s="11" t="s">
        <v>152</v>
      </c>
      <c r="C52" s="91">
        <v>33.5</v>
      </c>
      <c r="D52" s="88">
        <v>-6.6852367699999998E-2</v>
      </c>
      <c r="E52" s="89">
        <v>625359149.98309481</v>
      </c>
      <c r="F52" s="35"/>
    </row>
    <row r="53" spans="1:18" ht="17.25" thickBot="1">
      <c r="A53" s="40" t="s">
        <v>243</v>
      </c>
      <c r="B53" s="11" t="s">
        <v>244</v>
      </c>
      <c r="C53" s="91">
        <v>2715</v>
      </c>
      <c r="D53" s="88">
        <v>-6.7010309300000001E-2</v>
      </c>
      <c r="E53" s="89">
        <v>10567575.0779824</v>
      </c>
      <c r="F53" s="35"/>
      <c r="G53" s="279" t="s">
        <v>285</v>
      </c>
      <c r="H53" s="280"/>
      <c r="I53" s="280"/>
      <c r="J53" s="281"/>
      <c r="K53" s="279" t="s">
        <v>288</v>
      </c>
      <c r="L53" s="280"/>
      <c r="M53" s="280"/>
      <c r="N53" s="281"/>
      <c r="O53" s="279" t="s">
        <v>289</v>
      </c>
      <c r="P53" s="280"/>
      <c r="Q53" s="280"/>
      <c r="R53" s="281"/>
    </row>
    <row r="54" spans="1:18" ht="17.25" thickBot="1">
      <c r="A54" s="40" t="s">
        <v>56</v>
      </c>
      <c r="B54" s="11" t="s">
        <v>57</v>
      </c>
      <c r="C54" s="91">
        <v>347</v>
      </c>
      <c r="D54" s="88">
        <v>-6.7204301100000002E-2</v>
      </c>
      <c r="E54" s="89">
        <v>131768721.85917684</v>
      </c>
      <c r="F54" s="35"/>
      <c r="G54" s="322" t="s">
        <v>55</v>
      </c>
      <c r="H54" s="341">
        <f ca="1">NOW()</f>
        <v>44333.877935763892</v>
      </c>
      <c r="I54" s="342"/>
      <c r="J54" s="343"/>
      <c r="K54" s="340" t="s">
        <v>55</v>
      </c>
      <c r="L54" s="341">
        <f ca="1">NOW()</f>
        <v>44333.877935763892</v>
      </c>
      <c r="M54" s="342"/>
      <c r="N54" s="343"/>
      <c r="O54" s="340" t="s">
        <v>55</v>
      </c>
      <c r="P54" s="341">
        <f ca="1">NOW()</f>
        <v>44333.877935763892</v>
      </c>
      <c r="Q54" s="342"/>
      <c r="R54" s="343"/>
    </row>
    <row r="55" spans="1:18" ht="17.25" thickBot="1">
      <c r="A55" s="40" t="s">
        <v>177</v>
      </c>
      <c r="B55" s="11" t="s">
        <v>178</v>
      </c>
      <c r="C55" s="91">
        <v>40220</v>
      </c>
      <c r="D55" s="88">
        <v>-6.8765917999999995E-2</v>
      </c>
      <c r="E55" s="89">
        <v>288972.79072605999</v>
      </c>
      <c r="F55" s="35"/>
      <c r="G55" s="333"/>
      <c r="H55" s="51" t="s">
        <v>58</v>
      </c>
      <c r="I55" s="69" t="s">
        <v>59</v>
      </c>
      <c r="J55" s="65" t="s">
        <v>294</v>
      </c>
      <c r="K55" s="302"/>
      <c r="L55" s="51" t="s">
        <v>58</v>
      </c>
      <c r="M55" s="69" t="s">
        <v>59</v>
      </c>
      <c r="N55" s="65" t="s">
        <v>294</v>
      </c>
      <c r="O55" s="302"/>
      <c r="P55" s="51" t="s">
        <v>58</v>
      </c>
      <c r="Q55" s="69" t="s">
        <v>59</v>
      </c>
      <c r="R55" s="65" t="s">
        <v>294</v>
      </c>
    </row>
    <row r="56" spans="1:18">
      <c r="A56" s="40" t="s">
        <v>53</v>
      </c>
      <c r="B56" s="11" t="s">
        <v>54</v>
      </c>
      <c r="C56" s="91">
        <v>379</v>
      </c>
      <c r="D56" s="88">
        <v>-7.1078431400000003E-2</v>
      </c>
      <c r="E56" s="89">
        <v>96298904.494595483</v>
      </c>
      <c r="F56" s="35"/>
      <c r="G56" s="55" t="s">
        <v>124</v>
      </c>
      <c r="H56" s="38">
        <f t="shared" ref="H56:H75" si="15">_xlfn.IFNA(VLOOKUP(G56, $B$2:$D$200, 2, FALSE), "")</f>
        <v>4990</v>
      </c>
      <c r="I56" s="72">
        <f t="shared" ref="I56:I65" si="16">_xlfn.IFNA(VLOOKUP(G56, $B$2:$D$200, 3, FALSE), "")</f>
        <v>-9.3551316999999995E-2</v>
      </c>
      <c r="J56" s="81">
        <f>_xlfn.IFNA(VLOOKUP(G56, $B$2:$E$200, 4, FALSE), "")</f>
        <v>1028779.55781687</v>
      </c>
      <c r="K56" s="77" t="s">
        <v>65</v>
      </c>
      <c r="L56" s="38">
        <f t="shared" ref="L56:L75" si="17">_xlfn.IFNA(VLOOKUP(K56, $B$2:$D$200, 2, FALSE), "")</f>
        <v>58.8</v>
      </c>
      <c r="M56" s="72">
        <f t="shared" ref="M56:M75" si="18">_xlfn.IFNA(VLOOKUP(K56, $B$2:$D$200, 3, FALSE), "")</f>
        <v>-4.2345276899999999E-2</v>
      </c>
      <c r="N56" s="81">
        <f>_xlfn.IFNA(VLOOKUP(K56, $B$2:$E$200, 4, FALSE), "")</f>
        <v>130673109.85955507</v>
      </c>
      <c r="O56" s="77" t="s">
        <v>264</v>
      </c>
      <c r="P56" s="38">
        <f t="shared" ref="P56:P75" si="19">_xlfn.IFNA(VLOOKUP(O56, $B$2:$D$200, 2, FALSE), "")</f>
        <v>138</v>
      </c>
      <c r="Q56" s="72">
        <f t="shared" ref="Q56:Q75" si="20">_xlfn.IFNA(VLOOKUP(O56, $B$2:$D$200, 3, FALSE), "")</f>
        <v>-0.08</v>
      </c>
      <c r="R56" s="81">
        <f>_xlfn.IFNA(VLOOKUP(O56, $B$2:$E$200, 4, FALSE), "")</f>
        <v>27323558.86736609</v>
      </c>
    </row>
    <row r="57" spans="1:18">
      <c r="A57" s="40" t="s">
        <v>127</v>
      </c>
      <c r="B57" s="11" t="s">
        <v>128</v>
      </c>
      <c r="C57" s="91">
        <v>512</v>
      </c>
      <c r="D57" s="88">
        <v>-7.2463768100000006E-2</v>
      </c>
      <c r="E57" s="89">
        <v>12132682.45603516</v>
      </c>
      <c r="F57" s="35"/>
      <c r="G57" s="56" t="s">
        <v>220</v>
      </c>
      <c r="H57" s="39">
        <f t="shared" si="15"/>
        <v>15.5</v>
      </c>
      <c r="I57" s="73">
        <f t="shared" si="16"/>
        <v>-9.3567251500000004E-2</v>
      </c>
      <c r="J57" s="82">
        <f t="shared" ref="J57:J75" si="21">_xlfn.IFNA(VLOOKUP(G57, $B$2:$E$200, 4, FALSE), "")</f>
        <v>377246733.94967973</v>
      </c>
      <c r="K57" s="78" t="s">
        <v>126</v>
      </c>
      <c r="L57" s="39">
        <f t="shared" si="17"/>
        <v>44.3</v>
      </c>
      <c r="M57" s="73">
        <f t="shared" si="18"/>
        <v>-4.7311828E-2</v>
      </c>
      <c r="N57" s="82">
        <f t="shared" ref="N57:N75" si="22">_xlfn.IFNA(VLOOKUP(K57, $B$2:$E$200, 4, FALSE), "")</f>
        <v>185711837.7301617</v>
      </c>
      <c r="O57" s="78" t="s">
        <v>230</v>
      </c>
      <c r="P57" s="39">
        <f t="shared" si="19"/>
        <v>134</v>
      </c>
      <c r="Q57" s="73">
        <f t="shared" si="20"/>
        <v>-8.2191780800000003E-2</v>
      </c>
      <c r="R57" s="82">
        <f t="shared" ref="R57:R75" si="23">_xlfn.IFNA(VLOOKUP(O57, $B$2:$E$200, 4, FALSE), "")</f>
        <v>53059964.083123319</v>
      </c>
    </row>
    <row r="58" spans="1:18">
      <c r="A58" s="40" t="s">
        <v>83</v>
      </c>
      <c r="B58" s="11" t="s">
        <v>84</v>
      </c>
      <c r="C58" s="91">
        <v>2655</v>
      </c>
      <c r="D58" s="88">
        <v>-7.3298429299999995E-2</v>
      </c>
      <c r="E58" s="89">
        <v>469363125.28072852</v>
      </c>
      <c r="F58" s="35"/>
      <c r="G58" s="56" t="s">
        <v>274</v>
      </c>
      <c r="H58" s="39">
        <f t="shared" si="15"/>
        <v>6475</v>
      </c>
      <c r="I58" s="73">
        <f t="shared" si="16"/>
        <v>-9.37718684E-2</v>
      </c>
      <c r="J58" s="82">
        <f t="shared" si="21"/>
        <v>672456.34897545003</v>
      </c>
      <c r="K58" s="78" t="s">
        <v>100</v>
      </c>
      <c r="L58" s="39">
        <f t="shared" si="17"/>
        <v>6.81</v>
      </c>
      <c r="M58" s="73">
        <f t="shared" si="18"/>
        <v>-5.0209205E-2</v>
      </c>
      <c r="N58" s="82">
        <f t="shared" si="22"/>
        <v>54867118224.489655</v>
      </c>
      <c r="O58" s="78" t="s">
        <v>284</v>
      </c>
      <c r="P58" s="39">
        <f t="shared" si="19"/>
        <v>360</v>
      </c>
      <c r="Q58" s="73">
        <f t="shared" si="20"/>
        <v>-8.3969465600000001E-2</v>
      </c>
      <c r="R58" s="82">
        <f t="shared" si="23"/>
        <v>20336790.190853741</v>
      </c>
    </row>
    <row r="59" spans="1:18">
      <c r="A59" s="40" t="s">
        <v>261</v>
      </c>
      <c r="B59" s="11" t="s">
        <v>262</v>
      </c>
      <c r="C59" s="91">
        <v>959</v>
      </c>
      <c r="D59" s="88">
        <v>-7.3429951699999996E-2</v>
      </c>
      <c r="E59" s="89">
        <v>32837884.236369729</v>
      </c>
      <c r="F59" s="35"/>
      <c r="G59" s="56" t="s">
        <v>108</v>
      </c>
      <c r="H59" s="39">
        <f t="shared" si="15"/>
        <v>46200</v>
      </c>
      <c r="I59" s="73">
        <f t="shared" si="16"/>
        <v>-9.3939988200000005E-2</v>
      </c>
      <c r="J59" s="82">
        <f t="shared" si="21"/>
        <v>886806.93017114</v>
      </c>
      <c r="K59" s="78" t="s">
        <v>152</v>
      </c>
      <c r="L59" s="39">
        <f t="shared" si="17"/>
        <v>33.5</v>
      </c>
      <c r="M59" s="73">
        <f t="shared" si="18"/>
        <v>-6.6852367699999998E-2</v>
      </c>
      <c r="N59" s="82">
        <f t="shared" si="22"/>
        <v>625359149.98309481</v>
      </c>
      <c r="O59" s="78" t="s">
        <v>168</v>
      </c>
      <c r="P59" s="39">
        <f t="shared" si="19"/>
        <v>196</v>
      </c>
      <c r="Q59" s="73">
        <f t="shared" si="20"/>
        <v>-8.4112149499999997E-2</v>
      </c>
      <c r="R59" s="82">
        <f t="shared" si="23"/>
        <v>662407831.69838965</v>
      </c>
    </row>
    <row r="60" spans="1:18">
      <c r="A60" s="40" t="s">
        <v>187</v>
      </c>
      <c r="B60" s="11" t="s">
        <v>188</v>
      </c>
      <c r="C60" s="91">
        <v>22240</v>
      </c>
      <c r="D60" s="88">
        <v>-7.3719283600000005E-2</v>
      </c>
      <c r="E60" s="89">
        <v>12074419.75339976</v>
      </c>
      <c r="F60" s="35"/>
      <c r="G60" s="56" t="s">
        <v>236</v>
      </c>
      <c r="H60" s="39">
        <f t="shared" si="15"/>
        <v>66.900000000000006</v>
      </c>
      <c r="I60" s="73">
        <f t="shared" si="16"/>
        <v>-9.4722598099999999E-2</v>
      </c>
      <c r="J60" s="86">
        <f t="shared" si="21"/>
        <v>504648379.61928153</v>
      </c>
      <c r="K60" s="79" t="s">
        <v>72</v>
      </c>
      <c r="L60" s="44">
        <f t="shared" si="17"/>
        <v>27.4</v>
      </c>
      <c r="M60" s="74">
        <f t="shared" si="18"/>
        <v>-8.0536912799999999E-2</v>
      </c>
      <c r="N60" s="86">
        <f t="shared" si="22"/>
        <v>96148434.897079542</v>
      </c>
      <c r="O60" s="79" t="s">
        <v>212</v>
      </c>
      <c r="P60" s="44">
        <f t="shared" si="19"/>
        <v>106</v>
      </c>
      <c r="Q60" s="74">
        <f t="shared" si="20"/>
        <v>-8.6206896599999999E-2</v>
      </c>
      <c r="R60" s="86">
        <f t="shared" si="23"/>
        <v>709790469.82815421</v>
      </c>
    </row>
    <row r="61" spans="1:18">
      <c r="A61" s="40" t="s">
        <v>163</v>
      </c>
      <c r="B61" s="11" t="s">
        <v>164</v>
      </c>
      <c r="C61" s="91">
        <v>34940</v>
      </c>
      <c r="D61" s="88">
        <v>-7.4927190899999996E-2</v>
      </c>
      <c r="E61" s="89">
        <v>597229.39977261994</v>
      </c>
      <c r="F61" s="35"/>
      <c r="G61" s="60" t="s">
        <v>246</v>
      </c>
      <c r="H61" s="45">
        <f t="shared" si="15"/>
        <v>295</v>
      </c>
      <c r="I61" s="76">
        <f t="shared" si="16"/>
        <v>-9.5092024499999997E-2</v>
      </c>
      <c r="J61" s="95">
        <f t="shared" si="21"/>
        <v>20840189.49543253</v>
      </c>
      <c r="K61" s="78" t="s">
        <v>196</v>
      </c>
      <c r="L61" s="39">
        <f t="shared" si="17"/>
        <v>15.3</v>
      </c>
      <c r="M61" s="73">
        <f t="shared" si="18"/>
        <v>-8.3832335300000005E-2</v>
      </c>
      <c r="N61" s="95">
        <f t="shared" si="22"/>
        <v>485611242.62681782</v>
      </c>
      <c r="O61" s="78" t="s">
        <v>210</v>
      </c>
      <c r="P61" s="39">
        <f t="shared" si="19"/>
        <v>146</v>
      </c>
      <c r="Q61" s="73">
        <f t="shared" si="20"/>
        <v>-8.7499999999999994E-2</v>
      </c>
      <c r="R61" s="95">
        <f t="shared" si="23"/>
        <v>32523246.11395422</v>
      </c>
    </row>
    <row r="62" spans="1:18">
      <c r="A62" s="40" t="s">
        <v>115</v>
      </c>
      <c r="B62" s="11" t="s">
        <v>116</v>
      </c>
      <c r="C62" s="91">
        <v>477</v>
      </c>
      <c r="D62" s="88">
        <v>-7.7369439100000006E-2</v>
      </c>
      <c r="E62" s="89">
        <v>19988790.04643045</v>
      </c>
      <c r="F62" s="35"/>
      <c r="G62" s="56" t="s">
        <v>254</v>
      </c>
      <c r="H62" s="39">
        <f t="shared" si="15"/>
        <v>63.7</v>
      </c>
      <c r="I62" s="73">
        <f t="shared" si="16"/>
        <v>-9.5170454500000001E-2</v>
      </c>
      <c r="J62" s="82">
        <f t="shared" si="21"/>
        <v>89988720.789509624</v>
      </c>
      <c r="K62" s="78" t="s">
        <v>214</v>
      </c>
      <c r="L62" s="39">
        <f t="shared" si="17"/>
        <v>18.399999999999999</v>
      </c>
      <c r="M62" s="73">
        <f t="shared" si="18"/>
        <v>-8.45771144E-2</v>
      </c>
      <c r="N62" s="82">
        <f t="shared" si="22"/>
        <v>1267388825.223599</v>
      </c>
      <c r="O62" s="78" t="s">
        <v>200</v>
      </c>
      <c r="P62" s="39">
        <f t="shared" si="19"/>
        <v>269</v>
      </c>
      <c r="Q62" s="73">
        <f t="shared" si="20"/>
        <v>-8.8135593200000001E-2</v>
      </c>
      <c r="R62" s="82">
        <f t="shared" si="23"/>
        <v>12512742.65231126</v>
      </c>
    </row>
    <row r="63" spans="1:18">
      <c r="A63" s="40" t="s">
        <v>145</v>
      </c>
      <c r="B63" s="11" t="s">
        <v>146</v>
      </c>
      <c r="C63" s="91">
        <v>14140</v>
      </c>
      <c r="D63" s="88">
        <v>-7.7625570800000002E-2</v>
      </c>
      <c r="E63" s="89">
        <v>847283.02521163004</v>
      </c>
      <c r="F63" s="35"/>
      <c r="G63" s="56" t="s">
        <v>228</v>
      </c>
      <c r="H63" s="39">
        <f t="shared" si="15"/>
        <v>13.3</v>
      </c>
      <c r="I63" s="73">
        <f t="shared" si="16"/>
        <v>-9.5238095199999998E-2</v>
      </c>
      <c r="J63" s="82">
        <f t="shared" si="21"/>
        <v>1982625663.0803597</v>
      </c>
      <c r="K63" s="78" t="s">
        <v>222</v>
      </c>
      <c r="L63" s="39">
        <f t="shared" si="17"/>
        <v>14</v>
      </c>
      <c r="M63" s="73">
        <f t="shared" si="18"/>
        <v>-8.4967320299999996E-2</v>
      </c>
      <c r="N63" s="82">
        <f t="shared" si="22"/>
        <v>320908711.27741981</v>
      </c>
      <c r="O63" s="78" t="s">
        <v>202</v>
      </c>
      <c r="P63" s="39">
        <f t="shared" si="19"/>
        <v>143</v>
      </c>
      <c r="Q63" s="73">
        <f t="shared" si="20"/>
        <v>-8.9171974500000001E-2</v>
      </c>
      <c r="R63" s="82">
        <f t="shared" si="23"/>
        <v>182523756.44482255</v>
      </c>
    </row>
    <row r="64" spans="1:18">
      <c r="A64" s="40" t="s">
        <v>111</v>
      </c>
      <c r="B64" s="11" t="s">
        <v>112</v>
      </c>
      <c r="C64" s="91">
        <v>199</v>
      </c>
      <c r="D64" s="88">
        <v>-7.8703703700000002E-2</v>
      </c>
      <c r="E64" s="89">
        <v>79369272.317686915</v>
      </c>
      <c r="F64" s="35"/>
      <c r="G64" s="56" t="s">
        <v>226</v>
      </c>
      <c r="H64" s="39">
        <f t="shared" si="15"/>
        <v>380</v>
      </c>
      <c r="I64" s="73">
        <f t="shared" si="16"/>
        <v>-9.5238095199999998E-2</v>
      </c>
      <c r="J64" s="82">
        <f t="shared" si="21"/>
        <v>17658963.399905141</v>
      </c>
      <c r="K64" s="78" t="s">
        <v>218</v>
      </c>
      <c r="L64" s="39">
        <f t="shared" si="17"/>
        <v>20.100000000000001</v>
      </c>
      <c r="M64" s="73">
        <f t="shared" si="18"/>
        <v>-8.6363636399999999E-2</v>
      </c>
      <c r="N64" s="82">
        <f t="shared" si="22"/>
        <v>471949028.86068219</v>
      </c>
      <c r="O64" s="78" t="s">
        <v>232</v>
      </c>
      <c r="P64" s="39">
        <f t="shared" si="19"/>
        <v>132</v>
      </c>
      <c r="Q64" s="73">
        <f t="shared" si="20"/>
        <v>-8.9655172399999997E-2</v>
      </c>
      <c r="R64" s="82">
        <f t="shared" si="23"/>
        <v>96627151.434030443</v>
      </c>
    </row>
    <row r="65" spans="1:18" ht="17.25" thickBot="1">
      <c r="A65" s="40" t="s">
        <v>241</v>
      </c>
      <c r="B65" s="11" t="s">
        <v>242</v>
      </c>
      <c r="C65" s="91">
        <v>7235</v>
      </c>
      <c r="D65" s="88">
        <v>-7.89306174E-2</v>
      </c>
      <c r="E65" s="89">
        <v>4341638.7914356096</v>
      </c>
      <c r="F65" s="35"/>
      <c r="G65" s="57" t="s">
        <v>248</v>
      </c>
      <c r="H65" s="37">
        <f t="shared" si="15"/>
        <v>2605</v>
      </c>
      <c r="I65" s="75">
        <f t="shared" si="16"/>
        <v>-9.5486111100000007E-2</v>
      </c>
      <c r="J65" s="83">
        <f t="shared" si="21"/>
        <v>5469547.4755585799</v>
      </c>
      <c r="K65" s="80" t="s">
        <v>198</v>
      </c>
      <c r="L65" s="37">
        <f t="shared" si="17"/>
        <v>20.9</v>
      </c>
      <c r="M65" s="75">
        <f t="shared" si="18"/>
        <v>-8.7336244499999993E-2</v>
      </c>
      <c r="N65" s="83">
        <f t="shared" si="22"/>
        <v>801965920.75730085</v>
      </c>
      <c r="O65" s="80" t="s">
        <v>192</v>
      </c>
      <c r="P65" s="37">
        <f t="shared" si="19"/>
        <v>884</v>
      </c>
      <c r="Q65" s="75">
        <f t="shared" si="20"/>
        <v>-9.0534979400000007E-2</v>
      </c>
      <c r="R65" s="83">
        <f t="shared" si="23"/>
        <v>6018206.3315311503</v>
      </c>
    </row>
    <row r="66" spans="1:18">
      <c r="A66" s="40" t="s">
        <v>175</v>
      </c>
      <c r="B66" s="11" t="s">
        <v>176</v>
      </c>
      <c r="C66" s="91">
        <v>1740</v>
      </c>
      <c r="D66" s="88">
        <v>-7.9365079399999997E-2</v>
      </c>
      <c r="E66" s="89">
        <v>8667721.9629365597</v>
      </c>
      <c r="F66" s="35"/>
      <c r="G66" s="56" t="s">
        <v>194</v>
      </c>
      <c r="H66" s="38">
        <f t="shared" si="15"/>
        <v>10230</v>
      </c>
      <c r="I66" s="72">
        <f t="shared" ref="I66:I75" si="24">_xlfn.IFNA(VLOOKUP(G66, $B$2:$D$200, 3, FALSE), "")</f>
        <v>-9.5490716200000006E-2</v>
      </c>
      <c r="J66" s="81">
        <f t="shared" si="21"/>
        <v>1436474.0996909901</v>
      </c>
      <c r="K66" s="77" t="s">
        <v>154</v>
      </c>
      <c r="L66" s="38">
        <f t="shared" si="17"/>
        <v>15.3</v>
      </c>
      <c r="M66" s="72">
        <f t="shared" si="18"/>
        <v>-8.9285714299999999E-2</v>
      </c>
      <c r="N66" s="81">
        <f t="shared" si="22"/>
        <v>910901650.48677135</v>
      </c>
      <c r="O66" s="77" t="s">
        <v>260</v>
      </c>
      <c r="P66" s="38">
        <f t="shared" si="19"/>
        <v>110</v>
      </c>
      <c r="Q66" s="72">
        <f t="shared" si="20"/>
        <v>-9.0909090900000003E-2</v>
      </c>
      <c r="R66" s="81">
        <f t="shared" si="23"/>
        <v>442212441.83229131</v>
      </c>
    </row>
    <row r="67" spans="1:18">
      <c r="A67" s="40" t="s">
        <v>263</v>
      </c>
      <c r="B67" s="11" t="s">
        <v>264</v>
      </c>
      <c r="C67" s="91">
        <v>138</v>
      </c>
      <c r="D67" s="88">
        <v>-0.08</v>
      </c>
      <c r="E67" s="89">
        <v>27323558.86736609</v>
      </c>
      <c r="F67" s="35"/>
      <c r="G67" s="56" t="s">
        <v>182</v>
      </c>
      <c r="H67" s="39">
        <f t="shared" si="15"/>
        <v>431</v>
      </c>
      <c r="I67" s="73">
        <f t="shared" si="24"/>
        <v>-9.6436058699999994E-2</v>
      </c>
      <c r="J67" s="82">
        <f t="shared" si="21"/>
        <v>48816626.013881058</v>
      </c>
      <c r="K67" s="78" t="s">
        <v>122</v>
      </c>
      <c r="L67" s="39">
        <f t="shared" si="17"/>
        <v>92.6</v>
      </c>
      <c r="M67" s="73">
        <f t="shared" si="18"/>
        <v>-9.2156862699999995E-2</v>
      </c>
      <c r="N67" s="82">
        <f t="shared" si="22"/>
        <v>195068201.90068045</v>
      </c>
      <c r="O67" s="78" t="s">
        <v>234</v>
      </c>
      <c r="P67" s="39">
        <f t="shared" si="19"/>
        <v>977</v>
      </c>
      <c r="Q67" s="73">
        <f t="shared" si="20"/>
        <v>-9.1162790699999996E-2</v>
      </c>
      <c r="R67" s="82">
        <f t="shared" si="23"/>
        <v>8865125.2185040303</v>
      </c>
    </row>
    <row r="68" spans="1:18">
      <c r="A68" s="40" t="s">
        <v>71</v>
      </c>
      <c r="B68" s="11" t="s">
        <v>72</v>
      </c>
      <c r="C68" s="91">
        <v>27.4</v>
      </c>
      <c r="D68" s="88">
        <v>-8.0536912799999999E-2</v>
      </c>
      <c r="E68" s="89">
        <v>96148434.897079542</v>
      </c>
      <c r="F68" s="35"/>
      <c r="G68" s="56" t="s">
        <v>282</v>
      </c>
      <c r="H68" s="39">
        <f t="shared" si="15"/>
        <v>129</v>
      </c>
      <c r="I68" s="73">
        <f t="shared" si="24"/>
        <v>-9.7902097899999999E-2</v>
      </c>
      <c r="J68" s="82">
        <f t="shared" si="21"/>
        <v>39492074.346960522</v>
      </c>
      <c r="K68" s="78" t="s">
        <v>268</v>
      </c>
      <c r="L68" s="39">
        <f t="shared" si="17"/>
        <v>68.7</v>
      </c>
      <c r="M68" s="73">
        <f t="shared" si="18"/>
        <v>-9.2470277399999995E-2</v>
      </c>
      <c r="N68" s="82">
        <f t="shared" si="22"/>
        <v>89144062.75648734</v>
      </c>
      <c r="O68" s="78" t="s">
        <v>174</v>
      </c>
      <c r="P68" s="39">
        <f t="shared" si="19"/>
        <v>217</v>
      </c>
      <c r="Q68" s="73">
        <f t="shared" si="20"/>
        <v>-9.2050209199999997E-2</v>
      </c>
      <c r="R68" s="82">
        <f t="shared" si="23"/>
        <v>36364959.386976629</v>
      </c>
    </row>
    <row r="69" spans="1:18">
      <c r="A69" s="40" t="s">
        <v>93</v>
      </c>
      <c r="B69" s="11" t="s">
        <v>94</v>
      </c>
      <c r="C69" s="91">
        <v>108550</v>
      </c>
      <c r="D69" s="88">
        <v>-8.2029598300000006E-2</v>
      </c>
      <c r="E69" s="89">
        <v>993270.21235674003</v>
      </c>
      <c r="F69" s="35"/>
      <c r="G69" s="56" t="s">
        <v>180</v>
      </c>
      <c r="H69" s="39">
        <f t="shared" si="15"/>
        <v>3795</v>
      </c>
      <c r="I69" s="73">
        <f t="shared" si="24"/>
        <v>-9.8574821899999998E-2</v>
      </c>
      <c r="J69" s="82">
        <f t="shared" si="21"/>
        <v>7399178.5495409304</v>
      </c>
      <c r="K69" s="78" t="s">
        <v>266</v>
      </c>
      <c r="L69" s="39">
        <f t="shared" si="17"/>
        <v>75.099999999999994</v>
      </c>
      <c r="M69" s="73">
        <f t="shared" si="18"/>
        <v>-9.2995169099999997E-2</v>
      </c>
      <c r="N69" s="82">
        <f t="shared" si="22"/>
        <v>201404853.37925383</v>
      </c>
      <c r="O69" s="78" t="s">
        <v>250</v>
      </c>
      <c r="P69" s="39">
        <f t="shared" si="19"/>
        <v>157</v>
      </c>
      <c r="Q69" s="73">
        <f t="shared" si="20"/>
        <v>-9.2485549099999995E-2</v>
      </c>
      <c r="R69" s="82">
        <f t="shared" si="23"/>
        <v>20550943.702807099</v>
      </c>
    </row>
    <row r="70" spans="1:18">
      <c r="A70" s="40" t="s">
        <v>229</v>
      </c>
      <c r="B70" s="11" t="s">
        <v>230</v>
      </c>
      <c r="C70" s="91">
        <v>134</v>
      </c>
      <c r="D70" s="88">
        <v>-8.2191780800000003E-2</v>
      </c>
      <c r="E70" s="89">
        <v>53059964.083123319</v>
      </c>
      <c r="F70" s="35"/>
      <c r="G70" s="56" t="s">
        <v>280</v>
      </c>
      <c r="H70" s="39">
        <f t="shared" si="15"/>
        <v>1280</v>
      </c>
      <c r="I70" s="73">
        <f t="shared" si="24"/>
        <v>-9.8591549299999998E-2</v>
      </c>
      <c r="J70" s="86">
        <f t="shared" si="21"/>
        <v>6900652.6747867502</v>
      </c>
      <c r="K70" s="79" t="s">
        <v>172</v>
      </c>
      <c r="L70" s="44">
        <f t="shared" si="17"/>
        <v>19.5</v>
      </c>
      <c r="M70" s="74">
        <f t="shared" si="18"/>
        <v>-9.3023255799999996E-2</v>
      </c>
      <c r="N70" s="86">
        <f t="shared" si="22"/>
        <v>510405451.59268749</v>
      </c>
      <c r="O70" s="79" t="s">
        <v>208</v>
      </c>
      <c r="P70" s="44">
        <f t="shared" si="19"/>
        <v>372</v>
      </c>
      <c r="Q70" s="74">
        <f t="shared" si="20"/>
        <v>-9.2682926799999996E-2</v>
      </c>
      <c r="R70" s="86">
        <f t="shared" si="23"/>
        <v>108132590.2960805</v>
      </c>
    </row>
    <row r="71" spans="1:18">
      <c r="A71" s="40" t="s">
        <v>195</v>
      </c>
      <c r="B71" s="11" t="s">
        <v>196</v>
      </c>
      <c r="C71" s="91">
        <v>15.3</v>
      </c>
      <c r="D71" s="88">
        <v>-8.3832335300000005E-2</v>
      </c>
      <c r="E71" s="89">
        <v>485611242.62681782</v>
      </c>
      <c r="F71" s="35"/>
      <c r="G71" s="60" t="s">
        <v>252</v>
      </c>
      <c r="H71" s="45">
        <f t="shared" si="15"/>
        <v>378</v>
      </c>
      <c r="I71" s="76">
        <f t="shared" si="24"/>
        <v>-0.1</v>
      </c>
      <c r="J71" s="95">
        <f t="shared" si="21"/>
        <v>26585635.017698921</v>
      </c>
      <c r="K71" s="78" t="s">
        <v>220</v>
      </c>
      <c r="L71" s="39">
        <f t="shared" si="17"/>
        <v>15.5</v>
      </c>
      <c r="M71" s="73">
        <f t="shared" si="18"/>
        <v>-9.3567251500000004E-2</v>
      </c>
      <c r="N71" s="95">
        <f t="shared" si="22"/>
        <v>377246733.94967973</v>
      </c>
      <c r="O71" s="78" t="s">
        <v>246</v>
      </c>
      <c r="P71" s="39">
        <f t="shared" si="19"/>
        <v>295</v>
      </c>
      <c r="Q71" s="73">
        <f t="shared" si="20"/>
        <v>-9.5092024499999997E-2</v>
      </c>
      <c r="R71" s="95">
        <f t="shared" si="23"/>
        <v>20840189.49543253</v>
      </c>
    </row>
    <row r="72" spans="1:18">
      <c r="A72" s="40" t="s">
        <v>283</v>
      </c>
      <c r="B72" s="11" t="s">
        <v>284</v>
      </c>
      <c r="C72" s="91">
        <v>360</v>
      </c>
      <c r="D72" s="88">
        <v>-8.3969465600000001E-2</v>
      </c>
      <c r="E72" s="89">
        <v>20336790.190853741</v>
      </c>
      <c r="F72" s="35"/>
      <c r="G72" s="56" t="s">
        <v>82</v>
      </c>
      <c r="H72" s="39">
        <f t="shared" si="15"/>
        <v>1215</v>
      </c>
      <c r="I72" s="73">
        <f t="shared" si="24"/>
        <v>-0.1</v>
      </c>
      <c r="J72" s="82">
        <f t="shared" si="21"/>
        <v>6889855.5356046204</v>
      </c>
      <c r="K72" s="78" t="s">
        <v>236</v>
      </c>
      <c r="L72" s="39">
        <f t="shared" si="17"/>
        <v>66.900000000000006</v>
      </c>
      <c r="M72" s="73">
        <f t="shared" si="18"/>
        <v>-9.4722598099999999E-2</v>
      </c>
      <c r="N72" s="82">
        <f t="shared" si="22"/>
        <v>504648379.61928153</v>
      </c>
      <c r="O72" s="78" t="s">
        <v>226</v>
      </c>
      <c r="P72" s="39">
        <f t="shared" si="19"/>
        <v>380</v>
      </c>
      <c r="Q72" s="73">
        <f t="shared" si="20"/>
        <v>-9.5238095199999998E-2</v>
      </c>
      <c r="R72" s="82">
        <f t="shared" si="23"/>
        <v>17658963.399905141</v>
      </c>
    </row>
    <row r="73" spans="1:18">
      <c r="A73" s="40" t="s">
        <v>205</v>
      </c>
      <c r="B73" s="11" t="s">
        <v>206</v>
      </c>
      <c r="C73" s="91">
        <v>26900</v>
      </c>
      <c r="D73" s="88">
        <v>-8.4099421199999996E-2</v>
      </c>
      <c r="E73" s="89">
        <v>717712.73317658005</v>
      </c>
      <c r="F73" s="35"/>
      <c r="G73" s="56" t="s">
        <v>276</v>
      </c>
      <c r="H73" s="39">
        <f t="shared" si="15"/>
        <v>3690</v>
      </c>
      <c r="I73" s="73">
        <f t="shared" si="24"/>
        <v>-0.10109622410000001</v>
      </c>
      <c r="J73" s="82">
        <f t="shared" si="21"/>
        <v>3158012.7049805098</v>
      </c>
      <c r="K73" s="78" t="s">
        <v>254</v>
      </c>
      <c r="L73" s="39">
        <f t="shared" si="17"/>
        <v>63.7</v>
      </c>
      <c r="M73" s="73">
        <f t="shared" si="18"/>
        <v>-9.5170454500000001E-2</v>
      </c>
      <c r="N73" s="82">
        <f t="shared" si="22"/>
        <v>89988720.789509624</v>
      </c>
      <c r="O73" s="78" t="s">
        <v>182</v>
      </c>
      <c r="P73" s="39">
        <f t="shared" si="19"/>
        <v>431</v>
      </c>
      <c r="Q73" s="73">
        <f t="shared" si="20"/>
        <v>-9.6436058699999994E-2</v>
      </c>
      <c r="R73" s="82">
        <f t="shared" si="23"/>
        <v>48816626.013881058</v>
      </c>
    </row>
    <row r="74" spans="1:18">
      <c r="A74" s="40" t="s">
        <v>167</v>
      </c>
      <c r="B74" s="11" t="s">
        <v>168</v>
      </c>
      <c r="C74" s="91">
        <v>196</v>
      </c>
      <c r="D74" s="88">
        <v>-8.4112149499999997E-2</v>
      </c>
      <c r="E74" s="89">
        <v>662407831.69838965</v>
      </c>
      <c r="F74" s="35"/>
      <c r="G74" s="56" t="s">
        <v>90</v>
      </c>
      <c r="H74" s="39">
        <f t="shared" si="15"/>
        <v>350400</v>
      </c>
      <c r="I74" s="73">
        <f t="shared" si="24"/>
        <v>-0.1048665219</v>
      </c>
      <c r="J74" s="82">
        <f t="shared" si="21"/>
        <v>105344.41426201</v>
      </c>
      <c r="K74" s="78" t="s">
        <v>228</v>
      </c>
      <c r="L74" s="39">
        <f t="shared" si="17"/>
        <v>13.3</v>
      </c>
      <c r="M74" s="73">
        <f t="shared" si="18"/>
        <v>-9.5238095199999998E-2</v>
      </c>
      <c r="N74" s="82">
        <f t="shared" si="22"/>
        <v>1982625663.0803597</v>
      </c>
      <c r="O74" s="78" t="s">
        <v>282</v>
      </c>
      <c r="P74" s="39">
        <f t="shared" si="19"/>
        <v>129</v>
      </c>
      <c r="Q74" s="73">
        <f t="shared" si="20"/>
        <v>-9.7902097899999999E-2</v>
      </c>
      <c r="R74" s="82">
        <f t="shared" si="23"/>
        <v>39492074.346960522</v>
      </c>
    </row>
    <row r="75" spans="1:18" ht="17.25" thickBot="1">
      <c r="A75" s="40" t="s">
        <v>213</v>
      </c>
      <c r="B75" s="11" t="s">
        <v>214</v>
      </c>
      <c r="C75" s="91">
        <v>18.399999999999999</v>
      </c>
      <c r="D75" s="88">
        <v>-8.45771144E-2</v>
      </c>
      <c r="E75" s="89">
        <v>1267388825.223599</v>
      </c>
      <c r="F75" s="35"/>
      <c r="G75" s="57" t="s">
        <v>186</v>
      </c>
      <c r="H75" s="37">
        <f t="shared" si="15"/>
        <v>21.6</v>
      </c>
      <c r="I75" s="75">
        <f t="shared" si="24"/>
        <v>-0.11111111110000001</v>
      </c>
      <c r="J75" s="83">
        <f t="shared" si="21"/>
        <v>1052430719.6805791</v>
      </c>
      <c r="K75" s="80" t="s">
        <v>186</v>
      </c>
      <c r="L75" s="37">
        <f t="shared" si="17"/>
        <v>21.6</v>
      </c>
      <c r="M75" s="75">
        <f t="shared" si="18"/>
        <v>-0.11111111110000001</v>
      </c>
      <c r="N75" s="83">
        <f t="shared" si="22"/>
        <v>1052430719.6805791</v>
      </c>
      <c r="O75" s="80" t="s">
        <v>252</v>
      </c>
      <c r="P75" s="37">
        <f t="shared" si="19"/>
        <v>378</v>
      </c>
      <c r="Q75" s="75">
        <f t="shared" si="20"/>
        <v>-0.1</v>
      </c>
      <c r="R75" s="83">
        <f t="shared" si="23"/>
        <v>26585635.017698921</v>
      </c>
    </row>
    <row r="76" spans="1:18">
      <c r="A76" s="40" t="s">
        <v>221</v>
      </c>
      <c r="B76" s="11" t="s">
        <v>222</v>
      </c>
      <c r="C76" s="91">
        <v>14</v>
      </c>
      <c r="D76" s="88">
        <v>-8.4967320299999996E-2</v>
      </c>
      <c r="E76" s="89">
        <v>320908711.27741981</v>
      </c>
      <c r="F76" s="35"/>
      <c r="G76" s="35"/>
      <c r="H76" s="35"/>
      <c r="I76" s="35"/>
    </row>
    <row r="77" spans="1:18">
      <c r="A77" s="40" t="s">
        <v>203</v>
      </c>
      <c r="B77" s="11" t="s">
        <v>204</v>
      </c>
      <c r="C77" s="91">
        <v>5535</v>
      </c>
      <c r="D77" s="88">
        <v>-8.51239669E-2</v>
      </c>
      <c r="E77" s="89">
        <v>21656228.757745389</v>
      </c>
      <c r="F77" s="35"/>
      <c r="G77" s="35"/>
      <c r="H77" s="35"/>
      <c r="I77" s="35"/>
    </row>
    <row r="78" spans="1:18">
      <c r="A78" s="40" t="s">
        <v>211</v>
      </c>
      <c r="B78" s="11" t="s">
        <v>212</v>
      </c>
      <c r="C78" s="91">
        <v>106</v>
      </c>
      <c r="D78" s="88">
        <v>-8.6206896599999999E-2</v>
      </c>
      <c r="E78" s="89">
        <v>709790469.82815421</v>
      </c>
      <c r="F78" s="35"/>
      <c r="G78" s="35"/>
      <c r="H78" s="35"/>
      <c r="I78" s="35"/>
    </row>
    <row r="79" spans="1:18">
      <c r="A79" s="40" t="s">
        <v>217</v>
      </c>
      <c r="B79" s="11" t="s">
        <v>218</v>
      </c>
      <c r="C79" s="91">
        <v>20.100000000000001</v>
      </c>
      <c r="D79" s="88">
        <v>-8.6363636399999999E-2</v>
      </c>
      <c r="E79" s="89">
        <v>471949028.86068219</v>
      </c>
      <c r="F79" s="35"/>
      <c r="G79" s="35"/>
      <c r="H79" s="35"/>
      <c r="I79" s="35"/>
    </row>
    <row r="80" spans="1:18">
      <c r="A80" s="40" t="s">
        <v>161</v>
      </c>
      <c r="B80" s="11" t="s">
        <v>162</v>
      </c>
      <c r="C80" s="91">
        <v>1570</v>
      </c>
      <c r="D80" s="88">
        <v>-8.7209302299999999E-2</v>
      </c>
      <c r="E80" s="89">
        <v>12043698.5013656</v>
      </c>
      <c r="F80" s="35"/>
      <c r="G80" s="35"/>
      <c r="H80" s="35"/>
      <c r="I80" s="35"/>
    </row>
    <row r="81" spans="1:9">
      <c r="A81" s="40" t="s">
        <v>197</v>
      </c>
      <c r="B81" s="11" t="s">
        <v>198</v>
      </c>
      <c r="C81" s="91">
        <v>20.9</v>
      </c>
      <c r="D81" s="88">
        <v>-8.7336244499999993E-2</v>
      </c>
      <c r="E81" s="89">
        <v>801965920.75730085</v>
      </c>
      <c r="F81" s="35"/>
      <c r="G81" s="35"/>
      <c r="H81" s="35"/>
      <c r="I81" s="35"/>
    </row>
    <row r="82" spans="1:9">
      <c r="A82" s="40" t="s">
        <v>189</v>
      </c>
      <c r="B82" s="11" t="s">
        <v>190</v>
      </c>
      <c r="C82" s="91">
        <v>60920</v>
      </c>
      <c r="D82" s="88">
        <v>-8.7477531499999997E-2</v>
      </c>
      <c r="E82" s="89">
        <v>259832.73108508001</v>
      </c>
      <c r="F82" s="35"/>
      <c r="G82" s="35"/>
      <c r="H82" s="35"/>
      <c r="I82" s="35"/>
    </row>
    <row r="83" spans="1:9">
      <c r="A83" s="40" t="s">
        <v>209</v>
      </c>
      <c r="B83" s="11" t="s">
        <v>210</v>
      </c>
      <c r="C83" s="91">
        <v>146</v>
      </c>
      <c r="D83" s="88">
        <v>-8.7499999999999994E-2</v>
      </c>
      <c r="E83" s="89">
        <v>32523246.11395422</v>
      </c>
      <c r="F83" s="35"/>
      <c r="G83" s="35"/>
      <c r="H83" s="35"/>
      <c r="I83" s="35"/>
    </row>
    <row r="84" spans="1:9">
      <c r="A84" s="40" t="s">
        <v>199</v>
      </c>
      <c r="B84" s="11" t="s">
        <v>200</v>
      </c>
      <c r="C84" s="91">
        <v>269</v>
      </c>
      <c r="D84" s="88">
        <v>-8.8135593200000001E-2</v>
      </c>
      <c r="E84" s="89">
        <v>12512742.65231126</v>
      </c>
      <c r="F84" s="35"/>
      <c r="G84" s="35"/>
      <c r="H84" s="35"/>
      <c r="I84" s="35"/>
    </row>
    <row r="85" spans="1:9">
      <c r="A85" s="40" t="s">
        <v>66</v>
      </c>
      <c r="B85" s="11" t="s">
        <v>67</v>
      </c>
      <c r="C85" s="91">
        <v>6265</v>
      </c>
      <c r="D85" s="88">
        <v>-8.8727272699999998E-2</v>
      </c>
      <c r="E85" s="89">
        <v>1096478.1327187601</v>
      </c>
      <c r="F85" s="35"/>
      <c r="G85" s="35"/>
      <c r="H85" s="35"/>
      <c r="I85" s="35"/>
    </row>
    <row r="86" spans="1:9">
      <c r="A86" s="40" t="s">
        <v>201</v>
      </c>
      <c r="B86" s="11" t="s">
        <v>202</v>
      </c>
      <c r="C86" s="91">
        <v>143</v>
      </c>
      <c r="D86" s="88">
        <v>-8.9171974500000001E-2</v>
      </c>
      <c r="E86" s="89">
        <v>182523756.44482255</v>
      </c>
      <c r="F86" s="35"/>
      <c r="G86" s="35"/>
      <c r="H86" s="35"/>
      <c r="I86" s="35"/>
    </row>
    <row r="87" spans="1:9">
      <c r="A87" s="40" t="s">
        <v>153</v>
      </c>
      <c r="B87" s="11" t="s">
        <v>154</v>
      </c>
      <c r="C87" s="91">
        <v>15.3</v>
      </c>
      <c r="D87" s="88">
        <v>-8.9285714299999999E-2</v>
      </c>
      <c r="E87" s="89">
        <v>910901650.48677135</v>
      </c>
      <c r="F87" s="35"/>
      <c r="G87" s="35"/>
      <c r="H87" s="35"/>
      <c r="I87" s="35"/>
    </row>
    <row r="88" spans="1:9">
      <c r="A88" s="40" t="s">
        <v>231</v>
      </c>
      <c r="B88" s="11" t="s">
        <v>232</v>
      </c>
      <c r="C88" s="91">
        <v>132</v>
      </c>
      <c r="D88" s="88">
        <v>-8.9655172399999997E-2</v>
      </c>
      <c r="E88" s="89">
        <v>96627151.434030443</v>
      </c>
      <c r="F88" s="35"/>
      <c r="G88" s="35"/>
      <c r="H88" s="35"/>
      <c r="I88" s="35"/>
    </row>
    <row r="89" spans="1:9">
      <c r="A89" s="40" t="s">
        <v>191</v>
      </c>
      <c r="B89" s="11" t="s">
        <v>192</v>
      </c>
      <c r="C89" s="91">
        <v>884</v>
      </c>
      <c r="D89" s="88">
        <v>-9.0534979400000007E-2</v>
      </c>
      <c r="E89" s="89">
        <v>6018206.3315311503</v>
      </c>
      <c r="F89" s="35"/>
      <c r="G89" s="35"/>
      <c r="H89" s="35"/>
      <c r="I89" s="35"/>
    </row>
    <row r="90" spans="1:9">
      <c r="A90" s="40" t="s">
        <v>259</v>
      </c>
      <c r="B90" s="11" t="s">
        <v>260</v>
      </c>
      <c r="C90" s="91">
        <v>110</v>
      </c>
      <c r="D90" s="88">
        <v>-9.0909090900000003E-2</v>
      </c>
      <c r="E90" s="89">
        <v>442212441.83229131</v>
      </c>
      <c r="F90" s="35"/>
      <c r="G90" s="35"/>
      <c r="H90" s="35"/>
      <c r="I90" s="35"/>
    </row>
    <row r="91" spans="1:9">
      <c r="A91" s="40" t="s">
        <v>233</v>
      </c>
      <c r="B91" s="11" t="s">
        <v>234</v>
      </c>
      <c r="C91" s="91">
        <v>977</v>
      </c>
      <c r="D91" s="88">
        <v>-9.1162790699999996E-2</v>
      </c>
      <c r="E91" s="89">
        <v>8865125.2185040303</v>
      </c>
      <c r="F91" s="35"/>
      <c r="G91" s="35"/>
      <c r="H91" s="35"/>
      <c r="I91" s="35"/>
    </row>
    <row r="92" spans="1:9">
      <c r="A92" s="40" t="s">
        <v>173</v>
      </c>
      <c r="B92" s="11" t="s">
        <v>174</v>
      </c>
      <c r="C92" s="91">
        <v>217</v>
      </c>
      <c r="D92" s="88">
        <v>-9.2050209199999997E-2</v>
      </c>
      <c r="E92" s="89">
        <v>36364959.386976629</v>
      </c>
      <c r="F92" s="35"/>
      <c r="G92" s="35"/>
      <c r="H92" s="35"/>
      <c r="I92" s="35"/>
    </row>
    <row r="93" spans="1:9">
      <c r="A93" s="40" t="s">
        <v>121</v>
      </c>
      <c r="B93" s="11" t="s">
        <v>122</v>
      </c>
      <c r="C93" s="91">
        <v>92.6</v>
      </c>
      <c r="D93" s="88">
        <v>-9.2156862699999995E-2</v>
      </c>
      <c r="E93" s="89">
        <v>195068201.90068045</v>
      </c>
      <c r="F93" s="35"/>
      <c r="G93" s="35"/>
      <c r="H93" s="35"/>
      <c r="I93" s="35"/>
    </row>
    <row r="94" spans="1:9">
      <c r="A94" s="40" t="s">
        <v>267</v>
      </c>
      <c r="B94" s="11" t="s">
        <v>268</v>
      </c>
      <c r="C94" s="91">
        <v>68.7</v>
      </c>
      <c r="D94" s="88">
        <v>-9.2470277399999995E-2</v>
      </c>
      <c r="E94" s="89">
        <v>89144062.75648734</v>
      </c>
      <c r="F94" s="35"/>
      <c r="G94" s="35"/>
      <c r="H94" s="35"/>
      <c r="I94" s="35"/>
    </row>
    <row r="95" spans="1:9">
      <c r="A95" s="40" t="s">
        <v>249</v>
      </c>
      <c r="B95" s="11" t="s">
        <v>250</v>
      </c>
      <c r="C95" s="91">
        <v>157</v>
      </c>
      <c r="D95" s="88">
        <v>-9.2485549099999995E-2</v>
      </c>
      <c r="E95" s="89">
        <v>20550943.702807099</v>
      </c>
      <c r="F95" s="35"/>
      <c r="G95" s="35"/>
      <c r="H95" s="35"/>
      <c r="I95" s="35"/>
    </row>
    <row r="96" spans="1:9">
      <c r="A96" s="40" t="s">
        <v>207</v>
      </c>
      <c r="B96" s="11" t="s">
        <v>208</v>
      </c>
      <c r="C96" s="91">
        <v>372</v>
      </c>
      <c r="D96" s="88">
        <v>-9.2682926799999996E-2</v>
      </c>
      <c r="E96" s="89">
        <v>108132590.2960805</v>
      </c>
      <c r="F96" s="35"/>
      <c r="G96" s="35"/>
      <c r="H96" s="35"/>
      <c r="I96" s="35"/>
    </row>
    <row r="97" spans="1:9">
      <c r="A97" s="40" t="s">
        <v>265</v>
      </c>
      <c r="B97" s="11" t="s">
        <v>266</v>
      </c>
      <c r="C97" s="91">
        <v>75.099999999999994</v>
      </c>
      <c r="D97" s="88">
        <v>-9.2995169099999997E-2</v>
      </c>
      <c r="E97" s="89">
        <v>201404853.37925383</v>
      </c>
      <c r="F97" s="35"/>
      <c r="G97" s="35"/>
      <c r="H97" s="35"/>
      <c r="I97" s="35"/>
    </row>
    <row r="98" spans="1:9">
      <c r="A98" s="40" t="s">
        <v>171</v>
      </c>
      <c r="B98" s="11" t="s">
        <v>172</v>
      </c>
      <c r="C98" s="91">
        <v>19.5</v>
      </c>
      <c r="D98" s="88">
        <v>-9.3023255799999996E-2</v>
      </c>
      <c r="E98" s="89">
        <v>510405451.59268749</v>
      </c>
      <c r="F98" s="35"/>
      <c r="G98" s="35"/>
      <c r="H98" s="35"/>
      <c r="I98" s="35"/>
    </row>
    <row r="99" spans="1:9">
      <c r="A99" s="40" t="s">
        <v>123</v>
      </c>
      <c r="B99" s="11" t="s">
        <v>124</v>
      </c>
      <c r="C99" s="91">
        <v>4990</v>
      </c>
      <c r="D99" s="88">
        <v>-9.3551316999999995E-2</v>
      </c>
      <c r="E99" s="89">
        <v>1028779.55781687</v>
      </c>
      <c r="F99" s="35"/>
      <c r="G99" s="35"/>
      <c r="H99" s="35"/>
      <c r="I99" s="35"/>
    </row>
    <row r="100" spans="1:9">
      <c r="A100" s="40" t="s">
        <v>219</v>
      </c>
      <c r="B100" s="11" t="s">
        <v>220</v>
      </c>
      <c r="C100" s="91">
        <v>15.5</v>
      </c>
      <c r="D100" s="88">
        <v>-9.3567251500000004E-2</v>
      </c>
      <c r="E100" s="89">
        <v>377246733.94967973</v>
      </c>
      <c r="F100" s="35"/>
      <c r="G100" s="35"/>
      <c r="H100" s="35"/>
      <c r="I100" s="35"/>
    </row>
    <row r="101" spans="1:9">
      <c r="A101" s="40" t="s">
        <v>273</v>
      </c>
      <c r="B101" s="11" t="s">
        <v>274</v>
      </c>
      <c r="C101" s="91">
        <v>6475</v>
      </c>
      <c r="D101" s="88">
        <v>-9.37718684E-2</v>
      </c>
      <c r="E101" s="89">
        <v>672456.34897545003</v>
      </c>
      <c r="F101" s="35"/>
      <c r="G101" s="35"/>
      <c r="H101" s="35"/>
      <c r="I101" s="35"/>
    </row>
    <row r="102" spans="1:9">
      <c r="A102" s="40" t="s">
        <v>107</v>
      </c>
      <c r="B102" s="11" t="s">
        <v>108</v>
      </c>
      <c r="C102" s="91">
        <v>46200</v>
      </c>
      <c r="D102" s="88">
        <v>-9.3939988200000005E-2</v>
      </c>
      <c r="E102" s="89">
        <v>886806.93017114</v>
      </c>
      <c r="F102" s="35"/>
      <c r="G102" s="35"/>
      <c r="H102" s="35"/>
      <c r="I102" s="35"/>
    </row>
    <row r="103" spans="1:9">
      <c r="A103" s="40" t="s">
        <v>235</v>
      </c>
      <c r="B103" s="11" t="s">
        <v>236</v>
      </c>
      <c r="C103" s="91">
        <v>66.900000000000006</v>
      </c>
      <c r="D103" s="88">
        <v>-9.4722598099999999E-2</v>
      </c>
      <c r="E103" s="89">
        <v>504648379.61928153</v>
      </c>
      <c r="F103" s="35"/>
      <c r="G103" s="35"/>
      <c r="H103" s="35"/>
      <c r="I103" s="35"/>
    </row>
    <row r="104" spans="1:9">
      <c r="A104" s="40" t="s">
        <v>245</v>
      </c>
      <c r="B104" s="11" t="s">
        <v>246</v>
      </c>
      <c r="C104" s="91">
        <v>295</v>
      </c>
      <c r="D104" s="88">
        <v>-9.5092024499999997E-2</v>
      </c>
      <c r="E104" s="89">
        <v>20840189.49543253</v>
      </c>
      <c r="F104" s="35"/>
      <c r="G104" s="35"/>
      <c r="H104" s="35"/>
      <c r="I104" s="35"/>
    </row>
    <row r="105" spans="1:9">
      <c r="A105" s="40" t="s">
        <v>253</v>
      </c>
      <c r="B105" s="11" t="s">
        <v>254</v>
      </c>
      <c r="C105" s="91">
        <v>63.7</v>
      </c>
      <c r="D105" s="88">
        <v>-9.5170454500000001E-2</v>
      </c>
      <c r="E105" s="89">
        <v>89988720.789509624</v>
      </c>
      <c r="F105" s="35"/>
      <c r="G105" s="35"/>
      <c r="H105" s="35"/>
      <c r="I105" s="35"/>
    </row>
    <row r="106" spans="1:9">
      <c r="A106" s="40" t="s">
        <v>227</v>
      </c>
      <c r="B106" s="11" t="s">
        <v>228</v>
      </c>
      <c r="C106" s="91">
        <v>13.3</v>
      </c>
      <c r="D106" s="88">
        <v>-9.5238095199999998E-2</v>
      </c>
      <c r="E106" s="89">
        <v>1982625663.0803597</v>
      </c>
      <c r="F106" s="35"/>
      <c r="G106" s="35"/>
      <c r="H106" s="35"/>
      <c r="I106" s="35"/>
    </row>
    <row r="107" spans="1:9">
      <c r="A107" s="40" t="s">
        <v>225</v>
      </c>
      <c r="B107" s="11" t="s">
        <v>226</v>
      </c>
      <c r="C107" s="91">
        <v>380</v>
      </c>
      <c r="D107" s="88">
        <v>-9.5238095199999998E-2</v>
      </c>
      <c r="E107" s="89">
        <v>17658963.399905141</v>
      </c>
      <c r="F107" s="35"/>
      <c r="G107" s="35"/>
      <c r="H107" s="35"/>
      <c r="I107" s="35"/>
    </row>
    <row r="108" spans="1:9">
      <c r="A108" s="40" t="s">
        <v>247</v>
      </c>
      <c r="B108" s="11" t="s">
        <v>248</v>
      </c>
      <c r="C108" s="91">
        <v>2605</v>
      </c>
      <c r="D108" s="88">
        <v>-9.5486111100000007E-2</v>
      </c>
      <c r="E108" s="89">
        <v>5469547.4755585799</v>
      </c>
      <c r="F108" s="35"/>
      <c r="G108" s="35"/>
      <c r="H108" s="35"/>
      <c r="I108" s="35"/>
    </row>
    <row r="109" spans="1:9">
      <c r="A109" s="40" t="s">
        <v>193</v>
      </c>
      <c r="B109" s="11" t="s">
        <v>194</v>
      </c>
      <c r="C109" s="91">
        <v>10230</v>
      </c>
      <c r="D109" s="88">
        <v>-9.5490716200000006E-2</v>
      </c>
      <c r="E109" s="41">
        <v>1436474.0996909901</v>
      </c>
    </row>
    <row r="110" spans="1:9">
      <c r="A110" s="40" t="s">
        <v>181</v>
      </c>
      <c r="B110" s="11" t="s">
        <v>182</v>
      </c>
      <c r="C110" s="91">
        <v>431</v>
      </c>
      <c r="D110" s="88">
        <v>-9.6436058699999994E-2</v>
      </c>
      <c r="E110" s="41">
        <v>48816626.013881058</v>
      </c>
    </row>
    <row r="111" spans="1:9">
      <c r="A111" s="40" t="s">
        <v>281</v>
      </c>
      <c r="B111" s="11" t="s">
        <v>282</v>
      </c>
      <c r="C111" s="91">
        <v>129</v>
      </c>
      <c r="D111" s="88">
        <v>-9.7902097899999999E-2</v>
      </c>
      <c r="E111" s="41">
        <v>39492074.346960522</v>
      </c>
    </row>
    <row r="112" spans="1:9">
      <c r="A112" s="40" t="s">
        <v>179</v>
      </c>
      <c r="B112" s="11" t="s">
        <v>180</v>
      </c>
      <c r="C112" s="91">
        <v>3795</v>
      </c>
      <c r="D112" s="88">
        <v>-9.8574821899999998E-2</v>
      </c>
      <c r="E112" s="41">
        <v>7399178.5495409304</v>
      </c>
    </row>
    <row r="113" spans="1:5">
      <c r="A113" s="40" t="s">
        <v>279</v>
      </c>
      <c r="B113" s="11" t="s">
        <v>280</v>
      </c>
      <c r="C113" s="91">
        <v>1280</v>
      </c>
      <c r="D113" s="88">
        <v>-9.8591549299999998E-2</v>
      </c>
      <c r="E113" s="41">
        <v>6900652.6747867502</v>
      </c>
    </row>
    <row r="114" spans="1:5">
      <c r="A114" s="40" t="s">
        <v>251</v>
      </c>
      <c r="B114" s="11" t="s">
        <v>252</v>
      </c>
      <c r="C114" s="91">
        <v>378</v>
      </c>
      <c r="D114" s="88">
        <v>-0.1</v>
      </c>
      <c r="E114" s="41">
        <v>26585635.017698921</v>
      </c>
    </row>
    <row r="115" spans="1:5">
      <c r="A115" s="40" t="s">
        <v>81</v>
      </c>
      <c r="B115" s="11" t="s">
        <v>82</v>
      </c>
      <c r="C115" s="91">
        <v>1215</v>
      </c>
      <c r="D115" s="88">
        <v>-0.1</v>
      </c>
      <c r="E115" s="41">
        <v>6889855.5356046204</v>
      </c>
    </row>
    <row r="116" spans="1:5">
      <c r="A116" s="40" t="s">
        <v>275</v>
      </c>
      <c r="B116" s="11" t="s">
        <v>276</v>
      </c>
      <c r="C116" s="91">
        <v>3690</v>
      </c>
      <c r="D116" s="88">
        <v>-0.10109622410000001</v>
      </c>
      <c r="E116" s="41">
        <v>3158012.7049805098</v>
      </c>
    </row>
    <row r="117" spans="1:5">
      <c r="A117" s="40" t="s">
        <v>89</v>
      </c>
      <c r="B117" s="11" t="s">
        <v>90</v>
      </c>
      <c r="C117" s="91">
        <v>350400</v>
      </c>
      <c r="D117" s="88">
        <v>-0.1048665219</v>
      </c>
      <c r="E117" s="41">
        <v>105344.41426201</v>
      </c>
    </row>
    <row r="118" spans="1:5">
      <c r="A118" s="40" t="s">
        <v>185</v>
      </c>
      <c r="B118" s="11" t="s">
        <v>186</v>
      </c>
      <c r="C118" s="91">
        <v>21.6</v>
      </c>
      <c r="D118" s="88">
        <v>-0.11111111110000001</v>
      </c>
      <c r="E118" s="41">
        <v>1052430719.6805791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6" workbookViewId="0">
      <selection activeCell="L147" sqref="L147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310" t="str">
        <f>TEXT(투자전략!$G$1, "[$-ko-KR]yyyy년 mm월") &amp; " 총결산"</f>
        <v>2021년 05월 총결산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2"/>
    </row>
    <row r="2" spans="1:15" ht="16.5" customHeight="1" thickBot="1">
      <c r="A2" s="307" t="s">
        <v>326</v>
      </c>
      <c r="B2" s="308"/>
      <c r="C2" s="308"/>
      <c r="D2" s="280" t="s">
        <v>322</v>
      </c>
      <c r="E2" s="280"/>
      <c r="F2" s="281"/>
      <c r="G2" s="310" t="s">
        <v>323</v>
      </c>
      <c r="H2" s="311"/>
      <c r="I2" s="312"/>
      <c r="J2" s="279" t="s">
        <v>324</v>
      </c>
      <c r="K2" s="280"/>
      <c r="L2" s="280"/>
      <c r="M2" s="280" t="s">
        <v>325</v>
      </c>
      <c r="N2" s="280"/>
      <c r="O2" s="281"/>
    </row>
    <row r="3" spans="1:15" ht="16.5" customHeight="1">
      <c r="A3" s="346">
        <v>1</v>
      </c>
      <c r="B3" s="30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309"/>
      <c r="D3" s="307" t="s">
        <v>327</v>
      </c>
      <c r="E3" s="308"/>
      <c r="F3" s="309"/>
      <c r="G3" s="307" t="s">
        <v>334</v>
      </c>
      <c r="H3" s="308"/>
      <c r="I3" s="309"/>
      <c r="J3" s="307" t="s">
        <v>341</v>
      </c>
      <c r="K3" s="308"/>
      <c r="L3" s="309"/>
      <c r="M3" s="307" t="s">
        <v>348</v>
      </c>
      <c r="N3" s="308"/>
      <c r="O3" s="309"/>
    </row>
    <row r="4" spans="1:15" ht="16.5" customHeight="1" thickBot="1">
      <c r="A4" s="347"/>
      <c r="B4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565,819 KRW (15.27%)</v>
      </c>
      <c r="C4" s="302"/>
      <c r="D4" s="300" t="str">
        <f ca="1" xml:space="preserve"> TEXT($F$92, "#,##0") &amp; " KRW (" &amp; TEXT($E$92, "0.00%)")</f>
        <v>-1,018,285 KRW (-29.29%)</v>
      </c>
      <c r="E4" s="301"/>
      <c r="F4" s="302"/>
      <c r="G4" s="300" t="str">
        <f ca="1" xml:space="preserve"> TEXT($I$92, "#,##0") &amp; " KRW (" &amp; TEXT($H$92, "0.00%)")</f>
        <v>-726,227 KRW (-20.89%)</v>
      </c>
      <c r="H4" s="301"/>
      <c r="I4" s="302"/>
      <c r="J4" s="300" t="str">
        <f ca="1" xml:space="preserve"> TEXT($L$92, "#,##0") &amp; " KRW (" &amp; TEXT($K$92, "0.00%)")</f>
        <v>-553,642 KRW (-15.93%)</v>
      </c>
      <c r="K4" s="301"/>
      <c r="L4" s="302"/>
      <c r="M4" s="300" t="str">
        <f ca="1" xml:space="preserve"> TEXT($O$92, "#,##0") &amp; " KRW (" &amp; TEXT($N$92, "0.00%)")</f>
        <v>-508,729 KRW (-14.63%)</v>
      </c>
      <c r="N4" s="301"/>
      <c r="O4" s="302"/>
    </row>
    <row r="5" spans="1:15" ht="16.5" customHeight="1">
      <c r="A5" s="346">
        <v>2</v>
      </c>
      <c r="B5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전일대비 상승률 Top20</v>
      </c>
      <c r="C5" s="309"/>
      <c r="D5" s="307" t="s">
        <v>328</v>
      </c>
      <c r="E5" s="308"/>
      <c r="F5" s="309"/>
      <c r="G5" s="307" t="s">
        <v>335</v>
      </c>
      <c r="H5" s="308"/>
      <c r="I5" s="309"/>
      <c r="J5" s="307" t="s">
        <v>342</v>
      </c>
      <c r="K5" s="308"/>
      <c r="L5" s="309"/>
      <c r="M5" s="307" t="s">
        <v>349</v>
      </c>
      <c r="N5" s="308"/>
      <c r="O5" s="309"/>
    </row>
    <row r="6" spans="1:15" ht="16.5" customHeight="1" thickBot="1">
      <c r="A6" s="347"/>
      <c r="B6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350,373 KRW (9.45%)</v>
      </c>
      <c r="C6" s="302"/>
      <c r="D6" s="300" t="str">
        <f ca="1" xml:space="preserve"> TEXT($F$130, "#,##0") &amp; " KRW (" &amp; TEXT($E$130, "0.00%)")</f>
        <v>-515,402 KRW (-13.91%)</v>
      </c>
      <c r="E6" s="301"/>
      <c r="F6" s="302"/>
      <c r="G6" s="300" t="str">
        <f ca="1" xml:space="preserve"> TEXT($I$130, "#,##0") &amp; " KRW (" &amp; TEXT($H$130, "0.00%)")</f>
        <v>-140,228 KRW (-3.78%)</v>
      </c>
      <c r="H6" s="301"/>
      <c r="I6" s="302"/>
      <c r="J6" s="300" t="str">
        <f ca="1" xml:space="preserve"> TEXT($L$130, "#,##0") &amp; " KRW (" &amp; TEXT($K$130, "0.00%)")</f>
        <v>29,695 KRW (0.80%)</v>
      </c>
      <c r="K6" s="301"/>
      <c r="L6" s="302"/>
      <c r="M6" s="300" t="str">
        <f ca="1" xml:space="preserve"> TEXT($O$130, "#,##0") &amp; " KRW (" &amp; TEXT($N$130, "0.00%)")</f>
        <v>-124,307 KRW (-3.35%)</v>
      </c>
      <c r="N6" s="301"/>
      <c r="O6" s="302"/>
    </row>
    <row r="7" spans="1:15" ht="16.5" customHeight="1">
      <c r="A7" s="346">
        <v>3</v>
      </c>
      <c r="B7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전일대비 상승률 Top20</v>
      </c>
      <c r="C7" s="309"/>
      <c r="D7" s="307" t="s">
        <v>329</v>
      </c>
      <c r="E7" s="308"/>
      <c r="F7" s="309"/>
      <c r="G7" s="307" t="s">
        <v>336</v>
      </c>
      <c r="H7" s="308"/>
      <c r="I7" s="309"/>
      <c r="J7" s="307" t="s">
        <v>343</v>
      </c>
      <c r="K7" s="308"/>
      <c r="L7" s="309"/>
      <c r="M7" s="307" t="s">
        <v>350</v>
      </c>
      <c r="N7" s="308"/>
      <c r="O7" s="309"/>
    </row>
    <row r="8" spans="1:15" ht="16.5" customHeight="1" thickBot="1">
      <c r="A8" s="347"/>
      <c r="B8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277,866 KRW (7.50%)</v>
      </c>
      <c r="C8" s="302"/>
      <c r="D8" s="300" t="str">
        <f ca="1" xml:space="preserve"> TEXT($F$206, "#,##0") &amp; " KRW (" &amp; TEXT($E$206, "0.00%)")</f>
        <v>-1,034,684 KRW (-29.91%)</v>
      </c>
      <c r="E8" s="301"/>
      <c r="F8" s="302"/>
      <c r="G8" s="300" t="str">
        <f ca="1" xml:space="preserve"> TEXT($I$206, "#,##0") &amp; " KRW (" &amp; TEXT($H$206, "0.00%)")</f>
        <v>-736,143 KRW (-21.28%)</v>
      </c>
      <c r="H8" s="301"/>
      <c r="I8" s="302"/>
      <c r="J8" s="300" t="str">
        <f ca="1" xml:space="preserve"> TEXT($L$206, "#,##0") &amp; " KRW (" &amp; TEXT($K$206, "0.00%)")</f>
        <v>-559,990 KRW (-16.19%)</v>
      </c>
      <c r="K8" s="301"/>
      <c r="L8" s="302"/>
      <c r="M8" s="300" t="str">
        <f ca="1" xml:space="preserve"> TEXT($O$206, "#,##0") &amp; " KRW (" &amp; TEXT($N$206, "0.00%)")</f>
        <v>-508,285 KRW (-14.70%)</v>
      </c>
      <c r="N8" s="301"/>
      <c r="O8" s="302"/>
    </row>
    <row r="9" spans="1:15" ht="16.5" customHeight="1">
      <c r="A9" s="346">
        <v>4</v>
      </c>
      <c r="B9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동전코인 Top20</v>
      </c>
      <c r="C9" s="309"/>
      <c r="D9" s="307" t="s">
        <v>330</v>
      </c>
      <c r="E9" s="308"/>
      <c r="F9" s="309"/>
      <c r="G9" s="307" t="s">
        <v>337</v>
      </c>
      <c r="H9" s="308"/>
      <c r="I9" s="309"/>
      <c r="J9" s="307" t="s">
        <v>344</v>
      </c>
      <c r="K9" s="308"/>
      <c r="L9" s="309"/>
      <c r="M9" s="307" t="s">
        <v>351</v>
      </c>
      <c r="N9" s="308"/>
      <c r="O9" s="309"/>
    </row>
    <row r="10" spans="1:15" ht="16.5" customHeight="1" thickBot="1">
      <c r="A10" s="347"/>
      <c r="B10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29,695 KRW (0.80%)</v>
      </c>
      <c r="C10" s="302"/>
      <c r="D10" s="300" t="str">
        <f ca="1" xml:space="preserve"> TEXT($F$244, "#,##0") &amp; " KRW (" &amp; TEXT($E$244, "0.00%)")</f>
        <v>-891,752 KRW (-24.06%)</v>
      </c>
      <c r="E10" s="301"/>
      <c r="F10" s="302"/>
      <c r="G10" s="300" t="str">
        <f ca="1" xml:space="preserve"> TEXT($I$244, "#,##0") &amp; " KRW (" &amp; TEXT($H$244, "0.00%)")</f>
        <v>-557,284 KRW (-15.04%)</v>
      </c>
      <c r="H10" s="301"/>
      <c r="I10" s="302"/>
      <c r="J10" s="300" t="str">
        <f ca="1" xml:space="preserve"> TEXT($L$244, "#,##0") &amp; " KRW (" &amp; TEXT($K$244, "0.00%)")</f>
        <v>-485,180 KRW (-13.09%)</v>
      </c>
      <c r="K10" s="301"/>
      <c r="L10" s="302"/>
      <c r="M10" s="300" t="str">
        <f ca="1" xml:space="preserve"> TEXT($O$244, "#,##0") &amp; " KRW (" &amp; TEXT($N$244, "0.00%)")</f>
        <v>-392,725 KRW (-10.60%)</v>
      </c>
      <c r="N10" s="301"/>
      <c r="O10" s="302"/>
    </row>
    <row r="11" spans="1:15" ht="16.5" customHeight="1">
      <c r="A11" s="346">
        <v>5</v>
      </c>
      <c r="B11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실거래종목</v>
      </c>
      <c r="C11" s="309"/>
      <c r="D11" s="307" t="s">
        <v>331</v>
      </c>
      <c r="E11" s="308"/>
      <c r="F11" s="309"/>
      <c r="G11" s="307" t="s">
        <v>338</v>
      </c>
      <c r="H11" s="308"/>
      <c r="I11" s="309"/>
      <c r="J11" s="307" t="s">
        <v>345</v>
      </c>
      <c r="K11" s="308"/>
      <c r="L11" s="309"/>
      <c r="M11" s="307" t="s">
        <v>352</v>
      </c>
      <c r="N11" s="308"/>
      <c r="O11" s="309"/>
    </row>
    <row r="12" spans="1:15" ht="16.5" customHeight="1" thickBot="1">
      <c r="A12" s="347"/>
      <c r="B12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-28,702 KRW (-1.20%)</v>
      </c>
      <c r="C12" s="302"/>
      <c r="D12" s="300" t="str">
        <f ca="1" xml:space="preserve"> TEXT($F$168, "#,##0") &amp; " KRW (" &amp; TEXT($E$168, "0.00%)")</f>
        <v>-74,473 KRW (-2.01%)</v>
      </c>
      <c r="E12" s="301"/>
      <c r="F12" s="302"/>
      <c r="G12" s="300" t="str">
        <f ca="1" xml:space="preserve"> TEXT($I$168, "#,##0") &amp; " KRW (" &amp; TEXT($H$168, "0.00%)")</f>
        <v>277,866 KRW (7.50%)</v>
      </c>
      <c r="H12" s="301"/>
      <c r="I12" s="302"/>
      <c r="J12" s="300" t="str">
        <f ca="1" xml:space="preserve"> TEXT($L$168, "#,##0") &amp; " KRW (" &amp; TEXT($K$168, "0.00%)")</f>
        <v>565,819 KRW (15.27%)</v>
      </c>
      <c r="K12" s="301"/>
      <c r="L12" s="302"/>
      <c r="M12" s="300" t="str">
        <f ca="1" xml:space="preserve"> TEXT($O$168, "#,##0") &amp; " KRW (" &amp; TEXT($N$168, "0.00%)")</f>
        <v>350,373 KRW (9.45%)</v>
      </c>
      <c r="N12" s="301"/>
      <c r="O12" s="302"/>
    </row>
    <row r="13" spans="1:15" ht="16.5" customHeight="1">
      <c r="A13" s="346">
        <v>6</v>
      </c>
      <c r="B13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실거래종목</v>
      </c>
      <c r="C13" s="309"/>
      <c r="D13" s="307" t="s">
        <v>332</v>
      </c>
      <c r="E13" s="308"/>
      <c r="F13" s="309"/>
      <c r="G13" s="307" t="s">
        <v>339</v>
      </c>
      <c r="H13" s="308"/>
      <c r="I13" s="309"/>
      <c r="J13" s="307" t="s">
        <v>346</v>
      </c>
      <c r="K13" s="308"/>
      <c r="L13" s="309"/>
      <c r="M13" s="307" t="s">
        <v>353</v>
      </c>
      <c r="N13" s="308"/>
      <c r="O13" s="309"/>
    </row>
    <row r="14" spans="1:15" ht="16.5" customHeight="1" thickBot="1">
      <c r="A14" s="347"/>
      <c r="B14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-43,259 KRW (-1.82%)</v>
      </c>
      <c r="C14" s="302"/>
      <c r="D14" s="300" t="str">
        <f ca="1" xml:space="preserve"> TEXT($F$282, "#,##0") &amp; " KRW (" &amp; TEXT($E$282, "0.00%)")</f>
        <v>-1,271,023 KRW (-34.30%)</v>
      </c>
      <c r="E14" s="301"/>
      <c r="F14" s="302"/>
      <c r="G14" s="300" t="str">
        <f ca="1" xml:space="preserve"> TEXT($I$282, "#,##0") &amp; " KRW (" &amp; TEXT($H$282, "0.00%)")</f>
        <v>-984,811 KRW (-26.57%)</v>
      </c>
      <c r="H14" s="301"/>
      <c r="I14" s="302"/>
      <c r="J14" s="300" t="str">
        <f ca="1" xml:space="preserve"> TEXT($L$282, "#,##0") &amp; " KRW (" &amp; TEXT($K$282, "0.00%)")</f>
        <v>-948,595 KRW (-25.60%)</v>
      </c>
      <c r="K14" s="301"/>
      <c r="L14" s="302"/>
      <c r="M14" s="300" t="str">
        <f ca="1" xml:space="preserve"> TEXT($O$282, "#,##0") &amp; " KRW (" &amp; TEXT($N$282, "0.00%)")</f>
        <v>-862,582 KRW (-23.28%)</v>
      </c>
      <c r="N14" s="301"/>
      <c r="O14" s="302"/>
    </row>
    <row r="15" spans="1:15" ht="16.5" customHeight="1">
      <c r="A15" s="346">
        <v>7</v>
      </c>
      <c r="B15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전일대비 상승률 Top20</v>
      </c>
      <c r="C15" s="309"/>
      <c r="D15" s="307" t="s">
        <v>333</v>
      </c>
      <c r="E15" s="308"/>
      <c r="F15" s="309"/>
      <c r="G15" s="307" t="s">
        <v>340</v>
      </c>
      <c r="H15" s="308"/>
      <c r="I15" s="309"/>
      <c r="J15" s="307" t="s">
        <v>347</v>
      </c>
      <c r="K15" s="308"/>
      <c r="L15" s="309"/>
      <c r="M15" s="307" t="s">
        <v>354</v>
      </c>
      <c r="N15" s="308"/>
      <c r="O15" s="309"/>
    </row>
    <row r="16" spans="1:15" ht="16.5" customHeight="1" thickBot="1">
      <c r="A16" s="347"/>
      <c r="B16" s="30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-74,473 KRW (-2.01%)</v>
      </c>
      <c r="C16" s="302"/>
      <c r="D16" s="300" t="str">
        <f ca="1" xml:space="preserve"> TEXT($F$54, "#,##0") &amp; " KRW (" &amp; TEXT($E$54, "0.00%)")</f>
        <v>-348,813 KRW (-14.64%)</v>
      </c>
      <c r="E16" s="301"/>
      <c r="F16" s="302"/>
      <c r="G16" s="300" t="str">
        <f ca="1" xml:space="preserve"> TEXT($I$54, "#,##0") &amp; " KRW (" &amp; TEXT($H$54, "0.00%)")</f>
        <v>-159,526 KRW (-6.70%)</v>
      </c>
      <c r="H16" s="301"/>
      <c r="I16" s="302"/>
      <c r="J16" s="300" t="str">
        <f ca="1" xml:space="preserve"> TEXT($L$54, "#,##0") &amp; " KRW (" &amp; TEXT($K$54, "0.00%)")</f>
        <v>-43,259 KRW (-1.82%)</v>
      </c>
      <c r="K16" s="301"/>
      <c r="L16" s="302"/>
      <c r="M16" s="300" t="str">
        <f ca="1" xml:space="preserve"> TEXT($O$54, "#,##0") &amp; " KRW (" &amp; TEXT($N$54, "0.00%)")</f>
        <v>-28,702 KRW (-1.20%)</v>
      </c>
      <c r="N16" s="301"/>
      <c r="O16" s="302"/>
    </row>
    <row r="18" spans="1:15" ht="16.5" customHeight="1" thickBot="1"/>
    <row r="19" spans="1:15" ht="16.5" customHeight="1" thickBot="1">
      <c r="A19" s="279" t="str">
        <f>TEXT(투자전략!$G$1, "[$-ko-KR]yyyy년 mm월 ") &amp; "실거래 월말결산"</f>
        <v>2021년 05월 실거래 월말결산</v>
      </c>
      <c r="B19" s="280"/>
      <c r="C19" s="280"/>
      <c r="D19" s="280"/>
      <c r="E19" s="280"/>
      <c r="F19" s="280"/>
      <c r="G19" s="280"/>
      <c r="H19" s="280"/>
      <c r="I19" s="280"/>
      <c r="J19" s="280"/>
      <c r="K19" s="280"/>
      <c r="L19" s="280"/>
      <c r="M19" s="280"/>
      <c r="N19" s="280"/>
      <c r="O19" s="281"/>
    </row>
    <row r="20" spans="1:15" ht="16.5" customHeight="1" thickBot="1">
      <c r="A20" s="332" t="s">
        <v>320</v>
      </c>
      <c r="B20" s="300" t="s">
        <v>318</v>
      </c>
      <c r="C20" s="302"/>
      <c r="D20" s="300" t="s">
        <v>310</v>
      </c>
      <c r="E20" s="301"/>
      <c r="F20" s="302"/>
      <c r="G20" s="300" t="s">
        <v>311</v>
      </c>
      <c r="H20" s="301"/>
      <c r="I20" s="302"/>
      <c r="J20" s="300" t="s">
        <v>312</v>
      </c>
      <c r="K20" s="301"/>
      <c r="L20" s="302"/>
      <c r="M20" s="300" t="s">
        <v>313</v>
      </c>
      <c r="N20" s="301"/>
      <c r="O20" s="302"/>
    </row>
    <row r="21" spans="1:15" ht="16.5" customHeight="1" thickBot="1">
      <c r="A21" s="322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2794106.945397479</v>
      </c>
      <c r="E36" s="72">
        <f t="shared" ca="1" si="2"/>
        <v>3.4854424221288559E-2</v>
      </c>
      <c r="F36" s="140">
        <f t="shared" ca="1" si="3"/>
        <v>94106.94539747911</v>
      </c>
      <c r="G36" s="141">
        <f t="shared" ca="1" si="4"/>
        <v>2694132.2322786176</v>
      </c>
      <c r="H36" s="72">
        <f t="shared" ca="1" si="5"/>
        <v>-2.173247304215759E-3</v>
      </c>
      <c r="I36" s="140">
        <f t="shared" ca="1" si="6"/>
        <v>-5867.7677213825473</v>
      </c>
      <c r="J36" s="141">
        <f t="shared" ca="1" si="7"/>
        <v>2717863.9491859148</v>
      </c>
      <c r="K36" s="72">
        <f t="shared" ca="1" si="8"/>
        <v>6.6162774762648282E-3</v>
      </c>
      <c r="L36" s="140">
        <f t="shared" ca="1" si="9"/>
        <v>17863.949185915033</v>
      </c>
      <c r="M36" s="141">
        <f t="shared" ca="1" si="10"/>
        <v>2710262.421481071</v>
      </c>
      <c r="N36" s="72">
        <f t="shared" ca="1" si="11"/>
        <v>3.8008968448410355E-3</v>
      </c>
      <c r="O36" s="140">
        <f t="shared" ca="1" si="12"/>
        <v>10262.421481070794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>
        <f t="shared" ca="1" si="0"/>
        <v>2400000</v>
      </c>
      <c r="D37" s="138">
        <f t="shared" ca="1" si="1"/>
        <v>2364175.1761061619</v>
      </c>
      <c r="E37" s="73">
        <f t="shared" ca="1" si="2"/>
        <v>-1.492700995576594E-2</v>
      </c>
      <c r="F37" s="136">
        <f t="shared" ca="1" si="3"/>
        <v>-35824.823893838242</v>
      </c>
      <c r="G37" s="138">
        <f t="shared" ca="1" si="4"/>
        <v>2408511.2069628243</v>
      </c>
      <c r="H37" s="73">
        <f t="shared" ca="1" si="5"/>
        <v>3.5463362345100218E-3</v>
      </c>
      <c r="I37" s="136">
        <f t="shared" ca="1" si="6"/>
        <v>8511.2069628240533</v>
      </c>
      <c r="J37" s="138">
        <f t="shared" ca="1" si="7"/>
        <v>2353845.1717181625</v>
      </c>
      <c r="K37" s="73">
        <f t="shared" ca="1" si="8"/>
        <v>-1.9231178450765666E-2</v>
      </c>
      <c r="L37" s="136">
        <f t="shared" ca="1" si="9"/>
        <v>-46154.828281837588</v>
      </c>
      <c r="M37" s="138">
        <f t="shared" ca="1" si="10"/>
        <v>2366166.5172220021</v>
      </c>
      <c r="N37" s="73">
        <f t="shared" ca="1" si="11"/>
        <v>-1.4097284490832343E-2</v>
      </c>
      <c r="O37" s="136">
        <f t="shared" ca="1" si="12"/>
        <v>-33833.482777997619</v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>
        <f t="shared" ca="1" si="0"/>
        <v>2400000</v>
      </c>
      <c r="D38" s="138">
        <f t="shared" ca="1" si="1"/>
        <v>2138590.9607769549</v>
      </c>
      <c r="E38" s="73">
        <f t="shared" ca="1" si="2"/>
        <v>-0.10892043300960214</v>
      </c>
      <c r="F38" s="136">
        <f t="shared" ca="1" si="3"/>
        <v>-261409.03922304505</v>
      </c>
      <c r="G38" s="138">
        <f t="shared" ca="1" si="4"/>
        <v>2207122.5548261222</v>
      </c>
      <c r="H38" s="73">
        <f t="shared" ca="1" si="5"/>
        <v>-8.0365602155782381E-2</v>
      </c>
      <c r="I38" s="136">
        <f t="shared" ca="1" si="6"/>
        <v>-192877.4451738777</v>
      </c>
      <c r="J38" s="138">
        <f t="shared" ca="1" si="7"/>
        <v>2195151.8588973386</v>
      </c>
      <c r="K38" s="73">
        <f t="shared" ca="1" si="8"/>
        <v>-8.5353392126108985E-2</v>
      </c>
      <c r="L38" s="136">
        <f t="shared" ca="1" si="9"/>
        <v>-204848.14110266147</v>
      </c>
      <c r="M38" s="138">
        <f t="shared" ca="1" si="10"/>
        <v>2400000</v>
      </c>
      <c r="N38" s="73">
        <f t="shared" ca="1" si="11"/>
        <v>0</v>
      </c>
      <c r="O38" s="136">
        <f t="shared" ca="1" si="12"/>
        <v>0</v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 t="str">
        <f t="shared" ca="1" si="0"/>
        <v/>
      </c>
      <c r="D39" s="138" t="str">
        <f t="shared" ca="1" si="1"/>
        <v/>
      </c>
      <c r="E39" s="73" t="str">
        <f t="shared" ca="1" si="2"/>
        <v/>
      </c>
      <c r="F39" s="136" t="str">
        <f t="shared" ca="1" si="3"/>
        <v/>
      </c>
      <c r="G39" s="138" t="str">
        <f t="shared" ca="1" si="4"/>
        <v/>
      </c>
      <c r="H39" s="73" t="str">
        <f t="shared" ca="1" si="5"/>
        <v/>
      </c>
      <c r="I39" s="136" t="str">
        <f t="shared" ca="1" si="6"/>
        <v/>
      </c>
      <c r="J39" s="138" t="str">
        <f t="shared" ca="1" si="7"/>
        <v/>
      </c>
      <c r="K39" s="73" t="str">
        <f t="shared" ca="1" si="8"/>
        <v/>
      </c>
      <c r="L39" s="136" t="str">
        <f t="shared" ca="1" si="9"/>
        <v/>
      </c>
      <c r="M39" s="138" t="str">
        <f t="shared" ca="1" si="10"/>
        <v/>
      </c>
      <c r="N39" s="73" t="str">
        <f t="shared" ca="1" si="11"/>
        <v/>
      </c>
      <c r="O39" s="136" t="str">
        <f t="shared" ca="1" si="12"/>
        <v/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 t="str">
        <f t="shared" ca="1" si="0"/>
        <v/>
      </c>
      <c r="D40" s="138" t="str">
        <f t="shared" ca="1" si="1"/>
        <v/>
      </c>
      <c r="E40" s="73" t="str">
        <f t="shared" ca="1" si="2"/>
        <v/>
      </c>
      <c r="F40" s="136" t="str">
        <f t="shared" ca="1" si="3"/>
        <v/>
      </c>
      <c r="G40" s="138" t="str">
        <f t="shared" ca="1" si="4"/>
        <v/>
      </c>
      <c r="H40" s="73" t="str">
        <f t="shared" ca="1" si="5"/>
        <v/>
      </c>
      <c r="I40" s="136" t="str">
        <f t="shared" ca="1" si="6"/>
        <v/>
      </c>
      <c r="J40" s="138" t="str">
        <f t="shared" ca="1" si="7"/>
        <v/>
      </c>
      <c r="K40" s="73" t="str">
        <f t="shared" ca="1" si="8"/>
        <v/>
      </c>
      <c r="L40" s="136" t="str">
        <f t="shared" ca="1" si="9"/>
        <v/>
      </c>
      <c r="M40" s="138" t="str">
        <f t="shared" ca="1" si="10"/>
        <v/>
      </c>
      <c r="N40" s="73" t="str">
        <f t="shared" ca="1" si="11"/>
        <v/>
      </c>
      <c r="O40" s="136" t="str">
        <f t="shared" ca="1" si="12"/>
        <v/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 t="str">
        <f t="shared" ca="1" si="0"/>
        <v/>
      </c>
      <c r="D41" s="138" t="str">
        <f t="shared" ca="1" si="1"/>
        <v/>
      </c>
      <c r="E41" s="73" t="str">
        <f t="shared" ca="1" si="2"/>
        <v/>
      </c>
      <c r="F41" s="136" t="str">
        <f t="shared" ca="1" si="3"/>
        <v/>
      </c>
      <c r="G41" s="138" t="str">
        <f t="shared" ca="1" si="4"/>
        <v/>
      </c>
      <c r="H41" s="73" t="str">
        <f t="shared" ca="1" si="5"/>
        <v/>
      </c>
      <c r="I41" s="136" t="str">
        <f t="shared" ca="1" si="6"/>
        <v/>
      </c>
      <c r="J41" s="138" t="str">
        <f t="shared" ca="1" si="7"/>
        <v/>
      </c>
      <c r="K41" s="73" t="str">
        <f t="shared" ca="1" si="8"/>
        <v/>
      </c>
      <c r="L41" s="136" t="str">
        <f t="shared" ca="1" si="9"/>
        <v/>
      </c>
      <c r="M41" s="138" t="str">
        <f t="shared" ca="1" si="10"/>
        <v/>
      </c>
      <c r="N41" s="73" t="str">
        <f t="shared" ca="1" si="11"/>
        <v/>
      </c>
      <c r="O41" s="136" t="str">
        <f t="shared" ca="1" si="12"/>
        <v/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 t="str">
        <f t="shared" ca="1" si="0"/>
        <v/>
      </c>
      <c r="D42" s="139" t="str">
        <f t="shared" ca="1" si="1"/>
        <v/>
      </c>
      <c r="E42" s="75" t="str">
        <f t="shared" ca="1" si="2"/>
        <v/>
      </c>
      <c r="F42" s="137" t="str">
        <f t="shared" ca="1" si="3"/>
        <v/>
      </c>
      <c r="G42" s="139" t="str">
        <f t="shared" ca="1" si="4"/>
        <v/>
      </c>
      <c r="H42" s="75" t="str">
        <f t="shared" ca="1" si="5"/>
        <v/>
      </c>
      <c r="I42" s="137" t="str">
        <f t="shared" ca="1" si="6"/>
        <v/>
      </c>
      <c r="J42" s="139" t="str">
        <f t="shared" ca="1" si="7"/>
        <v/>
      </c>
      <c r="K42" s="75" t="str">
        <f t="shared" ca="1" si="8"/>
        <v/>
      </c>
      <c r="L42" s="137" t="str">
        <f t="shared" ca="1" si="9"/>
        <v/>
      </c>
      <c r="M42" s="139" t="str">
        <f t="shared" ca="1" si="10"/>
        <v/>
      </c>
      <c r="N42" s="75" t="str">
        <f t="shared" ca="1" si="11"/>
        <v/>
      </c>
      <c r="O42" s="137" t="str">
        <f t="shared" ca="1" si="12"/>
        <v/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 t="str">
        <f t="shared" ca="1" si="0"/>
        <v/>
      </c>
      <c r="D43" s="141" t="str">
        <f t="shared" ca="1" si="1"/>
        <v/>
      </c>
      <c r="E43" s="72" t="str">
        <f t="shared" ca="1" si="2"/>
        <v/>
      </c>
      <c r="F43" s="140" t="str">
        <f t="shared" ca="1" si="3"/>
        <v/>
      </c>
      <c r="G43" s="141" t="str">
        <f t="shared" ca="1" si="4"/>
        <v/>
      </c>
      <c r="H43" s="72" t="str">
        <f t="shared" ca="1" si="5"/>
        <v/>
      </c>
      <c r="I43" s="140" t="str">
        <f t="shared" ca="1" si="6"/>
        <v/>
      </c>
      <c r="J43" s="141" t="str">
        <f t="shared" ca="1" si="7"/>
        <v/>
      </c>
      <c r="K43" s="72" t="str">
        <f t="shared" ca="1" si="8"/>
        <v/>
      </c>
      <c r="L43" s="140" t="str">
        <f t="shared" ca="1" si="9"/>
        <v/>
      </c>
      <c r="M43" s="141" t="str">
        <f t="shared" ca="1" si="10"/>
        <v/>
      </c>
      <c r="N43" s="72" t="str">
        <f t="shared" ca="1" si="11"/>
        <v/>
      </c>
      <c r="O43" s="140" t="str">
        <f t="shared" ca="1" si="12"/>
        <v/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307" t="s">
        <v>319</v>
      </c>
      <c r="B53" s="309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300"/>
      <c r="B54" s="302"/>
      <c r="C54" s="135">
        <f ca="1">SUM(C22:C52)</f>
        <v>40500000</v>
      </c>
      <c r="D54" s="139">
        <f ca="1">SUM(D22:D52)</f>
        <v>40151187.174984083</v>
      </c>
      <c r="E54" s="75">
        <f ca="1">IFERROR(F54 / (SUM($C22:$C52) / COUNT($C22:$C52)), 0)</f>
        <v>-0.14641525988322474</v>
      </c>
      <c r="F54" s="137">
        <f ca="1">SUM(F22:F52)</f>
        <v>-348812.82501591771</v>
      </c>
      <c r="G54" s="139">
        <f ca="1">SUM(G22:G52)</f>
        <v>40340474.152434729</v>
      </c>
      <c r="H54" s="75">
        <f ca="1">IFERROR(I54 / (SUM($C22:$C52) / COUNT($C22:$C52)), 0)</f>
        <v>-6.6961466879252279E-2</v>
      </c>
      <c r="I54" s="137">
        <f ca="1">SUM(I22:I52)</f>
        <v>-159525.84756527748</v>
      </c>
      <c r="J54" s="139">
        <f ca="1">SUM(J22:J52)</f>
        <v>40456740.792048901</v>
      </c>
      <c r="K54" s="75">
        <f ca="1">IFERROR(L54 / (SUM($C22:$C52) / COUNT($C22:$C52)), 0)</f>
        <v>-1.8158186053545286E-2</v>
      </c>
      <c r="L54" s="137">
        <f ca="1">SUM(L22:L52)</f>
        <v>-43259.20795109318</v>
      </c>
      <c r="M54" s="139">
        <f ca="1">SUM(M22:M52)</f>
        <v>40471297.57848569</v>
      </c>
      <c r="N54" s="75">
        <f ca="1">IFERROR(O54 / (SUM($C22:$C52) / COUNT($C22:$C52)), 0)</f>
        <v>-1.2047930018352887E-2</v>
      </c>
      <c r="O54" s="137">
        <f ca="1">SUM(O22:O52)</f>
        <v>-28702.421514311289</v>
      </c>
    </row>
    <row r="56" spans="1:15" ht="16.5" customHeight="1" thickBot="1"/>
    <row r="57" spans="1:15" ht="16.5" customHeight="1" thickBot="1">
      <c r="A57" s="279" t="str">
        <f>TEXT(투자전략!$G$1, "[$-ko-KR]yyyy년 mm월 ") &amp; "[엽전코인] 전일대비 상승률 Top20 월말결산"</f>
        <v>2021년 05월 [엽전코인] 전일대비 상승률 Top20 월말결산</v>
      </c>
      <c r="B57" s="280"/>
      <c r="C57" s="280"/>
      <c r="D57" s="280"/>
      <c r="E57" s="280"/>
      <c r="F57" s="280"/>
      <c r="G57" s="280"/>
      <c r="H57" s="280"/>
      <c r="I57" s="280"/>
      <c r="J57" s="280"/>
      <c r="K57" s="280"/>
      <c r="L57" s="280"/>
      <c r="M57" s="280"/>
      <c r="N57" s="280"/>
      <c r="O57" s="281"/>
    </row>
    <row r="58" spans="1:15" ht="16.5" customHeight="1" thickBot="1">
      <c r="A58" s="332" t="s">
        <v>320</v>
      </c>
      <c r="B58" s="300" t="s">
        <v>318</v>
      </c>
      <c r="C58" s="302"/>
      <c r="D58" s="300" t="s">
        <v>310</v>
      </c>
      <c r="E58" s="301"/>
      <c r="F58" s="302"/>
      <c r="G58" s="300" t="s">
        <v>311</v>
      </c>
      <c r="H58" s="301"/>
      <c r="I58" s="302"/>
      <c r="J58" s="300" t="s">
        <v>312</v>
      </c>
      <c r="K58" s="301"/>
      <c r="L58" s="302"/>
      <c r="M58" s="300" t="s">
        <v>313</v>
      </c>
      <c r="N58" s="301"/>
      <c r="O58" s="302"/>
    </row>
    <row r="59" spans="1:15" ht="16.5" customHeight="1" thickBot="1">
      <c r="A59" s="322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3030228.5956979697</v>
      </c>
      <c r="E74" s="73">
        <f t="shared" ca="1" si="15"/>
        <v>1.0076198565989777E-2</v>
      </c>
      <c r="F74" s="136">
        <f t="shared" ca="1" si="16"/>
        <v>30228.595697969329</v>
      </c>
      <c r="G74" s="138">
        <f t="shared" ca="1" si="17"/>
        <v>2918670.8548692269</v>
      </c>
      <c r="H74" s="73">
        <f t="shared" ca="1" si="18"/>
        <v>-2.7109715043591005E-2</v>
      </c>
      <c r="I74" s="136">
        <f t="shared" ca="1" si="19"/>
        <v>-81329.145130773031</v>
      </c>
      <c r="J74" s="138">
        <f t="shared" ca="1" si="20"/>
        <v>2943072.3012391916</v>
      </c>
      <c r="K74" s="73">
        <f t="shared" ca="1" si="21"/>
        <v>-1.8975899586936136E-2</v>
      </c>
      <c r="L74" s="136">
        <f t="shared" ca="1" si="22"/>
        <v>-56927.698760808395</v>
      </c>
      <c r="M74" s="138">
        <f t="shared" ca="1" si="23"/>
        <v>2949586.3595806514</v>
      </c>
      <c r="N74" s="73">
        <f t="shared" ca="1" si="24"/>
        <v>-1.6804546806449459E-2</v>
      </c>
      <c r="O74" s="136">
        <f t="shared" ca="1" si="25"/>
        <v>-50413.640419348376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>
        <f t="shared" ca="1" si="13"/>
        <v>3000000</v>
      </c>
      <c r="D75" s="138">
        <f t="shared" ca="1" si="14"/>
        <v>2968171.3314741463</v>
      </c>
      <c r="E75" s="73">
        <f t="shared" ca="1" si="15"/>
        <v>-1.0609556175284567E-2</v>
      </c>
      <c r="F75" s="136">
        <f t="shared" ca="1" si="16"/>
        <v>-31828.668525853707</v>
      </c>
      <c r="G75" s="138">
        <f t="shared" ca="1" si="17"/>
        <v>3025182.2300439207</v>
      </c>
      <c r="H75" s="73">
        <f t="shared" ca="1" si="18"/>
        <v>8.3940766813068099E-3</v>
      </c>
      <c r="I75" s="136">
        <f t="shared" ca="1" si="19"/>
        <v>25182.230043920423</v>
      </c>
      <c r="J75" s="138">
        <f t="shared" ca="1" si="20"/>
        <v>2951446.2739561596</v>
      </c>
      <c r="K75" s="73">
        <f t="shared" ca="1" si="21"/>
        <v>-1.6184575347946858E-2</v>
      </c>
      <c r="L75" s="136">
        <f t="shared" ca="1" si="22"/>
        <v>-48553.726043840586</v>
      </c>
      <c r="M75" s="138">
        <f t="shared" ca="1" si="23"/>
        <v>2965999.6261539808</v>
      </c>
      <c r="N75" s="73">
        <f t="shared" ca="1" si="24"/>
        <v>-1.1333457948673015E-2</v>
      </c>
      <c r="O75" s="136">
        <f t="shared" ca="1" si="25"/>
        <v>-34000.373846019043</v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>
        <f t="shared" ca="1" si="13"/>
        <v>3000000</v>
      </c>
      <c r="D76" s="138">
        <f t="shared" ca="1" si="14"/>
        <v>2625060.9455625238</v>
      </c>
      <c r="E76" s="73">
        <f t="shared" ca="1" si="15"/>
        <v>-0.12497968481249203</v>
      </c>
      <c r="F76" s="136">
        <f t="shared" ca="1" si="16"/>
        <v>-374939.05443747604</v>
      </c>
      <c r="G76" s="138">
        <f t="shared" ca="1" si="17"/>
        <v>2736924.6703538555</v>
      </c>
      <c r="H76" s="73">
        <f t="shared" ca="1" si="18"/>
        <v>-8.769177654871485E-2</v>
      </c>
      <c r="I76" s="136">
        <f t="shared" ca="1" si="19"/>
        <v>-263075.32964614453</v>
      </c>
      <c r="J76" s="138">
        <f t="shared" ca="1" si="20"/>
        <v>2717906.4303956889</v>
      </c>
      <c r="K76" s="73">
        <f t="shared" ca="1" si="21"/>
        <v>-9.4031189868103771E-2</v>
      </c>
      <c r="L76" s="136">
        <f t="shared" ca="1" si="22"/>
        <v>-282093.56960431137</v>
      </c>
      <c r="M76" s="138">
        <f t="shared" ca="1" si="23"/>
        <v>3000000</v>
      </c>
      <c r="N76" s="73">
        <f t="shared" ca="1" si="24"/>
        <v>0</v>
      </c>
      <c r="O76" s="136">
        <f t="shared" ca="1" si="25"/>
        <v>0</v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 t="str">
        <f t="shared" ca="1" si="13"/>
        <v/>
      </c>
      <c r="D77" s="138" t="str">
        <f t="shared" ca="1" si="14"/>
        <v/>
      </c>
      <c r="E77" s="73" t="str">
        <f t="shared" ca="1" si="15"/>
        <v/>
      </c>
      <c r="F77" s="136" t="str">
        <f t="shared" ca="1" si="16"/>
        <v/>
      </c>
      <c r="G77" s="138" t="str">
        <f t="shared" ca="1" si="17"/>
        <v/>
      </c>
      <c r="H77" s="73" t="str">
        <f t="shared" ca="1" si="18"/>
        <v/>
      </c>
      <c r="I77" s="136" t="str">
        <f t="shared" ca="1" si="19"/>
        <v/>
      </c>
      <c r="J77" s="138" t="str">
        <f t="shared" ca="1" si="20"/>
        <v/>
      </c>
      <c r="K77" s="73" t="str">
        <f t="shared" ca="1" si="21"/>
        <v/>
      </c>
      <c r="L77" s="136" t="str">
        <f t="shared" ca="1" si="22"/>
        <v/>
      </c>
      <c r="M77" s="138" t="str">
        <f t="shared" ca="1" si="23"/>
        <v/>
      </c>
      <c r="N77" s="73" t="str">
        <f t="shared" ca="1" si="24"/>
        <v/>
      </c>
      <c r="O77" s="136" t="str">
        <f t="shared" ca="1" si="25"/>
        <v/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 t="str">
        <f t="shared" ca="1" si="13"/>
        <v/>
      </c>
      <c r="D78" s="138" t="str">
        <f t="shared" ca="1" si="14"/>
        <v/>
      </c>
      <c r="E78" s="73" t="str">
        <f t="shared" ca="1" si="15"/>
        <v/>
      </c>
      <c r="F78" s="136" t="str">
        <f t="shared" ca="1" si="16"/>
        <v/>
      </c>
      <c r="G78" s="138" t="str">
        <f t="shared" ca="1" si="17"/>
        <v/>
      </c>
      <c r="H78" s="73" t="str">
        <f t="shared" ca="1" si="18"/>
        <v/>
      </c>
      <c r="I78" s="136" t="str">
        <f t="shared" ca="1" si="19"/>
        <v/>
      </c>
      <c r="J78" s="138" t="str">
        <f t="shared" ca="1" si="20"/>
        <v/>
      </c>
      <c r="K78" s="73" t="str">
        <f t="shared" ca="1" si="21"/>
        <v/>
      </c>
      <c r="L78" s="136" t="str">
        <f t="shared" ca="1" si="22"/>
        <v/>
      </c>
      <c r="M78" s="138" t="str">
        <f t="shared" ca="1" si="23"/>
        <v/>
      </c>
      <c r="N78" s="73" t="str">
        <f t="shared" ca="1" si="24"/>
        <v/>
      </c>
      <c r="O78" s="136" t="str">
        <f t="shared" ca="1" si="25"/>
        <v/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 t="str">
        <f t="shared" ca="1" si="13"/>
        <v/>
      </c>
      <c r="D79" s="138" t="str">
        <f t="shared" ca="1" si="14"/>
        <v/>
      </c>
      <c r="E79" s="73" t="str">
        <f t="shared" ca="1" si="15"/>
        <v/>
      </c>
      <c r="F79" s="136" t="str">
        <f t="shared" ca="1" si="16"/>
        <v/>
      </c>
      <c r="G79" s="138" t="str">
        <f t="shared" ca="1" si="17"/>
        <v/>
      </c>
      <c r="H79" s="73" t="str">
        <f t="shared" ca="1" si="18"/>
        <v/>
      </c>
      <c r="I79" s="136" t="str">
        <f t="shared" ca="1" si="19"/>
        <v/>
      </c>
      <c r="J79" s="138" t="str">
        <f t="shared" ca="1" si="20"/>
        <v/>
      </c>
      <c r="K79" s="73" t="str">
        <f t="shared" ca="1" si="21"/>
        <v/>
      </c>
      <c r="L79" s="136" t="str">
        <f t="shared" ca="1" si="22"/>
        <v/>
      </c>
      <c r="M79" s="138" t="str">
        <f t="shared" ca="1" si="23"/>
        <v/>
      </c>
      <c r="N79" s="73" t="str">
        <f t="shared" ca="1" si="24"/>
        <v/>
      </c>
      <c r="O79" s="136" t="str">
        <f t="shared" ca="1" si="25"/>
        <v/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 t="str">
        <f t="shared" ca="1" si="13"/>
        <v/>
      </c>
      <c r="D80" s="138" t="str">
        <f t="shared" ca="1" si="14"/>
        <v/>
      </c>
      <c r="E80" s="73" t="str">
        <f t="shared" ca="1" si="15"/>
        <v/>
      </c>
      <c r="F80" s="136" t="str">
        <f t="shared" ca="1" si="16"/>
        <v/>
      </c>
      <c r="G80" s="138" t="str">
        <f t="shared" ca="1" si="17"/>
        <v/>
      </c>
      <c r="H80" s="73" t="str">
        <f t="shared" ca="1" si="18"/>
        <v/>
      </c>
      <c r="I80" s="136" t="str">
        <f t="shared" ca="1" si="19"/>
        <v/>
      </c>
      <c r="J80" s="138" t="str">
        <f t="shared" ca="1" si="20"/>
        <v/>
      </c>
      <c r="K80" s="73" t="str">
        <f t="shared" ca="1" si="21"/>
        <v/>
      </c>
      <c r="L80" s="136" t="str">
        <f t="shared" ca="1" si="22"/>
        <v/>
      </c>
      <c r="M80" s="138" t="str">
        <f t="shared" ca="1" si="23"/>
        <v/>
      </c>
      <c r="N80" s="73" t="str">
        <f t="shared" ca="1" si="24"/>
        <v/>
      </c>
      <c r="O80" s="136" t="str">
        <f t="shared" ca="1" si="25"/>
        <v/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 t="str">
        <f t="shared" ca="1" si="13"/>
        <v/>
      </c>
      <c r="D81" s="141" t="str">
        <f t="shared" ca="1" si="14"/>
        <v/>
      </c>
      <c r="E81" s="72" t="str">
        <f t="shared" ca="1" si="15"/>
        <v/>
      </c>
      <c r="F81" s="140" t="str">
        <f t="shared" ca="1" si="16"/>
        <v/>
      </c>
      <c r="G81" s="141" t="str">
        <f t="shared" ca="1" si="17"/>
        <v/>
      </c>
      <c r="H81" s="72" t="str">
        <f t="shared" ca="1" si="18"/>
        <v/>
      </c>
      <c r="I81" s="140" t="str">
        <f t="shared" ca="1" si="19"/>
        <v/>
      </c>
      <c r="J81" s="141" t="str">
        <f t="shared" ca="1" si="20"/>
        <v/>
      </c>
      <c r="K81" s="72" t="str">
        <f t="shared" ca="1" si="21"/>
        <v/>
      </c>
      <c r="L81" s="140" t="str">
        <f t="shared" ca="1" si="22"/>
        <v/>
      </c>
      <c r="M81" s="141" t="str">
        <f t="shared" ca="1" si="23"/>
        <v/>
      </c>
      <c r="N81" s="72" t="str">
        <f t="shared" ca="1" si="24"/>
        <v/>
      </c>
      <c r="O81" s="140" t="str">
        <f t="shared" ca="1" si="25"/>
        <v/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307" t="s">
        <v>319</v>
      </c>
      <c r="B91" s="309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300"/>
      <c r="B92" s="302"/>
      <c r="C92" s="135">
        <f ca="1">SUM(C60:C90)</f>
        <v>59100000</v>
      </c>
      <c r="D92" s="139">
        <f ca="1">SUM(D60:D90)</f>
        <v>58081714.620673023</v>
      </c>
      <c r="E92" s="75">
        <f ca="1">IFERROR(F92 / (SUM($C60:$C90) / COUNT($C60:$C90)), 0)</f>
        <v>-0.29290780792823462</v>
      </c>
      <c r="F92" s="137">
        <f ca="1">SUM(F60:F90)</f>
        <v>-1018285.3793269803</v>
      </c>
      <c r="G92" s="139">
        <f ca="1">SUM(G60:G90)</f>
        <v>58373773.197651766</v>
      </c>
      <c r="H92" s="75">
        <f ca="1">IFERROR(I92 / (SUM($C60:$C90) / COUNT($C60:$C90)), 0)</f>
        <v>-0.20889772656378419</v>
      </c>
      <c r="I92" s="137">
        <f ca="1">SUM(I60:I90)</f>
        <v>-726226.80234821443</v>
      </c>
      <c r="J92" s="139">
        <f ca="1">SUM(J60:J90)</f>
        <v>58546358.194519728</v>
      </c>
      <c r="K92" s="75">
        <f ca="1">IFERROR(L92 / (SUM($C60:$C90) / COUNT($C60:$C90)), 0)</f>
        <v>-0.15925398804001339</v>
      </c>
      <c r="L92" s="137">
        <f ca="1">SUM(L60:L90)</f>
        <v>-553641.80548028182</v>
      </c>
      <c r="M92" s="139">
        <f ca="1">SUM(M60:M90)</f>
        <v>58591271.2041604</v>
      </c>
      <c r="N92" s="75">
        <f ca="1">IFERROR(O92 / (SUM($C60:$C90) / COUNT($C60:$C90)), 0)</f>
        <v>-0.14633484821105347</v>
      </c>
      <c r="O92" s="137">
        <f ca="1">SUM(O60:O90)</f>
        <v>-508728.79583960352</v>
      </c>
    </row>
    <row r="94" spans="1:15" ht="16.5" customHeight="1" thickBot="1"/>
    <row r="95" spans="1:15" ht="16.5" customHeight="1" thickBot="1">
      <c r="A95" s="279" t="str">
        <f>TEXT(투자전략!$G$1, "[$-ko-KR]yyyy년 mm월 ") &amp; "[동전코인] 전일대비 상승률 Top20 월말결산"</f>
        <v>2021년 05월 [동전코인] 전일대비 상승률 Top20 월말결산</v>
      </c>
      <c r="B95" s="280"/>
      <c r="C95" s="280"/>
      <c r="D95" s="280"/>
      <c r="E95" s="280"/>
      <c r="F95" s="280"/>
      <c r="G95" s="280"/>
      <c r="H95" s="280"/>
      <c r="I95" s="280"/>
      <c r="J95" s="280"/>
      <c r="K95" s="280"/>
      <c r="L95" s="280"/>
      <c r="M95" s="280"/>
      <c r="N95" s="280"/>
      <c r="O95" s="281"/>
    </row>
    <row r="96" spans="1:15" ht="16.5" customHeight="1" thickBot="1">
      <c r="A96" s="332" t="s">
        <v>320</v>
      </c>
      <c r="B96" s="300" t="s">
        <v>318</v>
      </c>
      <c r="C96" s="302"/>
      <c r="D96" s="300" t="s">
        <v>310</v>
      </c>
      <c r="E96" s="301"/>
      <c r="F96" s="302"/>
      <c r="G96" s="300" t="s">
        <v>311</v>
      </c>
      <c r="H96" s="301"/>
      <c r="I96" s="302"/>
      <c r="J96" s="300" t="s">
        <v>312</v>
      </c>
      <c r="K96" s="301"/>
      <c r="L96" s="302"/>
      <c r="M96" s="300" t="s">
        <v>313</v>
      </c>
      <c r="N96" s="301"/>
      <c r="O96" s="302"/>
    </row>
    <row r="97" spans="1:15" ht="16.5" customHeight="1" thickBot="1">
      <c r="A97" s="322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3022013.3948886199</v>
      </c>
      <c r="E112" s="73">
        <f t="shared" ca="1" si="28"/>
        <v>7.3377982962066681E-3</v>
      </c>
      <c r="F112" s="136">
        <f t="shared" ca="1" si="29"/>
        <v>22013.394888620012</v>
      </c>
      <c r="G112" s="138">
        <f t="shared" ca="1" si="30"/>
        <v>2930013.056985802</v>
      </c>
      <c r="H112" s="73">
        <f t="shared" ca="1" si="31"/>
        <v>-2.3328981004732647E-2</v>
      </c>
      <c r="I112" s="136">
        <f t="shared" ca="1" si="32"/>
        <v>-69986.943014197939</v>
      </c>
      <c r="J112" s="138">
        <f t="shared" ca="1" si="33"/>
        <v>2968910.1045063739</v>
      </c>
      <c r="K112" s="73">
        <f t="shared" ca="1" si="34"/>
        <v>-1.0363298497875321E-2</v>
      </c>
      <c r="L112" s="136">
        <f t="shared" ca="1" si="35"/>
        <v>-31089.895493625954</v>
      </c>
      <c r="M112" s="138">
        <f t="shared" ca="1" si="36"/>
        <v>2984042.430041342</v>
      </c>
      <c r="N112" s="73">
        <f t="shared" ca="1" si="37"/>
        <v>-5.3191899862192358E-3</v>
      </c>
      <c r="O112" s="136">
        <f t="shared" ca="1" si="38"/>
        <v>-15957.569958657708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>
        <f t="shared" ca="1" si="26"/>
        <v>3000000</v>
      </c>
      <c r="D113" s="138">
        <f t="shared" ca="1" si="27"/>
        <v>2922595.0563212642</v>
      </c>
      <c r="E113" s="73">
        <f t="shared" ca="1" si="28"/>
        <v>-2.5801647892911988E-2</v>
      </c>
      <c r="F113" s="136">
        <f t="shared" ca="1" si="29"/>
        <v>-77404.943678735974</v>
      </c>
      <c r="G113" s="138">
        <f t="shared" ca="1" si="30"/>
        <v>3002207.9920768449</v>
      </c>
      <c r="H113" s="73">
        <f t="shared" ca="1" si="31"/>
        <v>7.3599735894823838E-4</v>
      </c>
      <c r="I113" s="136">
        <f t="shared" ca="1" si="32"/>
        <v>2207.992076844715</v>
      </c>
      <c r="J113" s="138">
        <f t="shared" ca="1" si="33"/>
        <v>2918422.8915714384</v>
      </c>
      <c r="K113" s="73">
        <f t="shared" ca="1" si="34"/>
        <v>-2.7192369476187188E-2</v>
      </c>
      <c r="L113" s="136">
        <f t="shared" ca="1" si="35"/>
        <v>-81577.10842856158</v>
      </c>
      <c r="M113" s="138">
        <f t="shared" ca="1" si="36"/>
        <v>2920375.8307416784</v>
      </c>
      <c r="N113" s="73">
        <f t="shared" ca="1" si="37"/>
        <v>-2.6541389752773897E-2</v>
      </c>
      <c r="O113" s="136">
        <f t="shared" ca="1" si="38"/>
        <v>-79624.169258321679</v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>
        <f t="shared" ca="1" si="26"/>
        <v>3000000</v>
      </c>
      <c r="D114" s="138">
        <f t="shared" ca="1" si="27"/>
        <v>2685147.5361050204</v>
      </c>
      <c r="E114" s="73">
        <f t="shared" ca="1" si="28"/>
        <v>-0.1049508212983264</v>
      </c>
      <c r="F114" s="136">
        <f t="shared" ca="1" si="29"/>
        <v>-314852.46389497921</v>
      </c>
      <c r="G114" s="138">
        <f t="shared" ca="1" si="30"/>
        <v>2797508.102703481</v>
      </c>
      <c r="H114" s="73">
        <f t="shared" ca="1" si="31"/>
        <v>-6.7497299098839753E-2</v>
      </c>
      <c r="I114" s="136">
        <f t="shared" ca="1" si="32"/>
        <v>-202491.89729651925</v>
      </c>
      <c r="J114" s="138">
        <f t="shared" ca="1" si="33"/>
        <v>2782590.8552467581</v>
      </c>
      <c r="K114" s="73">
        <f t="shared" ca="1" si="34"/>
        <v>-7.2469714917747327E-2</v>
      </c>
      <c r="L114" s="136">
        <f t="shared" ca="1" si="35"/>
        <v>-217409.14475324203</v>
      </c>
      <c r="M114" s="138">
        <f t="shared" ca="1" si="36"/>
        <v>3000000</v>
      </c>
      <c r="N114" s="73">
        <f t="shared" ca="1" si="37"/>
        <v>0</v>
      </c>
      <c r="O114" s="136">
        <f t="shared" ca="1" si="38"/>
        <v>0</v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 t="str">
        <f t="shared" ca="1" si="26"/>
        <v/>
      </c>
      <c r="D115" s="138" t="str">
        <f t="shared" ca="1" si="27"/>
        <v/>
      </c>
      <c r="E115" s="73" t="str">
        <f t="shared" ca="1" si="28"/>
        <v/>
      </c>
      <c r="F115" s="136" t="str">
        <f t="shared" ca="1" si="29"/>
        <v/>
      </c>
      <c r="G115" s="138" t="str">
        <f t="shared" ca="1" si="30"/>
        <v/>
      </c>
      <c r="H115" s="73" t="str">
        <f t="shared" ca="1" si="31"/>
        <v/>
      </c>
      <c r="I115" s="136" t="str">
        <f t="shared" ca="1" si="32"/>
        <v/>
      </c>
      <c r="J115" s="138" t="str">
        <f t="shared" ca="1" si="33"/>
        <v/>
      </c>
      <c r="K115" s="73" t="str">
        <f t="shared" ca="1" si="34"/>
        <v/>
      </c>
      <c r="L115" s="136" t="str">
        <f t="shared" ca="1" si="35"/>
        <v/>
      </c>
      <c r="M115" s="138" t="str">
        <f t="shared" ca="1" si="36"/>
        <v/>
      </c>
      <c r="N115" s="73" t="str">
        <f t="shared" ca="1" si="37"/>
        <v/>
      </c>
      <c r="O115" s="136" t="str">
        <f t="shared" ca="1" si="38"/>
        <v/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 t="str">
        <f t="shared" ca="1" si="26"/>
        <v/>
      </c>
      <c r="D116" s="138" t="str">
        <f t="shared" ca="1" si="27"/>
        <v/>
      </c>
      <c r="E116" s="73" t="str">
        <f t="shared" ca="1" si="28"/>
        <v/>
      </c>
      <c r="F116" s="136" t="str">
        <f t="shared" ca="1" si="29"/>
        <v/>
      </c>
      <c r="G116" s="138" t="str">
        <f t="shared" ca="1" si="30"/>
        <v/>
      </c>
      <c r="H116" s="73" t="str">
        <f t="shared" ca="1" si="31"/>
        <v/>
      </c>
      <c r="I116" s="136" t="str">
        <f t="shared" ca="1" si="32"/>
        <v/>
      </c>
      <c r="J116" s="138" t="str">
        <f t="shared" ca="1" si="33"/>
        <v/>
      </c>
      <c r="K116" s="73" t="str">
        <f t="shared" ca="1" si="34"/>
        <v/>
      </c>
      <c r="L116" s="136" t="str">
        <f t="shared" ca="1" si="35"/>
        <v/>
      </c>
      <c r="M116" s="138" t="str">
        <f t="shared" ca="1" si="36"/>
        <v/>
      </c>
      <c r="N116" s="73" t="str">
        <f t="shared" ca="1" si="37"/>
        <v/>
      </c>
      <c r="O116" s="136" t="str">
        <f t="shared" ca="1" si="38"/>
        <v/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 t="str">
        <f t="shared" ca="1" si="26"/>
        <v/>
      </c>
      <c r="D117" s="138" t="str">
        <f t="shared" ca="1" si="27"/>
        <v/>
      </c>
      <c r="E117" s="73" t="str">
        <f t="shared" ca="1" si="28"/>
        <v/>
      </c>
      <c r="F117" s="136" t="str">
        <f t="shared" ca="1" si="29"/>
        <v/>
      </c>
      <c r="G117" s="138" t="str">
        <f t="shared" ca="1" si="30"/>
        <v/>
      </c>
      <c r="H117" s="73" t="str">
        <f t="shared" ca="1" si="31"/>
        <v/>
      </c>
      <c r="I117" s="136" t="str">
        <f t="shared" ca="1" si="32"/>
        <v/>
      </c>
      <c r="J117" s="138" t="str">
        <f t="shared" ca="1" si="33"/>
        <v/>
      </c>
      <c r="K117" s="73" t="str">
        <f t="shared" ca="1" si="34"/>
        <v/>
      </c>
      <c r="L117" s="136" t="str">
        <f t="shared" ca="1" si="35"/>
        <v/>
      </c>
      <c r="M117" s="138" t="str">
        <f t="shared" ca="1" si="36"/>
        <v/>
      </c>
      <c r="N117" s="73" t="str">
        <f t="shared" ca="1" si="37"/>
        <v/>
      </c>
      <c r="O117" s="136" t="str">
        <f t="shared" ca="1" si="38"/>
        <v/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 t="str">
        <f t="shared" ca="1" si="26"/>
        <v/>
      </c>
      <c r="D118" s="138" t="str">
        <f t="shared" ca="1" si="27"/>
        <v/>
      </c>
      <c r="E118" s="73" t="str">
        <f t="shared" ca="1" si="28"/>
        <v/>
      </c>
      <c r="F118" s="136" t="str">
        <f t="shared" ca="1" si="29"/>
        <v/>
      </c>
      <c r="G118" s="138" t="str">
        <f t="shared" ca="1" si="30"/>
        <v/>
      </c>
      <c r="H118" s="73" t="str">
        <f t="shared" ca="1" si="31"/>
        <v/>
      </c>
      <c r="I118" s="136" t="str">
        <f t="shared" ca="1" si="32"/>
        <v/>
      </c>
      <c r="J118" s="138" t="str">
        <f t="shared" ca="1" si="33"/>
        <v/>
      </c>
      <c r="K118" s="73" t="str">
        <f t="shared" ca="1" si="34"/>
        <v/>
      </c>
      <c r="L118" s="136" t="str">
        <f t="shared" ca="1" si="35"/>
        <v/>
      </c>
      <c r="M118" s="138" t="str">
        <f t="shared" ca="1" si="36"/>
        <v/>
      </c>
      <c r="N118" s="73" t="str">
        <f t="shared" ca="1" si="37"/>
        <v/>
      </c>
      <c r="O118" s="136" t="str">
        <f t="shared" ca="1" si="38"/>
        <v/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 t="str">
        <f t="shared" ca="1" si="26"/>
        <v/>
      </c>
      <c r="D119" s="141" t="str">
        <f t="shared" ca="1" si="27"/>
        <v/>
      </c>
      <c r="E119" s="72" t="str">
        <f t="shared" ca="1" si="28"/>
        <v/>
      </c>
      <c r="F119" s="140" t="str">
        <f t="shared" ca="1" si="29"/>
        <v/>
      </c>
      <c r="G119" s="141" t="str">
        <f t="shared" ca="1" si="30"/>
        <v/>
      </c>
      <c r="H119" s="72" t="str">
        <f t="shared" ca="1" si="31"/>
        <v/>
      </c>
      <c r="I119" s="140" t="str">
        <f t="shared" ca="1" si="32"/>
        <v/>
      </c>
      <c r="J119" s="141" t="str">
        <f t="shared" ca="1" si="33"/>
        <v/>
      </c>
      <c r="K119" s="72" t="str">
        <f t="shared" ca="1" si="34"/>
        <v/>
      </c>
      <c r="L119" s="140" t="str">
        <f t="shared" ca="1" si="35"/>
        <v/>
      </c>
      <c r="M119" s="141" t="str">
        <f t="shared" ca="1" si="36"/>
        <v/>
      </c>
      <c r="N119" s="72" t="str">
        <f t="shared" ca="1" si="37"/>
        <v/>
      </c>
      <c r="O119" s="140" t="str">
        <f t="shared" ca="1" si="38"/>
        <v/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307" t="s">
        <v>319</v>
      </c>
      <c r="B129" s="309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300"/>
      <c r="B130" s="302"/>
      <c r="C130" s="135">
        <f ca="1">SUM(C98:C128)</f>
        <v>63000000</v>
      </c>
      <c r="D130" s="139">
        <f ca="1">SUM(D98:D128)</f>
        <v>62484598.395340331</v>
      </c>
      <c r="E130" s="75">
        <f ca="1">IFERROR(F130 / (SUM($C98:$C128) / COUNT($C98:$C128)), 0)</f>
        <v>-0.13907662347959099</v>
      </c>
      <c r="F130" s="137">
        <f ca="1">SUM(F98:F128)</f>
        <v>-515401.60465966072</v>
      </c>
      <c r="G130" s="139">
        <f ca="1">SUM(G98:G128)</f>
        <v>62859771.549900584</v>
      </c>
      <c r="H130" s="75">
        <f ca="1">IFERROR(I130 / (SUM($C98:$C128) / COUNT($C98:$C128)), 0)</f>
        <v>-3.7839423042701013E-2</v>
      </c>
      <c r="I130" s="137">
        <f ca="1">SUM(I98:I128)</f>
        <v>-140228.4500994214</v>
      </c>
      <c r="J130" s="139">
        <f ca="1">SUM(J98:J128)</f>
        <v>63029695.035398372</v>
      </c>
      <c r="K130" s="75">
        <f ca="1">IFERROR(L130 / (SUM($C98:$C128) / COUNT($C98:$C128)), 0)</f>
        <v>8.0129460598738662E-3</v>
      </c>
      <c r="L130" s="137">
        <f ca="1">SUM(L98:L128)</f>
        <v>29695.035398356093</v>
      </c>
      <c r="M130" s="139">
        <f ca="1">SUM(M98:M128)</f>
        <v>62875693.100062273</v>
      </c>
      <c r="N130" s="75">
        <f ca="1">IFERROR(O130 / (SUM($C98:$C128) / COUNT($C98:$C128)), 0)</f>
        <v>-3.3543131729230707E-2</v>
      </c>
      <c r="O130" s="137">
        <f ca="1">SUM(O98:O128)</f>
        <v>-124306.89993773733</v>
      </c>
    </row>
    <row r="132" spans="1:15" ht="16.5" customHeight="1" thickBot="1"/>
    <row r="133" spans="1:15" ht="16.5" customHeight="1" thickBot="1">
      <c r="A133" s="279" t="str">
        <f>TEXT(투자전략!$G$1, "[$-ko-KR]yyyy년 mm월 ") &amp; "전일대비 상승률 Top20 월말결산"</f>
        <v>2021년 05월 전일대비 상승률 Top20 월말결산</v>
      </c>
      <c r="B133" s="280"/>
      <c r="C133" s="280"/>
      <c r="D133" s="280"/>
      <c r="E133" s="280"/>
      <c r="F133" s="280"/>
      <c r="G133" s="280"/>
      <c r="H133" s="280"/>
      <c r="I133" s="280"/>
      <c r="J133" s="280"/>
      <c r="K133" s="280"/>
      <c r="L133" s="280"/>
      <c r="M133" s="280"/>
      <c r="N133" s="280"/>
      <c r="O133" s="281"/>
    </row>
    <row r="134" spans="1:15" ht="16.5" customHeight="1" thickBot="1">
      <c r="A134" s="332" t="s">
        <v>320</v>
      </c>
      <c r="B134" s="300" t="s">
        <v>318</v>
      </c>
      <c r="C134" s="302"/>
      <c r="D134" s="300" t="s">
        <v>310</v>
      </c>
      <c r="E134" s="301"/>
      <c r="F134" s="302"/>
      <c r="G134" s="300" t="s">
        <v>311</v>
      </c>
      <c r="H134" s="301"/>
      <c r="I134" s="302"/>
      <c r="J134" s="300" t="s">
        <v>312</v>
      </c>
      <c r="K134" s="301"/>
      <c r="L134" s="302"/>
      <c r="M134" s="300" t="s">
        <v>313</v>
      </c>
      <c r="N134" s="301"/>
      <c r="O134" s="302"/>
    </row>
    <row r="135" spans="1:15" ht="16.5" customHeight="1" thickBot="1">
      <c r="A135" s="322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3021665.374646659</v>
      </c>
      <c r="E150" s="73">
        <f t="shared" ca="1" si="41"/>
        <v>7.2217915488863626E-3</v>
      </c>
      <c r="F150" s="136">
        <f t="shared" ca="1" si="42"/>
        <v>21665.374646659075</v>
      </c>
      <c r="G150" s="138">
        <f t="shared" ca="1" si="43"/>
        <v>2915785.4690381689</v>
      </c>
      <c r="H150" s="73">
        <f t="shared" ca="1" si="44"/>
        <v>-2.8071510320610449E-2</v>
      </c>
      <c r="I150" s="136">
        <f t="shared" ca="1" si="45"/>
        <v>-84214.530961831348</v>
      </c>
      <c r="J150" s="138">
        <f t="shared" ca="1" si="46"/>
        <v>2951100.8827681192</v>
      </c>
      <c r="K150" s="73">
        <f t="shared" ca="1" si="47"/>
        <v>-1.6299705743960349E-2</v>
      </c>
      <c r="L150" s="136">
        <f t="shared" ca="1" si="48"/>
        <v>-48899.117231881042</v>
      </c>
      <c r="M150" s="138">
        <f t="shared" ca="1" si="49"/>
        <v>2959468.2930775932</v>
      </c>
      <c r="N150" s="73">
        <f t="shared" ca="1" si="50"/>
        <v>-1.3510568974135554E-2</v>
      </c>
      <c r="O150" s="136">
        <f t="shared" ca="1" si="51"/>
        <v>-40531.706922406651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>
        <f t="shared" ca="1" si="39"/>
        <v>3000000</v>
      </c>
      <c r="D151" s="138">
        <f t="shared" ca="1" si="40"/>
        <v>2906003.9144682554</v>
      </c>
      <c r="E151" s="73">
        <f t="shared" ca="1" si="41"/>
        <v>-3.1332028510581589E-2</v>
      </c>
      <c r="F151" s="136">
        <f t="shared" ca="1" si="42"/>
        <v>-93996.085531744786</v>
      </c>
      <c r="G151" s="138">
        <f t="shared" ca="1" si="43"/>
        <v>2986177.1858009347</v>
      </c>
      <c r="H151" s="73">
        <f t="shared" ca="1" si="44"/>
        <v>-4.6076047330217973E-3</v>
      </c>
      <c r="I151" s="136">
        <f t="shared" ca="1" si="45"/>
        <v>-13822.814199065397</v>
      </c>
      <c r="J151" s="138">
        <f t="shared" ca="1" si="46"/>
        <v>2897450.8006394915</v>
      </c>
      <c r="K151" s="73">
        <f t="shared" ca="1" si="47"/>
        <v>-3.418306645350274E-2</v>
      </c>
      <c r="L151" s="136">
        <f t="shared" ca="1" si="48"/>
        <v>-102549.19936050824</v>
      </c>
      <c r="M151" s="138">
        <f t="shared" ca="1" si="49"/>
        <v>2892625.2091582143</v>
      </c>
      <c r="N151" s="73">
        <f t="shared" ca="1" si="50"/>
        <v>-3.5791596947261931E-2</v>
      </c>
      <c r="O151" s="136">
        <f t="shared" ca="1" si="51"/>
        <v>-107374.7908417858</v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>
        <f t="shared" ca="1" si="39"/>
        <v>3000000</v>
      </c>
      <c r="D152" s="138">
        <f t="shared" ca="1" si="40"/>
        <v>2688357.7242297824</v>
      </c>
      <c r="E152" s="73">
        <f t="shared" ca="1" si="41"/>
        <v>-0.10388075859007262</v>
      </c>
      <c r="F152" s="136">
        <f t="shared" ca="1" si="42"/>
        <v>-311642.27577021782</v>
      </c>
      <c r="G152" s="138">
        <f t="shared" ca="1" si="43"/>
        <v>2789749.3442034284</v>
      </c>
      <c r="H152" s="73">
        <f t="shared" ca="1" si="44"/>
        <v>-7.0083551932190472E-2</v>
      </c>
      <c r="I152" s="136">
        <f t="shared" ca="1" si="45"/>
        <v>-210250.6557965714</v>
      </c>
      <c r="J152" s="138">
        <f t="shared" ca="1" si="46"/>
        <v>2788008.0719469297</v>
      </c>
      <c r="K152" s="73">
        <f t="shared" ca="1" si="47"/>
        <v>-7.0663976017690006E-2</v>
      </c>
      <c r="L152" s="136">
        <f t="shared" ca="1" si="48"/>
        <v>-211991.92805306992</v>
      </c>
      <c r="M152" s="138">
        <f t="shared" ca="1" si="49"/>
        <v>3000000</v>
      </c>
      <c r="N152" s="73">
        <f t="shared" ca="1" si="50"/>
        <v>0</v>
      </c>
      <c r="O152" s="136">
        <f t="shared" ca="1" si="51"/>
        <v>0</v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 t="str">
        <f t="shared" ca="1" si="39"/>
        <v/>
      </c>
      <c r="D153" s="138" t="str">
        <f t="shared" ca="1" si="40"/>
        <v/>
      </c>
      <c r="E153" s="73" t="str">
        <f t="shared" ca="1" si="41"/>
        <v/>
      </c>
      <c r="F153" s="136" t="str">
        <f t="shared" ca="1" si="42"/>
        <v/>
      </c>
      <c r="G153" s="138" t="str">
        <f t="shared" ca="1" si="43"/>
        <v/>
      </c>
      <c r="H153" s="73" t="str">
        <f t="shared" ca="1" si="44"/>
        <v/>
      </c>
      <c r="I153" s="136" t="str">
        <f t="shared" ca="1" si="45"/>
        <v/>
      </c>
      <c r="J153" s="138" t="str">
        <f t="shared" ca="1" si="46"/>
        <v/>
      </c>
      <c r="K153" s="73" t="str">
        <f t="shared" ca="1" si="47"/>
        <v/>
      </c>
      <c r="L153" s="136" t="str">
        <f t="shared" ca="1" si="48"/>
        <v/>
      </c>
      <c r="M153" s="138" t="str">
        <f t="shared" ca="1" si="49"/>
        <v/>
      </c>
      <c r="N153" s="73" t="str">
        <f t="shared" ca="1" si="50"/>
        <v/>
      </c>
      <c r="O153" s="136" t="str">
        <f t="shared" ca="1" si="51"/>
        <v/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 t="str">
        <f t="shared" ca="1" si="39"/>
        <v/>
      </c>
      <c r="D154" s="138" t="str">
        <f t="shared" ca="1" si="40"/>
        <v/>
      </c>
      <c r="E154" s="73" t="str">
        <f t="shared" ca="1" si="41"/>
        <v/>
      </c>
      <c r="F154" s="136" t="str">
        <f t="shared" ca="1" si="42"/>
        <v/>
      </c>
      <c r="G154" s="138" t="str">
        <f t="shared" ca="1" si="43"/>
        <v/>
      </c>
      <c r="H154" s="73" t="str">
        <f t="shared" ca="1" si="44"/>
        <v/>
      </c>
      <c r="I154" s="136" t="str">
        <f t="shared" ca="1" si="45"/>
        <v/>
      </c>
      <c r="J154" s="138" t="str">
        <f t="shared" ca="1" si="46"/>
        <v/>
      </c>
      <c r="K154" s="73" t="str">
        <f t="shared" ca="1" si="47"/>
        <v/>
      </c>
      <c r="L154" s="136" t="str">
        <f t="shared" ca="1" si="48"/>
        <v/>
      </c>
      <c r="M154" s="138" t="str">
        <f t="shared" ca="1" si="49"/>
        <v/>
      </c>
      <c r="N154" s="73" t="str">
        <f t="shared" ca="1" si="50"/>
        <v/>
      </c>
      <c r="O154" s="136" t="str">
        <f t="shared" ca="1" si="51"/>
        <v/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 t="str">
        <f t="shared" ca="1" si="39"/>
        <v/>
      </c>
      <c r="D155" s="138" t="str">
        <f t="shared" ca="1" si="40"/>
        <v/>
      </c>
      <c r="E155" s="73" t="str">
        <f t="shared" ca="1" si="41"/>
        <v/>
      </c>
      <c r="F155" s="136" t="str">
        <f t="shared" ca="1" si="42"/>
        <v/>
      </c>
      <c r="G155" s="138" t="str">
        <f t="shared" ca="1" si="43"/>
        <v/>
      </c>
      <c r="H155" s="73" t="str">
        <f t="shared" ca="1" si="44"/>
        <v/>
      </c>
      <c r="I155" s="136" t="str">
        <f t="shared" ca="1" si="45"/>
        <v/>
      </c>
      <c r="J155" s="138" t="str">
        <f t="shared" ca="1" si="46"/>
        <v/>
      </c>
      <c r="K155" s="73" t="str">
        <f t="shared" ca="1" si="47"/>
        <v/>
      </c>
      <c r="L155" s="136" t="str">
        <f t="shared" ca="1" si="48"/>
        <v/>
      </c>
      <c r="M155" s="138" t="str">
        <f t="shared" ca="1" si="49"/>
        <v/>
      </c>
      <c r="N155" s="73" t="str">
        <f t="shared" ca="1" si="50"/>
        <v/>
      </c>
      <c r="O155" s="136" t="str">
        <f t="shared" ca="1" si="51"/>
        <v/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 t="str">
        <f t="shared" ca="1" si="39"/>
        <v/>
      </c>
      <c r="D156" s="138" t="str">
        <f t="shared" ca="1" si="40"/>
        <v/>
      </c>
      <c r="E156" s="73" t="str">
        <f t="shared" ca="1" si="41"/>
        <v/>
      </c>
      <c r="F156" s="136" t="str">
        <f t="shared" ca="1" si="42"/>
        <v/>
      </c>
      <c r="G156" s="138" t="str">
        <f t="shared" ca="1" si="43"/>
        <v/>
      </c>
      <c r="H156" s="73" t="str">
        <f t="shared" ca="1" si="44"/>
        <v/>
      </c>
      <c r="I156" s="136" t="str">
        <f t="shared" ca="1" si="45"/>
        <v/>
      </c>
      <c r="J156" s="138" t="str">
        <f t="shared" ca="1" si="46"/>
        <v/>
      </c>
      <c r="K156" s="73" t="str">
        <f t="shared" ca="1" si="47"/>
        <v/>
      </c>
      <c r="L156" s="136" t="str">
        <f t="shared" ca="1" si="48"/>
        <v/>
      </c>
      <c r="M156" s="138" t="str">
        <f t="shared" ca="1" si="49"/>
        <v/>
      </c>
      <c r="N156" s="73" t="str">
        <f t="shared" ca="1" si="50"/>
        <v/>
      </c>
      <c r="O156" s="136" t="str">
        <f t="shared" ca="1" si="51"/>
        <v/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 t="str">
        <f t="shared" ca="1" si="39"/>
        <v/>
      </c>
      <c r="D157" s="141" t="str">
        <f t="shared" ca="1" si="40"/>
        <v/>
      </c>
      <c r="E157" s="72" t="str">
        <f t="shared" ca="1" si="41"/>
        <v/>
      </c>
      <c r="F157" s="140" t="str">
        <f t="shared" ca="1" si="42"/>
        <v/>
      </c>
      <c r="G157" s="141" t="str">
        <f t="shared" ca="1" si="43"/>
        <v/>
      </c>
      <c r="H157" s="72" t="str">
        <f t="shared" ca="1" si="44"/>
        <v/>
      </c>
      <c r="I157" s="140" t="str">
        <f t="shared" ca="1" si="45"/>
        <v/>
      </c>
      <c r="J157" s="141" t="str">
        <f t="shared" ca="1" si="46"/>
        <v/>
      </c>
      <c r="K157" s="72" t="str">
        <f t="shared" ca="1" si="47"/>
        <v/>
      </c>
      <c r="L157" s="140" t="str">
        <f t="shared" ca="1" si="48"/>
        <v/>
      </c>
      <c r="M157" s="141" t="str">
        <f t="shared" ca="1" si="49"/>
        <v/>
      </c>
      <c r="N157" s="72" t="str">
        <f t="shared" ca="1" si="50"/>
        <v/>
      </c>
      <c r="O157" s="140" t="str">
        <f t="shared" ca="1" si="51"/>
        <v/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307" t="s">
        <v>319</v>
      </c>
      <c r="B167" s="309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300"/>
      <c r="B168" s="302"/>
      <c r="C168" s="135">
        <f ca="1">SUM(C136:C166)</f>
        <v>63000000</v>
      </c>
      <c r="D168" s="139">
        <f ca="1">SUM(D136:D166)</f>
        <v>62925527.351625569</v>
      </c>
      <c r="E168" s="75">
        <f ca="1">IFERROR(F168 / (SUM($C136:$C166) / COUNT($C136:$C166)), 0)</f>
        <v>-2.0095794005797422E-2</v>
      </c>
      <c r="F168" s="137">
        <f ca="1">SUM(F136:F166)</f>
        <v>-74472.648374425742</v>
      </c>
      <c r="G168" s="139">
        <f ca="1">SUM(G136:G166)</f>
        <v>63277865.733357146</v>
      </c>
      <c r="H168" s="75">
        <f ca="1">IFERROR(I168 / (SUM($C136:$C166) / COUNT($C136:$C166)), 0)</f>
        <v>7.4979642334470603E-2</v>
      </c>
      <c r="I168" s="137">
        <f ca="1">SUM(I136:I166)</f>
        <v>277865.73335715575</v>
      </c>
      <c r="J168" s="139">
        <f ca="1">SUM(J136:J166)</f>
        <v>63565819.340338342</v>
      </c>
      <c r="K168" s="75">
        <f ca="1">IFERROR(L168 / (SUM($C136:$C166) / COUNT($C136:$C166)), 0)</f>
        <v>0.15268140929765153</v>
      </c>
      <c r="L168" s="137">
        <f ca="1">SUM(L136:L166)</f>
        <v>565819.34033835563</v>
      </c>
      <c r="M168" s="139">
        <f ca="1">SUM(M136:M166)</f>
        <v>63350373.057756856</v>
      </c>
      <c r="N168" s="75">
        <f ca="1">IFERROR(O168 / (SUM($C136:$C166) / COUNT($C136:$C166)), 0)</f>
        <v>9.4545110823277767E-2</v>
      </c>
      <c r="O168" s="137">
        <f ca="1">SUM(O136:O166)</f>
        <v>350373.05775685288</v>
      </c>
    </row>
    <row r="170" spans="1:15" ht="16.5" customHeight="1" thickBot="1"/>
    <row r="171" spans="1:15" ht="16.5" customHeight="1" thickBot="1">
      <c r="A171" s="279" t="str">
        <f>TEXT(투자전략!$G$1, "[$-ko-KR]yyyy년 mm월 ") &amp; "[엽전코인] 전일대비 상승률 Bottom20 월말결산"</f>
        <v>2021년 05월 [엽전코인] 전일대비 상승률 Bottom20 월말결산</v>
      </c>
      <c r="B171" s="280"/>
      <c r="C171" s="280"/>
      <c r="D171" s="280"/>
      <c r="E171" s="280"/>
      <c r="F171" s="280"/>
      <c r="G171" s="280"/>
      <c r="H171" s="280"/>
      <c r="I171" s="280"/>
      <c r="J171" s="280"/>
      <c r="K171" s="280"/>
      <c r="L171" s="280"/>
      <c r="M171" s="280"/>
      <c r="N171" s="280"/>
      <c r="O171" s="281"/>
    </row>
    <row r="172" spans="1:15" ht="16.5" customHeight="1" thickBot="1">
      <c r="A172" s="332" t="s">
        <v>320</v>
      </c>
      <c r="B172" s="300" t="s">
        <v>318</v>
      </c>
      <c r="C172" s="302"/>
      <c r="D172" s="300" t="s">
        <v>310</v>
      </c>
      <c r="E172" s="301"/>
      <c r="F172" s="302"/>
      <c r="G172" s="300" t="s">
        <v>311</v>
      </c>
      <c r="H172" s="301"/>
      <c r="I172" s="302"/>
      <c r="J172" s="300" t="s">
        <v>312</v>
      </c>
      <c r="K172" s="301"/>
      <c r="L172" s="302"/>
      <c r="M172" s="300" t="s">
        <v>313</v>
      </c>
      <c r="N172" s="301"/>
      <c r="O172" s="302"/>
    </row>
    <row r="173" spans="1:15" ht="16.5" customHeight="1" thickBot="1">
      <c r="A173" s="322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2873410.413879788</v>
      </c>
      <c r="E188" s="73">
        <f t="shared" ca="1" si="54"/>
        <v>8.2141803086973747E-3</v>
      </c>
      <c r="F188" s="136">
        <f t="shared" ca="1" si="55"/>
        <v>23410.413879787513</v>
      </c>
      <c r="G188" s="138">
        <f t="shared" ca="1" si="56"/>
        <v>2769910.5242907144</v>
      </c>
      <c r="H188" s="73">
        <f t="shared" ca="1" si="57"/>
        <v>-2.8101570424310673E-2</v>
      </c>
      <c r="I188" s="136">
        <f t="shared" ca="1" si="58"/>
        <v>-80089.475709285427</v>
      </c>
      <c r="J188" s="138">
        <f t="shared" ca="1" si="59"/>
        <v>2793692.1359499353</v>
      </c>
      <c r="K188" s="73">
        <f t="shared" ca="1" si="60"/>
        <v>-1.9757145280724427E-2</v>
      </c>
      <c r="L188" s="136">
        <f t="shared" ca="1" si="61"/>
        <v>-56307.864050064592</v>
      </c>
      <c r="M188" s="138">
        <f t="shared" ca="1" si="62"/>
        <v>2798966.5248699076</v>
      </c>
      <c r="N188" s="73">
        <f t="shared" ca="1" si="63"/>
        <v>-1.7906482501786732E-2</v>
      </c>
      <c r="O188" s="136">
        <f t="shared" ca="1" si="64"/>
        <v>-51033.475130092178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>
        <f t="shared" ca="1" si="52"/>
        <v>2850000</v>
      </c>
      <c r="D189" s="138">
        <f t="shared" ca="1" si="53"/>
        <v>2819227.6695023151</v>
      </c>
      <c r="E189" s="73">
        <f t="shared" ca="1" si="54"/>
        <v>-1.0797308946556032E-2</v>
      </c>
      <c r="F189" s="136">
        <f t="shared" ca="1" si="55"/>
        <v>-30772.330497684692</v>
      </c>
      <c r="G189" s="138">
        <f t="shared" ca="1" si="56"/>
        <v>2873069.5539875827</v>
      </c>
      <c r="H189" s="73">
        <f t="shared" ca="1" si="57"/>
        <v>8.0945803465201412E-3</v>
      </c>
      <c r="I189" s="136">
        <f t="shared" ca="1" si="58"/>
        <v>23069.553987582396</v>
      </c>
      <c r="J189" s="138">
        <f t="shared" ca="1" si="59"/>
        <v>2803558.9500124971</v>
      </c>
      <c r="K189" s="73">
        <f t="shared" ca="1" si="60"/>
        <v>-1.6295105258772823E-2</v>
      </c>
      <c r="L189" s="136">
        <f t="shared" ca="1" si="61"/>
        <v>-46441.049987502556</v>
      </c>
      <c r="M189" s="138">
        <f t="shared" ca="1" si="62"/>
        <v>2817055.9641821496</v>
      </c>
      <c r="N189" s="73">
        <f t="shared" ca="1" si="63"/>
        <v>-1.1559310813280713E-2</v>
      </c>
      <c r="O189" s="136">
        <f t="shared" ca="1" si="64"/>
        <v>-32944.035817850032</v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>
        <f t="shared" ca="1" si="52"/>
        <v>3000000</v>
      </c>
      <c r="D190" s="138">
        <f t="shared" ca="1" si="53"/>
        <v>2619029.4555747961</v>
      </c>
      <c r="E190" s="73">
        <f t="shared" ca="1" si="54"/>
        <v>-0.12699018147506802</v>
      </c>
      <c r="F190" s="136">
        <f t="shared" ca="1" si="55"/>
        <v>-380970.54442520405</v>
      </c>
      <c r="G190" s="138">
        <f t="shared" ca="1" si="56"/>
        <v>2731418.067618825</v>
      </c>
      <c r="H190" s="73">
        <f t="shared" ca="1" si="57"/>
        <v>-8.952731079372496E-2</v>
      </c>
      <c r="I190" s="136">
        <f t="shared" ca="1" si="58"/>
        <v>-268581.93238117488</v>
      </c>
      <c r="J190" s="138">
        <f t="shared" ca="1" si="59"/>
        <v>2711301.4244202273</v>
      </c>
      <c r="K190" s="73">
        <f t="shared" ca="1" si="60"/>
        <v>-9.6232858526590914E-2</v>
      </c>
      <c r="L190" s="136">
        <f t="shared" ca="1" si="61"/>
        <v>-288698.57557977276</v>
      </c>
      <c r="M190" s="138">
        <f t="shared" ca="1" si="62"/>
        <v>3000000</v>
      </c>
      <c r="N190" s="73">
        <f t="shared" ca="1" si="63"/>
        <v>0</v>
      </c>
      <c r="O190" s="136">
        <f t="shared" ca="1" si="64"/>
        <v>0</v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 t="str">
        <f t="shared" ca="1" si="52"/>
        <v/>
      </c>
      <c r="D191" s="138" t="str">
        <f t="shared" ca="1" si="53"/>
        <v/>
      </c>
      <c r="E191" s="73" t="str">
        <f t="shared" ca="1" si="54"/>
        <v/>
      </c>
      <c r="F191" s="136" t="str">
        <f t="shared" ca="1" si="55"/>
        <v/>
      </c>
      <c r="G191" s="138" t="str">
        <f t="shared" ca="1" si="56"/>
        <v/>
      </c>
      <c r="H191" s="73" t="str">
        <f t="shared" ca="1" si="57"/>
        <v/>
      </c>
      <c r="I191" s="136" t="str">
        <f t="shared" ca="1" si="58"/>
        <v/>
      </c>
      <c r="J191" s="138" t="str">
        <f t="shared" ca="1" si="59"/>
        <v/>
      </c>
      <c r="K191" s="73" t="str">
        <f t="shared" ca="1" si="60"/>
        <v/>
      </c>
      <c r="L191" s="136" t="str">
        <f t="shared" ca="1" si="61"/>
        <v/>
      </c>
      <c r="M191" s="138" t="str">
        <f t="shared" ca="1" si="62"/>
        <v/>
      </c>
      <c r="N191" s="73" t="str">
        <f t="shared" ca="1" si="63"/>
        <v/>
      </c>
      <c r="O191" s="136" t="str">
        <f t="shared" ca="1" si="64"/>
        <v/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 t="str">
        <f t="shared" ca="1" si="52"/>
        <v/>
      </c>
      <c r="D192" s="138" t="str">
        <f t="shared" ca="1" si="53"/>
        <v/>
      </c>
      <c r="E192" s="73" t="str">
        <f t="shared" ca="1" si="54"/>
        <v/>
      </c>
      <c r="F192" s="136" t="str">
        <f t="shared" ca="1" si="55"/>
        <v/>
      </c>
      <c r="G192" s="138" t="str">
        <f t="shared" ca="1" si="56"/>
        <v/>
      </c>
      <c r="H192" s="73" t="str">
        <f t="shared" ca="1" si="57"/>
        <v/>
      </c>
      <c r="I192" s="136" t="str">
        <f t="shared" ca="1" si="58"/>
        <v/>
      </c>
      <c r="J192" s="138" t="str">
        <f t="shared" ca="1" si="59"/>
        <v/>
      </c>
      <c r="K192" s="73" t="str">
        <f t="shared" ca="1" si="60"/>
        <v/>
      </c>
      <c r="L192" s="136" t="str">
        <f t="shared" ca="1" si="61"/>
        <v/>
      </c>
      <c r="M192" s="138" t="str">
        <f t="shared" ca="1" si="62"/>
        <v/>
      </c>
      <c r="N192" s="73" t="str">
        <f t="shared" ca="1" si="63"/>
        <v/>
      </c>
      <c r="O192" s="136" t="str">
        <f t="shared" ca="1" si="64"/>
        <v/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 t="str">
        <f t="shared" ca="1" si="52"/>
        <v/>
      </c>
      <c r="D193" s="138" t="str">
        <f t="shared" ca="1" si="53"/>
        <v/>
      </c>
      <c r="E193" s="73" t="str">
        <f t="shared" ca="1" si="54"/>
        <v/>
      </c>
      <c r="F193" s="136" t="str">
        <f t="shared" ca="1" si="55"/>
        <v/>
      </c>
      <c r="G193" s="138" t="str">
        <f t="shared" ca="1" si="56"/>
        <v/>
      </c>
      <c r="H193" s="73" t="str">
        <f t="shared" ca="1" si="57"/>
        <v/>
      </c>
      <c r="I193" s="136" t="str">
        <f t="shared" ca="1" si="58"/>
        <v/>
      </c>
      <c r="J193" s="138" t="str">
        <f t="shared" ca="1" si="59"/>
        <v/>
      </c>
      <c r="K193" s="73" t="str">
        <f t="shared" ca="1" si="60"/>
        <v/>
      </c>
      <c r="L193" s="136" t="str">
        <f t="shared" ca="1" si="61"/>
        <v/>
      </c>
      <c r="M193" s="138" t="str">
        <f t="shared" ca="1" si="62"/>
        <v/>
      </c>
      <c r="N193" s="73" t="str">
        <f t="shared" ca="1" si="63"/>
        <v/>
      </c>
      <c r="O193" s="136" t="str">
        <f t="shared" ca="1" si="64"/>
        <v/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 t="str">
        <f t="shared" ca="1" si="52"/>
        <v/>
      </c>
      <c r="D194" s="138" t="str">
        <f t="shared" ca="1" si="53"/>
        <v/>
      </c>
      <c r="E194" s="73" t="str">
        <f t="shared" ca="1" si="54"/>
        <v/>
      </c>
      <c r="F194" s="136" t="str">
        <f t="shared" ca="1" si="55"/>
        <v/>
      </c>
      <c r="G194" s="138" t="str">
        <f t="shared" ca="1" si="56"/>
        <v/>
      </c>
      <c r="H194" s="73" t="str">
        <f t="shared" ca="1" si="57"/>
        <v/>
      </c>
      <c r="I194" s="136" t="str">
        <f t="shared" ca="1" si="58"/>
        <v/>
      </c>
      <c r="J194" s="138" t="str">
        <f t="shared" ca="1" si="59"/>
        <v/>
      </c>
      <c r="K194" s="73" t="str">
        <f t="shared" ca="1" si="60"/>
        <v/>
      </c>
      <c r="L194" s="136" t="str">
        <f t="shared" ca="1" si="61"/>
        <v/>
      </c>
      <c r="M194" s="138" t="str">
        <f t="shared" ca="1" si="62"/>
        <v/>
      </c>
      <c r="N194" s="73" t="str">
        <f t="shared" ca="1" si="63"/>
        <v/>
      </c>
      <c r="O194" s="136" t="str">
        <f t="shared" ca="1" si="64"/>
        <v/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 t="str">
        <f t="shared" ca="1" si="52"/>
        <v/>
      </c>
      <c r="D195" s="141" t="str">
        <f t="shared" ca="1" si="53"/>
        <v/>
      </c>
      <c r="E195" s="72" t="str">
        <f t="shared" ca="1" si="54"/>
        <v/>
      </c>
      <c r="F195" s="140" t="str">
        <f t="shared" ca="1" si="55"/>
        <v/>
      </c>
      <c r="G195" s="141" t="str">
        <f t="shared" ca="1" si="56"/>
        <v/>
      </c>
      <c r="H195" s="72" t="str">
        <f t="shared" ca="1" si="57"/>
        <v/>
      </c>
      <c r="I195" s="140" t="str">
        <f t="shared" ca="1" si="58"/>
        <v/>
      </c>
      <c r="J195" s="141" t="str">
        <f t="shared" ca="1" si="59"/>
        <v/>
      </c>
      <c r="K195" s="72" t="str">
        <f t="shared" ca="1" si="60"/>
        <v/>
      </c>
      <c r="L195" s="140" t="str">
        <f t="shared" ca="1" si="61"/>
        <v/>
      </c>
      <c r="M195" s="141" t="str">
        <f t="shared" ca="1" si="62"/>
        <v/>
      </c>
      <c r="N195" s="72" t="str">
        <f t="shared" ca="1" si="63"/>
        <v/>
      </c>
      <c r="O195" s="140" t="str">
        <f t="shared" ca="1" si="64"/>
        <v/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307" t="s">
        <v>319</v>
      </c>
      <c r="B205" s="309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300"/>
      <c r="B206" s="302"/>
      <c r="C206" s="135">
        <f ca="1">SUM(C174:C204)</f>
        <v>58800000</v>
      </c>
      <c r="D206" s="139">
        <f ca="1">SUM(D174:D204)</f>
        <v>57765315.559356712</v>
      </c>
      <c r="E206" s="75">
        <f ca="1">IFERROR(F206 / (SUM($C174:$C204) / COUNT($C174:$C204)), 0)</f>
        <v>-0.2991434607302032</v>
      </c>
      <c r="F206" s="137">
        <f ca="1">SUM(F174:F204)</f>
        <v>-1034684.4406432911</v>
      </c>
      <c r="G206" s="139">
        <f ca="1">SUM(G174:G204)</f>
        <v>58063856.732377887</v>
      </c>
      <c r="H206" s="75">
        <f ca="1">IFERROR(I206 / (SUM($C174:$C204) / COUNT($C174:$C204)), 0)</f>
        <v>-0.21283053655740938</v>
      </c>
      <c r="I206" s="137">
        <f ca="1">SUM(I174:I204)</f>
        <v>-736143.26762209833</v>
      </c>
      <c r="J206" s="139">
        <f ca="1">SUM(J174:J204)</f>
        <v>58240010.152270913</v>
      </c>
      <c r="K206" s="75">
        <f ca="1">IFERROR(L206 / (SUM($C174:$C204) / COUNT($C174:$C204)), 0)</f>
        <v>-0.16190182672439876</v>
      </c>
      <c r="L206" s="137">
        <f ca="1">SUM(L174:L204)</f>
        <v>-559989.84772909689</v>
      </c>
      <c r="M206" s="139">
        <f ca="1">SUM(M174:M204)</f>
        <v>58291715.270248815</v>
      </c>
      <c r="N206" s="75">
        <f ca="1">IFERROR(O206 / (SUM($C174:$C204) / COUNT($C174:$C204)), 0)</f>
        <v>-0.14695306812534087</v>
      </c>
      <c r="O206" s="137">
        <f ca="1">SUM(O174:O204)</f>
        <v>-508284.72975117905</v>
      </c>
    </row>
    <row r="208" spans="1:15" ht="16.5" customHeight="1" thickBot="1"/>
    <row r="209" spans="1:15" ht="16.5" customHeight="1" thickBot="1">
      <c r="A209" s="279" t="str">
        <f>TEXT(투자전략!$G$1, "[$-ko-KR]yyyy년 mm월 ") &amp; "[동전코인] 전일대비 상승률 Bottom20 월말결산"</f>
        <v>2021년 05월 [동전코인] 전일대비 상승률 Bottom20 월말결산</v>
      </c>
      <c r="B209" s="280"/>
      <c r="C209" s="280"/>
      <c r="D209" s="280"/>
      <c r="E209" s="280"/>
      <c r="F209" s="280"/>
      <c r="G209" s="280"/>
      <c r="H209" s="280"/>
      <c r="I209" s="280"/>
      <c r="J209" s="280"/>
      <c r="K209" s="280"/>
      <c r="L209" s="280"/>
      <c r="M209" s="280"/>
      <c r="N209" s="280"/>
      <c r="O209" s="281"/>
    </row>
    <row r="210" spans="1:15" ht="16.5" customHeight="1" thickBot="1">
      <c r="A210" s="332" t="s">
        <v>320</v>
      </c>
      <c r="B210" s="300" t="s">
        <v>318</v>
      </c>
      <c r="C210" s="302"/>
      <c r="D210" s="300" t="s">
        <v>310</v>
      </c>
      <c r="E210" s="301"/>
      <c r="F210" s="302"/>
      <c r="G210" s="300" t="s">
        <v>311</v>
      </c>
      <c r="H210" s="301"/>
      <c r="I210" s="302"/>
      <c r="J210" s="300" t="s">
        <v>312</v>
      </c>
      <c r="K210" s="301"/>
      <c r="L210" s="302"/>
      <c r="M210" s="300" t="s">
        <v>313</v>
      </c>
      <c r="N210" s="301"/>
      <c r="O210" s="302"/>
    </row>
    <row r="211" spans="1:15" ht="16.5" customHeight="1" thickBot="1">
      <c r="A211" s="322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3062887.3033819366</v>
      </c>
      <c r="E226" s="73">
        <f t="shared" ca="1" si="67"/>
        <v>2.0962434460645669E-2</v>
      </c>
      <c r="F226" s="136">
        <f t="shared" ca="1" si="68"/>
        <v>62887.303381936996</v>
      </c>
      <c r="G226" s="138">
        <f t="shared" ca="1" si="69"/>
        <v>2961950.818179904</v>
      </c>
      <c r="H226" s="73">
        <f t="shared" ca="1" si="70"/>
        <v>-1.2683060606698663E-2</v>
      </c>
      <c r="I226" s="136">
        <f t="shared" ca="1" si="71"/>
        <v>-38049.181820095997</v>
      </c>
      <c r="J226" s="138">
        <f t="shared" ca="1" si="72"/>
        <v>2990466.0421092059</v>
      </c>
      <c r="K226" s="73">
        <f t="shared" ca="1" si="73"/>
        <v>-3.1779859635979331E-3</v>
      </c>
      <c r="L226" s="136">
        <f t="shared" ca="1" si="74"/>
        <v>-9533.9578907937976</v>
      </c>
      <c r="M226" s="138">
        <f t="shared" ca="1" si="75"/>
        <v>2997014.4790611668</v>
      </c>
      <c r="N226" s="73">
        <f t="shared" ca="1" si="76"/>
        <v>-9.9517364627774553E-4</v>
      </c>
      <c r="O226" s="136">
        <f t="shared" ca="1" si="77"/>
        <v>-2985.5209388332323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>
        <f t="shared" ca="1" si="65"/>
        <v>3000000</v>
      </c>
      <c r="D227" s="138">
        <f t="shared" ca="1" si="66"/>
        <v>2965426.1654650467</v>
      </c>
      <c r="E227" s="73">
        <f t="shared" ca="1" si="67"/>
        <v>-1.1524611511651106E-2</v>
      </c>
      <c r="F227" s="136">
        <f t="shared" ca="1" si="68"/>
        <v>-34573.834534953319</v>
      </c>
      <c r="G227" s="138">
        <f t="shared" ca="1" si="69"/>
        <v>3052860.4820580841</v>
      </c>
      <c r="H227" s="73">
        <f t="shared" ca="1" si="70"/>
        <v>1.762016068602806E-2</v>
      </c>
      <c r="I227" s="136">
        <f t="shared" ca="1" si="71"/>
        <v>52860.482058084192</v>
      </c>
      <c r="J227" s="138">
        <f t="shared" ca="1" si="72"/>
        <v>2973499.0352689042</v>
      </c>
      <c r="K227" s="73">
        <f t="shared" ca="1" si="73"/>
        <v>-8.8336549103653055E-3</v>
      </c>
      <c r="L227" s="136">
        <f t="shared" ca="1" si="74"/>
        <v>-26500.964731095923</v>
      </c>
      <c r="M227" s="138">
        <f t="shared" ca="1" si="75"/>
        <v>2995422.3650790872</v>
      </c>
      <c r="N227" s="73">
        <f t="shared" ca="1" si="76"/>
        <v>-1.5258783069709556E-3</v>
      </c>
      <c r="O227" s="136">
        <f t="shared" ca="1" si="77"/>
        <v>-4577.6349209128693</v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>
        <f t="shared" ca="1" si="65"/>
        <v>3000000</v>
      </c>
      <c r="D228" s="138">
        <f t="shared" ca="1" si="66"/>
        <v>2630531.3501965711</v>
      </c>
      <c r="E228" s="73">
        <f t="shared" ca="1" si="67"/>
        <v>-0.12315621660114293</v>
      </c>
      <c r="F228" s="136">
        <f t="shared" ca="1" si="68"/>
        <v>-369468.64980342868</v>
      </c>
      <c r="G228" s="138">
        <f t="shared" ca="1" si="69"/>
        <v>2743218.4969119569</v>
      </c>
      <c r="H228" s="73">
        <f t="shared" ca="1" si="70"/>
        <v>-8.559383436268099E-2</v>
      </c>
      <c r="I228" s="136">
        <f t="shared" ca="1" si="71"/>
        <v>-256781.50308804293</v>
      </c>
      <c r="J228" s="138">
        <f t="shared" ca="1" si="72"/>
        <v>2719170.3701127702</v>
      </c>
      <c r="K228" s="73">
        <f t="shared" ca="1" si="73"/>
        <v>-9.3609876629076647E-2</v>
      </c>
      <c r="L228" s="136">
        <f t="shared" ca="1" si="74"/>
        <v>-280829.62988722988</v>
      </c>
      <c r="M228" s="138">
        <f t="shared" ca="1" si="75"/>
        <v>3000000</v>
      </c>
      <c r="N228" s="73">
        <f t="shared" ca="1" si="76"/>
        <v>0</v>
      </c>
      <c r="O228" s="136">
        <f t="shared" ca="1" si="77"/>
        <v>0</v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 t="str">
        <f t="shared" ca="1" si="65"/>
        <v/>
      </c>
      <c r="D229" s="138" t="str">
        <f t="shared" ca="1" si="66"/>
        <v/>
      </c>
      <c r="E229" s="73" t="str">
        <f t="shared" ca="1" si="67"/>
        <v/>
      </c>
      <c r="F229" s="136" t="str">
        <f t="shared" ca="1" si="68"/>
        <v/>
      </c>
      <c r="G229" s="138" t="str">
        <f t="shared" ca="1" si="69"/>
        <v/>
      </c>
      <c r="H229" s="73" t="str">
        <f t="shared" ca="1" si="70"/>
        <v/>
      </c>
      <c r="I229" s="136" t="str">
        <f t="shared" ca="1" si="71"/>
        <v/>
      </c>
      <c r="J229" s="138" t="str">
        <f t="shared" ca="1" si="72"/>
        <v/>
      </c>
      <c r="K229" s="73" t="str">
        <f t="shared" ca="1" si="73"/>
        <v/>
      </c>
      <c r="L229" s="136" t="str">
        <f t="shared" ca="1" si="74"/>
        <v/>
      </c>
      <c r="M229" s="138" t="str">
        <f t="shared" ca="1" si="75"/>
        <v/>
      </c>
      <c r="N229" s="73" t="str">
        <f t="shared" ca="1" si="76"/>
        <v/>
      </c>
      <c r="O229" s="136" t="str">
        <f t="shared" ca="1" si="77"/>
        <v/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 t="str">
        <f t="shared" ca="1" si="65"/>
        <v/>
      </c>
      <c r="D230" s="138" t="str">
        <f t="shared" ca="1" si="66"/>
        <v/>
      </c>
      <c r="E230" s="73" t="str">
        <f t="shared" ca="1" si="67"/>
        <v/>
      </c>
      <c r="F230" s="136" t="str">
        <f t="shared" ca="1" si="68"/>
        <v/>
      </c>
      <c r="G230" s="138" t="str">
        <f t="shared" ca="1" si="69"/>
        <v/>
      </c>
      <c r="H230" s="73" t="str">
        <f t="shared" ca="1" si="70"/>
        <v/>
      </c>
      <c r="I230" s="136" t="str">
        <f t="shared" ca="1" si="71"/>
        <v/>
      </c>
      <c r="J230" s="138" t="str">
        <f t="shared" ca="1" si="72"/>
        <v/>
      </c>
      <c r="K230" s="73" t="str">
        <f t="shared" ca="1" si="73"/>
        <v/>
      </c>
      <c r="L230" s="136" t="str">
        <f t="shared" ca="1" si="74"/>
        <v/>
      </c>
      <c r="M230" s="138" t="str">
        <f t="shared" ca="1" si="75"/>
        <v/>
      </c>
      <c r="N230" s="73" t="str">
        <f t="shared" ca="1" si="76"/>
        <v/>
      </c>
      <c r="O230" s="136" t="str">
        <f t="shared" ca="1" si="77"/>
        <v/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 t="str">
        <f t="shared" ca="1" si="65"/>
        <v/>
      </c>
      <c r="D231" s="138" t="str">
        <f t="shared" ca="1" si="66"/>
        <v/>
      </c>
      <c r="E231" s="73" t="str">
        <f t="shared" ca="1" si="67"/>
        <v/>
      </c>
      <c r="F231" s="136" t="str">
        <f t="shared" ca="1" si="68"/>
        <v/>
      </c>
      <c r="G231" s="138" t="str">
        <f t="shared" ca="1" si="69"/>
        <v/>
      </c>
      <c r="H231" s="73" t="str">
        <f t="shared" ca="1" si="70"/>
        <v/>
      </c>
      <c r="I231" s="136" t="str">
        <f t="shared" ca="1" si="71"/>
        <v/>
      </c>
      <c r="J231" s="138" t="str">
        <f t="shared" ca="1" si="72"/>
        <v/>
      </c>
      <c r="K231" s="73" t="str">
        <f t="shared" ca="1" si="73"/>
        <v/>
      </c>
      <c r="L231" s="136" t="str">
        <f t="shared" ca="1" si="74"/>
        <v/>
      </c>
      <c r="M231" s="138" t="str">
        <f t="shared" ca="1" si="75"/>
        <v/>
      </c>
      <c r="N231" s="73" t="str">
        <f t="shared" ca="1" si="76"/>
        <v/>
      </c>
      <c r="O231" s="136" t="str">
        <f t="shared" ca="1" si="77"/>
        <v/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 t="str">
        <f t="shared" ca="1" si="65"/>
        <v/>
      </c>
      <c r="D232" s="138" t="str">
        <f t="shared" ca="1" si="66"/>
        <v/>
      </c>
      <c r="E232" s="73" t="str">
        <f t="shared" ca="1" si="67"/>
        <v/>
      </c>
      <c r="F232" s="136" t="str">
        <f t="shared" ca="1" si="68"/>
        <v/>
      </c>
      <c r="G232" s="138" t="str">
        <f t="shared" ca="1" si="69"/>
        <v/>
      </c>
      <c r="H232" s="73" t="str">
        <f t="shared" ca="1" si="70"/>
        <v/>
      </c>
      <c r="I232" s="136" t="str">
        <f t="shared" ca="1" si="71"/>
        <v/>
      </c>
      <c r="J232" s="138" t="str">
        <f t="shared" ca="1" si="72"/>
        <v/>
      </c>
      <c r="K232" s="73" t="str">
        <f t="shared" ca="1" si="73"/>
        <v/>
      </c>
      <c r="L232" s="136" t="str">
        <f t="shared" ca="1" si="74"/>
        <v/>
      </c>
      <c r="M232" s="138" t="str">
        <f t="shared" ca="1" si="75"/>
        <v/>
      </c>
      <c r="N232" s="73" t="str">
        <f t="shared" ca="1" si="76"/>
        <v/>
      </c>
      <c r="O232" s="136" t="str">
        <f t="shared" ca="1" si="77"/>
        <v/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 t="str">
        <f t="shared" ca="1" si="65"/>
        <v/>
      </c>
      <c r="D233" s="141" t="str">
        <f t="shared" ca="1" si="66"/>
        <v/>
      </c>
      <c r="E233" s="72" t="str">
        <f t="shared" ca="1" si="67"/>
        <v/>
      </c>
      <c r="F233" s="140" t="str">
        <f t="shared" ca="1" si="68"/>
        <v/>
      </c>
      <c r="G233" s="141" t="str">
        <f t="shared" ca="1" si="69"/>
        <v/>
      </c>
      <c r="H233" s="72" t="str">
        <f t="shared" ca="1" si="70"/>
        <v/>
      </c>
      <c r="I233" s="140" t="str">
        <f t="shared" ca="1" si="71"/>
        <v/>
      </c>
      <c r="J233" s="141" t="str">
        <f t="shared" ca="1" si="72"/>
        <v/>
      </c>
      <c r="K233" s="72" t="str">
        <f t="shared" ca="1" si="73"/>
        <v/>
      </c>
      <c r="L233" s="140" t="str">
        <f t="shared" ca="1" si="74"/>
        <v/>
      </c>
      <c r="M233" s="141" t="str">
        <f t="shared" ca="1" si="75"/>
        <v/>
      </c>
      <c r="N233" s="72" t="str">
        <f t="shared" ca="1" si="76"/>
        <v/>
      </c>
      <c r="O233" s="140" t="str">
        <f t="shared" ca="1" si="77"/>
        <v/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307" t="s">
        <v>319</v>
      </c>
      <c r="B243" s="309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300"/>
      <c r="B244" s="302"/>
      <c r="C244" s="135">
        <f ca="1">SUM(C212:C242)</f>
        <v>63000000</v>
      </c>
      <c r="D244" s="139">
        <f ca="1">SUM(D212:D242)</f>
        <v>62108247.764469542</v>
      </c>
      <c r="E244" s="75">
        <f ca="1">IFERROR(F244 / (SUM($C212:$C242) / COUNT($C212:$C242)), 0)</f>
        <v>-0.24063155561933083</v>
      </c>
      <c r="F244" s="137">
        <f ca="1">SUM(F212:F242)</f>
        <v>-891752.2355304613</v>
      </c>
      <c r="G244" s="139">
        <f ca="1">SUM(G212:G242)</f>
        <v>62442716.472763397</v>
      </c>
      <c r="H244" s="75">
        <f ca="1">IFERROR(I244 / (SUM($C212:$C242) / COUNT($C212:$C242)), 0)</f>
        <v>-0.15037809465114774</v>
      </c>
      <c r="I244" s="137">
        <f ca="1">SUM(I212:I242)</f>
        <v>-557283.52723660634</v>
      </c>
      <c r="J244" s="139">
        <f ca="1">SUM(J212:J242)</f>
        <v>62514820.149615191</v>
      </c>
      <c r="K244" s="75">
        <f ca="1">IFERROR(L244 / (SUM($C212:$C242) / COUNT($C212:$C242)), 0)</f>
        <v>-0.13092154692923527</v>
      </c>
      <c r="L244" s="137">
        <f ca="1">SUM(L212:L242)</f>
        <v>-485179.85038481309</v>
      </c>
      <c r="M244" s="139">
        <f ca="1">SUM(M212:M242)</f>
        <v>62607274.687494829</v>
      </c>
      <c r="N244" s="75">
        <f ca="1">IFERROR(O244 / (SUM($C212:$C242) / COUNT($C212:$C242)), 0)</f>
        <v>-0.10597349702520262</v>
      </c>
      <c r="O244" s="137">
        <f ca="1">SUM(O212:O242)</f>
        <v>-392725.31250516261</v>
      </c>
    </row>
    <row r="246" spans="1:15" ht="16.5" customHeight="1" thickBot="1"/>
    <row r="247" spans="1:15" ht="16.5" customHeight="1" thickBot="1">
      <c r="A247" s="279" t="str">
        <f>TEXT(투자전략!$G$1, "[$-ko-KR]yyyy년 mm월 ") &amp; "전일대비 상승률 Bottom20 월말결산"</f>
        <v>2021년 05월 전일대비 상승률 Bottom20 월말결산</v>
      </c>
      <c r="B247" s="280"/>
      <c r="C247" s="280"/>
      <c r="D247" s="280"/>
      <c r="E247" s="280"/>
      <c r="F247" s="280"/>
      <c r="G247" s="280"/>
      <c r="H247" s="280"/>
      <c r="I247" s="280"/>
      <c r="J247" s="280"/>
      <c r="K247" s="280"/>
      <c r="L247" s="280"/>
      <c r="M247" s="280"/>
      <c r="N247" s="280"/>
      <c r="O247" s="281"/>
    </row>
    <row r="248" spans="1:15" ht="16.5" customHeight="1" thickBot="1">
      <c r="A248" s="332" t="s">
        <v>320</v>
      </c>
      <c r="B248" s="300" t="s">
        <v>318</v>
      </c>
      <c r="C248" s="302"/>
      <c r="D248" s="300" t="s">
        <v>310</v>
      </c>
      <c r="E248" s="301"/>
      <c r="F248" s="302"/>
      <c r="G248" s="300" t="s">
        <v>311</v>
      </c>
      <c r="H248" s="301"/>
      <c r="I248" s="302"/>
      <c r="J248" s="300" t="s">
        <v>312</v>
      </c>
      <c r="K248" s="301"/>
      <c r="L248" s="302"/>
      <c r="M248" s="300" t="s">
        <v>313</v>
      </c>
      <c r="N248" s="301"/>
      <c r="O248" s="302"/>
    </row>
    <row r="249" spans="1:15" ht="16.5" customHeight="1" thickBot="1">
      <c r="A249" s="322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3039477.0551923937</v>
      </c>
      <c r="E264" s="73">
        <f t="shared" ca="1" si="80"/>
        <v>1.3159018397464643E-2</v>
      </c>
      <c r="F264" s="136">
        <f t="shared" ca="1" si="81"/>
        <v>39477.055192393935</v>
      </c>
      <c r="G264" s="138">
        <f t="shared" ca="1" si="82"/>
        <v>2945528.7212198377</v>
      </c>
      <c r="H264" s="73">
        <f t="shared" ca="1" si="83"/>
        <v>-1.8157092926720794E-2</v>
      </c>
      <c r="I264" s="136">
        <f t="shared" ca="1" si="84"/>
        <v>-54471.278780162378</v>
      </c>
      <c r="J264" s="138">
        <f t="shared" ca="1" si="85"/>
        <v>2971391.5968833421</v>
      </c>
      <c r="K264" s="73">
        <f t="shared" ca="1" si="86"/>
        <v>-9.5361343722192102E-3</v>
      </c>
      <c r="L264" s="136">
        <f t="shared" ca="1" si="87"/>
        <v>-28608.403116657624</v>
      </c>
      <c r="M264" s="138">
        <f t="shared" ca="1" si="88"/>
        <v>2990142.3256359906</v>
      </c>
      <c r="N264" s="73">
        <f t="shared" ca="1" si="89"/>
        <v>-3.2858914546697844E-3</v>
      </c>
      <c r="O264" s="136">
        <f t="shared" ca="1" si="90"/>
        <v>-9857.67436400935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>
        <f t="shared" ca="1" si="78"/>
        <v>3000000</v>
      </c>
      <c r="D265" s="138">
        <f t="shared" ca="1" si="79"/>
        <v>2942461.4699887633</v>
      </c>
      <c r="E265" s="73">
        <f t="shared" ca="1" si="80"/>
        <v>-1.9179510003745594E-2</v>
      </c>
      <c r="F265" s="136">
        <f t="shared" ca="1" si="81"/>
        <v>-57538.530011236799</v>
      </c>
      <c r="G265" s="138">
        <f t="shared" ca="1" si="82"/>
        <v>3028031.9213768621</v>
      </c>
      <c r="H265" s="73">
        <f t="shared" ca="1" si="83"/>
        <v>9.3439737922874112E-3</v>
      </c>
      <c r="I265" s="136">
        <f t="shared" ca="1" si="84"/>
        <v>28031.921376862232</v>
      </c>
      <c r="J265" s="138">
        <f t="shared" ca="1" si="85"/>
        <v>2937250.5280911545</v>
      </c>
      <c r="K265" s="73">
        <f t="shared" ca="1" si="86"/>
        <v>-2.0916490636281843E-2</v>
      </c>
      <c r="L265" s="136">
        <f t="shared" ca="1" si="87"/>
        <v>-62749.471908845539</v>
      </c>
      <c r="M265" s="138">
        <f t="shared" ca="1" si="88"/>
        <v>2955053.097323657</v>
      </c>
      <c r="N265" s="73">
        <f t="shared" ca="1" si="89"/>
        <v>-1.4982300892114265E-2</v>
      </c>
      <c r="O265" s="136">
        <f t="shared" ca="1" si="90"/>
        <v>-44946.902676342797</v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>
        <f t="shared" ca="1" si="78"/>
        <v>3000000</v>
      </c>
      <c r="D266" s="138">
        <f t="shared" ca="1" si="79"/>
        <v>2633078.3551154216</v>
      </c>
      <c r="E266" s="73">
        <f t="shared" ca="1" si="80"/>
        <v>-0.12230721496152616</v>
      </c>
      <c r="F266" s="136">
        <f t="shared" ca="1" si="81"/>
        <v>-366921.64488457853</v>
      </c>
      <c r="G266" s="138">
        <f t="shared" ca="1" si="82"/>
        <v>2746923.0180844022</v>
      </c>
      <c r="H266" s="73">
        <f t="shared" ca="1" si="83"/>
        <v>-8.4358993971865887E-2</v>
      </c>
      <c r="I266" s="136">
        <f t="shared" ca="1" si="84"/>
        <v>-253076.98191559777</v>
      </c>
      <c r="J266" s="138">
        <f t="shared" ca="1" si="85"/>
        <v>2723835.0297497739</v>
      </c>
      <c r="K266" s="73">
        <f t="shared" ca="1" si="86"/>
        <v>-9.205499008340863E-2</v>
      </c>
      <c r="L266" s="136">
        <f t="shared" ca="1" si="87"/>
        <v>-276164.97025022586</v>
      </c>
      <c r="M266" s="138">
        <f t="shared" ca="1" si="88"/>
        <v>3000000</v>
      </c>
      <c r="N266" s="73">
        <f t="shared" ca="1" si="89"/>
        <v>0</v>
      </c>
      <c r="O266" s="136">
        <f t="shared" ca="1" si="90"/>
        <v>0</v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 t="str">
        <f t="shared" ca="1" si="78"/>
        <v/>
      </c>
      <c r="D267" s="138" t="str">
        <f t="shared" ca="1" si="79"/>
        <v/>
      </c>
      <c r="E267" s="73" t="str">
        <f t="shared" ca="1" si="80"/>
        <v/>
      </c>
      <c r="F267" s="136" t="str">
        <f t="shared" ca="1" si="81"/>
        <v/>
      </c>
      <c r="G267" s="138" t="str">
        <f t="shared" ca="1" si="82"/>
        <v/>
      </c>
      <c r="H267" s="73" t="str">
        <f t="shared" ca="1" si="83"/>
        <v/>
      </c>
      <c r="I267" s="136" t="str">
        <f t="shared" ca="1" si="84"/>
        <v/>
      </c>
      <c r="J267" s="138" t="str">
        <f t="shared" ca="1" si="85"/>
        <v/>
      </c>
      <c r="K267" s="73" t="str">
        <f t="shared" ca="1" si="86"/>
        <v/>
      </c>
      <c r="L267" s="136" t="str">
        <f t="shared" ca="1" si="87"/>
        <v/>
      </c>
      <c r="M267" s="138" t="str">
        <f t="shared" ca="1" si="88"/>
        <v/>
      </c>
      <c r="N267" s="73" t="str">
        <f t="shared" ca="1" si="89"/>
        <v/>
      </c>
      <c r="O267" s="136" t="str">
        <f t="shared" ca="1" si="90"/>
        <v/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 t="str">
        <f t="shared" ca="1" si="78"/>
        <v/>
      </c>
      <c r="D268" s="138" t="str">
        <f t="shared" ca="1" si="79"/>
        <v/>
      </c>
      <c r="E268" s="73" t="str">
        <f t="shared" ca="1" si="80"/>
        <v/>
      </c>
      <c r="F268" s="136" t="str">
        <f t="shared" ca="1" si="81"/>
        <v/>
      </c>
      <c r="G268" s="138" t="str">
        <f t="shared" ca="1" si="82"/>
        <v/>
      </c>
      <c r="H268" s="73" t="str">
        <f t="shared" ca="1" si="83"/>
        <v/>
      </c>
      <c r="I268" s="136" t="str">
        <f t="shared" ca="1" si="84"/>
        <v/>
      </c>
      <c r="J268" s="138" t="str">
        <f t="shared" ca="1" si="85"/>
        <v/>
      </c>
      <c r="K268" s="73" t="str">
        <f t="shared" ca="1" si="86"/>
        <v/>
      </c>
      <c r="L268" s="136" t="str">
        <f t="shared" ca="1" si="87"/>
        <v/>
      </c>
      <c r="M268" s="138" t="str">
        <f t="shared" ca="1" si="88"/>
        <v/>
      </c>
      <c r="N268" s="73" t="str">
        <f t="shared" ca="1" si="89"/>
        <v/>
      </c>
      <c r="O268" s="136" t="str">
        <f t="shared" ca="1" si="90"/>
        <v/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 t="str">
        <f t="shared" ca="1" si="78"/>
        <v/>
      </c>
      <c r="D269" s="138" t="str">
        <f t="shared" ca="1" si="79"/>
        <v/>
      </c>
      <c r="E269" s="73" t="str">
        <f t="shared" ca="1" si="80"/>
        <v/>
      </c>
      <c r="F269" s="136" t="str">
        <f t="shared" ca="1" si="81"/>
        <v/>
      </c>
      <c r="G269" s="138" t="str">
        <f t="shared" ca="1" si="82"/>
        <v/>
      </c>
      <c r="H269" s="73" t="str">
        <f t="shared" ca="1" si="83"/>
        <v/>
      </c>
      <c r="I269" s="136" t="str">
        <f t="shared" ca="1" si="84"/>
        <v/>
      </c>
      <c r="J269" s="138" t="str">
        <f t="shared" ca="1" si="85"/>
        <v/>
      </c>
      <c r="K269" s="73" t="str">
        <f t="shared" ca="1" si="86"/>
        <v/>
      </c>
      <c r="L269" s="136" t="str">
        <f t="shared" ca="1" si="87"/>
        <v/>
      </c>
      <c r="M269" s="138" t="str">
        <f t="shared" ca="1" si="88"/>
        <v/>
      </c>
      <c r="N269" s="73" t="str">
        <f t="shared" ca="1" si="89"/>
        <v/>
      </c>
      <c r="O269" s="136" t="str">
        <f t="shared" ca="1" si="90"/>
        <v/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 t="str">
        <f t="shared" ca="1" si="78"/>
        <v/>
      </c>
      <c r="D270" s="138" t="str">
        <f t="shared" ca="1" si="79"/>
        <v/>
      </c>
      <c r="E270" s="73" t="str">
        <f t="shared" ca="1" si="80"/>
        <v/>
      </c>
      <c r="F270" s="136" t="str">
        <f t="shared" ca="1" si="81"/>
        <v/>
      </c>
      <c r="G270" s="138" t="str">
        <f t="shared" ca="1" si="82"/>
        <v/>
      </c>
      <c r="H270" s="73" t="str">
        <f t="shared" ca="1" si="83"/>
        <v/>
      </c>
      <c r="I270" s="136" t="str">
        <f t="shared" ca="1" si="84"/>
        <v/>
      </c>
      <c r="J270" s="138" t="str">
        <f t="shared" ca="1" si="85"/>
        <v/>
      </c>
      <c r="K270" s="73" t="str">
        <f t="shared" ca="1" si="86"/>
        <v/>
      </c>
      <c r="L270" s="136" t="str">
        <f t="shared" ca="1" si="87"/>
        <v/>
      </c>
      <c r="M270" s="138" t="str">
        <f t="shared" ca="1" si="88"/>
        <v/>
      </c>
      <c r="N270" s="73" t="str">
        <f t="shared" ca="1" si="89"/>
        <v/>
      </c>
      <c r="O270" s="136" t="str">
        <f t="shared" ca="1" si="90"/>
        <v/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 t="str">
        <f t="shared" ca="1" si="78"/>
        <v/>
      </c>
      <c r="D271" s="141" t="str">
        <f t="shared" ca="1" si="79"/>
        <v/>
      </c>
      <c r="E271" s="72" t="str">
        <f t="shared" ca="1" si="80"/>
        <v/>
      </c>
      <c r="F271" s="140" t="str">
        <f t="shared" ca="1" si="81"/>
        <v/>
      </c>
      <c r="G271" s="141" t="str">
        <f t="shared" ca="1" si="82"/>
        <v/>
      </c>
      <c r="H271" s="72" t="str">
        <f t="shared" ca="1" si="83"/>
        <v/>
      </c>
      <c r="I271" s="140" t="str">
        <f t="shared" ca="1" si="84"/>
        <v/>
      </c>
      <c r="J271" s="141" t="str">
        <f t="shared" ca="1" si="85"/>
        <v/>
      </c>
      <c r="K271" s="72" t="str">
        <f t="shared" ca="1" si="86"/>
        <v/>
      </c>
      <c r="L271" s="140" t="str">
        <f t="shared" ca="1" si="87"/>
        <v/>
      </c>
      <c r="M271" s="141" t="str">
        <f t="shared" ca="1" si="88"/>
        <v/>
      </c>
      <c r="N271" s="72" t="str">
        <f t="shared" ca="1" si="89"/>
        <v/>
      </c>
      <c r="O271" s="140" t="str">
        <f t="shared" ca="1" si="90"/>
        <v/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307" t="s">
        <v>319</v>
      </c>
      <c r="B281" s="309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300"/>
      <c r="B282" s="302"/>
      <c r="C282" s="135">
        <f ca="1">SUM(C250:C280)</f>
        <v>63000000</v>
      </c>
      <c r="D282" s="139">
        <f ca="1">SUM(D250:D280)</f>
        <v>61728977.415588744</v>
      </c>
      <c r="E282" s="75">
        <f ca="1">IFERROR(F282 / (SUM($C250:$C280) / COUNT($C250:$C280)), 0)</f>
        <v>-0.34297434817446504</v>
      </c>
      <c r="F282" s="137">
        <f ca="1">SUM(F250:F280)</f>
        <v>-1271022.5844112528</v>
      </c>
      <c r="G282" s="139">
        <f ca="1">SUM(G250:G280)</f>
        <v>62015189.424581461</v>
      </c>
      <c r="H282" s="75">
        <f ca="1">IFERROR(I282 / (SUM($C250:$C280) / COUNT($C250:$C280)), 0)</f>
        <v>-0.26574253622404859</v>
      </c>
      <c r="I282" s="137">
        <f ca="1">SUM(I250:I280)</f>
        <v>-984810.57541853294</v>
      </c>
      <c r="J282" s="139">
        <f ca="1">SUM(J250:J280)</f>
        <v>62051405.100219667</v>
      </c>
      <c r="K282" s="75">
        <f ca="1">IFERROR(L282 / (SUM($C250:$C280) / COUNT($C250:$C280)), 0)</f>
        <v>-0.25597005232167525</v>
      </c>
      <c r="L282" s="137">
        <f ca="1">SUM(L250:L280)</f>
        <v>-948594.89978032594</v>
      </c>
      <c r="M282" s="139">
        <f ca="1">SUM(M250:M280)</f>
        <v>62137417.889196426</v>
      </c>
      <c r="N282" s="75">
        <f ca="1">IFERROR(O282 / (SUM($C250:$C280) / COUNT($C250:$C280)), 0)</f>
        <v>-0.23276025212159637</v>
      </c>
      <c r="O282" s="137">
        <f ca="1">SUM(O250:O280)</f>
        <v>-862582.11080356303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277" priority="323">
      <formula>$E$54 &gt; 0</formula>
    </cfRule>
    <cfRule type="expression" dxfId="3276" priority="324">
      <formula>$E$54 = 0</formula>
    </cfRule>
    <cfRule type="expression" dxfId="3275" priority="325">
      <formula>$E$54 &lt; 0</formula>
    </cfRule>
  </conditionalFormatting>
  <conditionalFormatting sqref="G20:I21 H54:I54">
    <cfRule type="expression" dxfId="3274" priority="320">
      <formula>$H$54 &gt; 0</formula>
    </cfRule>
    <cfRule type="expression" dxfId="3273" priority="321">
      <formula>$H$54 = 0</formula>
    </cfRule>
    <cfRule type="expression" dxfId="3272" priority="322">
      <formula>$H$54 &lt; 0</formula>
    </cfRule>
  </conditionalFormatting>
  <conditionalFormatting sqref="J20:L21 K54:L54">
    <cfRule type="expression" dxfId="3271" priority="317">
      <formula>$K$54 &gt; 0</formula>
    </cfRule>
    <cfRule type="expression" dxfId="3270" priority="318">
      <formula>$K$54 = 0</formula>
    </cfRule>
    <cfRule type="expression" dxfId="3269" priority="319">
      <formula>$K$54 &lt; 0</formula>
    </cfRule>
  </conditionalFormatting>
  <conditionalFormatting sqref="M20:O21 N54:O54">
    <cfRule type="expression" dxfId="3268" priority="314">
      <formula>$N$54 &gt; 0</formula>
    </cfRule>
    <cfRule type="expression" dxfId="3267" priority="315">
      <formula>$N$54 = 0</formula>
    </cfRule>
    <cfRule type="expression" dxfId="3266" priority="316">
      <formula>$N$54 &lt; 0</formula>
    </cfRule>
  </conditionalFormatting>
  <conditionalFormatting sqref="D22:F52">
    <cfRule type="expression" dxfId="3265" priority="299">
      <formula>AND($E22 &gt; 0, ISNUMBER($E22))</formula>
    </cfRule>
    <cfRule type="expression" dxfId="3264" priority="300">
      <formula>AND($E22 = 0, ISNUMBER($E22))</formula>
    </cfRule>
    <cfRule type="expression" dxfId="3263" priority="301">
      <formula>AND($E22 &lt; 0, ISNUMBER($E22))</formula>
    </cfRule>
  </conditionalFormatting>
  <conditionalFormatting sqref="G22:I52">
    <cfRule type="expression" dxfId="3262" priority="296">
      <formula>AND($H22 &gt; 0, ISNUMBER($H22))</formula>
    </cfRule>
    <cfRule type="expression" dxfId="3261" priority="297">
      <formula>AND($H22 = 0, ISNUMBER($H22))</formula>
    </cfRule>
    <cfRule type="expression" dxfId="3260" priority="298">
      <formula>AND($H22 &lt; 0, ISNUMBER($H22))</formula>
    </cfRule>
  </conditionalFormatting>
  <conditionalFormatting sqref="J22:L52">
    <cfRule type="expression" dxfId="3259" priority="293">
      <formula>AND($K22 &gt; 0, ISNUMBER($K22))</formula>
    </cfRule>
    <cfRule type="expression" dxfId="3258" priority="294">
      <formula>AND($K22 = 0, ISNUMBER($K22))</formula>
    </cfRule>
    <cfRule type="expression" dxfId="3257" priority="295">
      <formula>AND($K22 &lt; 0, ISNUMBER($K22))</formula>
    </cfRule>
  </conditionalFormatting>
  <conditionalFormatting sqref="M22:O52">
    <cfRule type="expression" dxfId="3256" priority="290">
      <formula>AND($N22 &gt; 0, ISNUMBER($N22))</formula>
    </cfRule>
    <cfRule type="expression" dxfId="3255" priority="291">
      <formula>AND($N22 = 0, ISNUMBER($N22))</formula>
    </cfRule>
    <cfRule type="expression" dxfId="3254" priority="292">
      <formula>AND($N22 &lt; 0, ISNUMBER($N22))</formula>
    </cfRule>
  </conditionalFormatting>
  <conditionalFormatting sqref="D58:F59 E92:F92">
    <cfRule type="expression" dxfId="3253" priority="287">
      <formula>$E$92 &gt; 0</formula>
    </cfRule>
    <cfRule type="expression" dxfId="3252" priority="288">
      <formula>$E$92 = 0</formula>
    </cfRule>
    <cfRule type="expression" dxfId="3251" priority="289">
      <formula>$E$92 &lt; 0</formula>
    </cfRule>
  </conditionalFormatting>
  <conditionalFormatting sqref="G58:I59 H92:I92">
    <cfRule type="expression" dxfId="3250" priority="284">
      <formula>$H$92 &gt; 0</formula>
    </cfRule>
    <cfRule type="expression" dxfId="3249" priority="285">
      <formula>$H$92 = 0</formula>
    </cfRule>
    <cfRule type="expression" dxfId="3248" priority="286">
      <formula>$H$92 &lt; 0</formula>
    </cfRule>
  </conditionalFormatting>
  <conditionalFormatting sqref="J58:L59 K92:L92">
    <cfRule type="expression" dxfId="3247" priority="281">
      <formula>$K$92 &gt; 0</formula>
    </cfRule>
    <cfRule type="expression" dxfId="3246" priority="282">
      <formula>$K$92 = 0</formula>
    </cfRule>
    <cfRule type="expression" dxfId="3245" priority="283">
      <formula>$K$92 &lt; 0</formula>
    </cfRule>
  </conditionalFormatting>
  <conditionalFormatting sqref="M58:O59 N92:O92">
    <cfRule type="expression" dxfId="3244" priority="278">
      <formula>$N$92 &gt; 0</formula>
    </cfRule>
    <cfRule type="expression" dxfId="3243" priority="279">
      <formula>$N$92 = 0</formula>
    </cfRule>
    <cfRule type="expression" dxfId="3242" priority="280">
      <formula>$N$92 &lt; 0</formula>
    </cfRule>
  </conditionalFormatting>
  <conditionalFormatting sqref="D60:F90">
    <cfRule type="expression" dxfId="3241" priority="275">
      <formula>AND($E60 &gt; 0, ISNUMBER($E60))</formula>
    </cfRule>
    <cfRule type="expression" dxfId="3240" priority="276">
      <formula>AND($E60 = 0, ISNUMBER($E60))</formula>
    </cfRule>
    <cfRule type="expression" dxfId="3239" priority="277">
      <formula>AND($E60 &lt; 0, ISNUMBER($E60))</formula>
    </cfRule>
  </conditionalFormatting>
  <conditionalFormatting sqref="G60:I90">
    <cfRule type="expression" dxfId="3238" priority="272">
      <formula>AND($H60 &gt; 0, ISNUMBER($H60))</formula>
    </cfRule>
    <cfRule type="expression" dxfId="3237" priority="273">
      <formula>AND($H60 = 0, ISNUMBER($H60))</formula>
    </cfRule>
    <cfRule type="expression" dxfId="3236" priority="274">
      <formula>AND($H60 &lt; 0, ISNUMBER($H60))</formula>
    </cfRule>
  </conditionalFormatting>
  <conditionalFormatting sqref="J60:L90">
    <cfRule type="expression" dxfId="3235" priority="269">
      <formula>AND($K60 &gt; 0, ISNUMBER($K60))</formula>
    </cfRule>
    <cfRule type="expression" dxfId="3234" priority="270">
      <formula>AND($K60 = 0, ISNUMBER($K60))</formula>
    </cfRule>
    <cfRule type="expression" dxfId="3233" priority="271">
      <formula>AND($K60 &lt; 0, ISNUMBER($K60))</formula>
    </cfRule>
  </conditionalFormatting>
  <conditionalFormatting sqref="M60:O90">
    <cfRule type="expression" dxfId="3232" priority="266">
      <formula>AND($N60 &gt; 0, ISNUMBER($N60))</formula>
    </cfRule>
    <cfRule type="expression" dxfId="3231" priority="267">
      <formula>AND($N60 = 0, ISNUMBER($N60))</formula>
    </cfRule>
    <cfRule type="expression" dxfId="3230" priority="268">
      <formula>AND($N60 &lt; 0, ISNUMBER($N60))</formula>
    </cfRule>
  </conditionalFormatting>
  <conditionalFormatting sqref="D96:F97 E130:F130">
    <cfRule type="expression" dxfId="3229" priority="263">
      <formula>$E$130 &gt; 0</formula>
    </cfRule>
    <cfRule type="expression" dxfId="3228" priority="264">
      <formula>$E$130 = 0</formula>
    </cfRule>
    <cfRule type="expression" dxfId="3227" priority="265">
      <formula>$E$130 &lt; 0</formula>
    </cfRule>
  </conditionalFormatting>
  <conditionalFormatting sqref="G96:I97 H130:I130">
    <cfRule type="expression" dxfId="3226" priority="260">
      <formula>$H$130 &gt; 0</formula>
    </cfRule>
    <cfRule type="expression" dxfId="3225" priority="261">
      <formula>$H$130 = 0</formula>
    </cfRule>
    <cfRule type="expression" dxfId="3224" priority="262">
      <formula>$H$130 &lt; 0</formula>
    </cfRule>
  </conditionalFormatting>
  <conditionalFormatting sqref="J96:L97 K130:L130">
    <cfRule type="expression" dxfId="3223" priority="257">
      <formula>$K$130 &gt; 0</formula>
    </cfRule>
    <cfRule type="expression" dxfId="3222" priority="258">
      <formula>$K$130 = 0</formula>
    </cfRule>
    <cfRule type="expression" dxfId="3221" priority="259">
      <formula>$K$130 &lt; 0</formula>
    </cfRule>
  </conditionalFormatting>
  <conditionalFormatting sqref="M96:O97 N130:O130">
    <cfRule type="expression" dxfId="3220" priority="254">
      <formula>$N$130 &gt; 0</formula>
    </cfRule>
    <cfRule type="expression" dxfId="3219" priority="255">
      <formula>$N$130 = 0</formula>
    </cfRule>
    <cfRule type="expression" dxfId="3218" priority="256">
      <formula>$N$130 &lt; 0</formula>
    </cfRule>
  </conditionalFormatting>
  <conditionalFormatting sqref="D98:F128">
    <cfRule type="expression" dxfId="3217" priority="251">
      <formula>AND($E98 &gt; 0, ISNUMBER($E98))</formula>
    </cfRule>
    <cfRule type="expression" dxfId="3216" priority="252">
      <formula>AND($E98 = 0, ISNUMBER($E98))</formula>
    </cfRule>
    <cfRule type="expression" dxfId="3215" priority="253">
      <formula>AND($E98 &lt; 0, ISNUMBER($E98))</formula>
    </cfRule>
  </conditionalFormatting>
  <conditionalFormatting sqref="G98:I128">
    <cfRule type="expression" dxfId="3214" priority="248">
      <formula>AND($H98 &gt; 0, ISNUMBER($H98))</formula>
    </cfRule>
    <cfRule type="expression" dxfId="3213" priority="249">
      <formula>AND($H98 = 0, ISNUMBER($H98))</formula>
    </cfRule>
    <cfRule type="expression" dxfId="3212" priority="250">
      <formula>AND($H98 &lt; 0, ISNUMBER($H98))</formula>
    </cfRule>
  </conditionalFormatting>
  <conditionalFormatting sqref="J98:L128">
    <cfRule type="expression" dxfId="3211" priority="245">
      <formula>AND($K98 &gt; 0, ISNUMBER($K98))</formula>
    </cfRule>
    <cfRule type="expression" dxfId="3210" priority="246">
      <formula>AND($K98 = 0, ISNUMBER($K98))</formula>
    </cfRule>
    <cfRule type="expression" dxfId="3209" priority="247">
      <formula>AND($K98 &lt; 0, ISNUMBER($K98))</formula>
    </cfRule>
  </conditionalFormatting>
  <conditionalFormatting sqref="M98:O128">
    <cfRule type="expression" dxfId="3208" priority="242">
      <formula>AND($N98 &gt; 0, ISNUMBER($N98))</formula>
    </cfRule>
    <cfRule type="expression" dxfId="3207" priority="243">
      <formula>AND($N98 = 0, ISNUMBER($N98))</formula>
    </cfRule>
    <cfRule type="expression" dxfId="3206" priority="244">
      <formula>AND($N98 &lt; 0, ISNUMBER($N98))</formula>
    </cfRule>
  </conditionalFormatting>
  <conditionalFormatting sqref="D134:F135 E168:F168">
    <cfRule type="expression" dxfId="3205" priority="239">
      <formula>$E$168 &gt; 0</formula>
    </cfRule>
    <cfRule type="expression" dxfId="3204" priority="240">
      <formula>$E$168 = 0</formula>
    </cfRule>
    <cfRule type="expression" dxfId="3203" priority="241">
      <formula>$E$168 &lt; 0</formula>
    </cfRule>
  </conditionalFormatting>
  <conditionalFormatting sqref="G134:I135 H168:I168">
    <cfRule type="expression" dxfId="3202" priority="236">
      <formula>$H$168 &gt; 0</formula>
    </cfRule>
    <cfRule type="expression" dxfId="3201" priority="237">
      <formula>$H$168 = 0</formula>
    </cfRule>
    <cfRule type="expression" dxfId="3200" priority="238">
      <formula>$H$168 &lt; 0</formula>
    </cfRule>
  </conditionalFormatting>
  <conditionalFormatting sqref="J134:L135 K168:L168">
    <cfRule type="expression" dxfId="3199" priority="233">
      <formula>$K$168 &gt; 0</formula>
    </cfRule>
    <cfRule type="expression" dxfId="3198" priority="234">
      <formula>$K$168 = 0</formula>
    </cfRule>
    <cfRule type="expression" dxfId="3197" priority="235">
      <formula>$K$168 &lt; 0</formula>
    </cfRule>
  </conditionalFormatting>
  <conditionalFormatting sqref="M134:O135 N168:O168">
    <cfRule type="expression" dxfId="3196" priority="230">
      <formula>$N$168 &gt; 0</formula>
    </cfRule>
    <cfRule type="expression" dxfId="3195" priority="231">
      <formula>$N$168 = 0</formula>
    </cfRule>
    <cfRule type="expression" dxfId="3194" priority="232">
      <formula>$N$168 &lt; 0</formula>
    </cfRule>
  </conditionalFormatting>
  <conditionalFormatting sqref="D136:F166">
    <cfRule type="expression" dxfId="3193" priority="227">
      <formula>AND($E136 &gt; 0, ISNUMBER($E136))</formula>
    </cfRule>
    <cfRule type="expression" dxfId="3192" priority="228">
      <formula>AND($E136 = 0, ISNUMBER($E136))</formula>
    </cfRule>
    <cfRule type="expression" dxfId="3191" priority="229">
      <formula>AND($E136 &lt; 0, ISNUMBER($E136))</formula>
    </cfRule>
  </conditionalFormatting>
  <conditionalFormatting sqref="G136:I166">
    <cfRule type="expression" dxfId="3190" priority="224">
      <formula>AND($H136 &gt; 0, ISNUMBER($H136))</formula>
    </cfRule>
    <cfRule type="expression" dxfId="3189" priority="225">
      <formula>AND($H136 = 0, ISNUMBER($H136))</formula>
    </cfRule>
    <cfRule type="expression" dxfId="3188" priority="226">
      <formula>AND($H136 &lt; 0, ISNUMBER($H136))</formula>
    </cfRule>
  </conditionalFormatting>
  <conditionalFormatting sqref="J136:L166">
    <cfRule type="expression" dxfId="3187" priority="221">
      <formula>AND($K136 &gt; 0, ISNUMBER($K136))</formula>
    </cfRule>
    <cfRule type="expression" dxfId="3186" priority="222">
      <formula>AND($K136 = 0, ISNUMBER($K136))</formula>
    </cfRule>
    <cfRule type="expression" dxfId="3185" priority="223">
      <formula>AND($K136 &lt; 0, ISNUMBER($K136))</formula>
    </cfRule>
  </conditionalFormatting>
  <conditionalFormatting sqref="M136:O166">
    <cfRule type="expression" dxfId="3184" priority="218">
      <formula>AND($N136 &gt; 0, ISNUMBER($N136))</formula>
    </cfRule>
    <cfRule type="expression" dxfId="3183" priority="219">
      <formula>AND($N136 = 0, ISNUMBER($N136))</formula>
    </cfRule>
    <cfRule type="expression" dxfId="3182" priority="220">
      <formula>AND($N136 &lt; 0, ISNUMBER($N136))</formula>
    </cfRule>
  </conditionalFormatting>
  <conditionalFormatting sqref="D172:F173 E206:F206">
    <cfRule type="expression" dxfId="3181" priority="215">
      <formula>$E$206 &gt; 0</formula>
    </cfRule>
    <cfRule type="expression" dxfId="3180" priority="216">
      <formula>$E$206 = 0</formula>
    </cfRule>
    <cfRule type="expression" dxfId="3179" priority="217">
      <formula>$E$206 &lt; 0</formula>
    </cfRule>
  </conditionalFormatting>
  <conditionalFormatting sqref="G172:I173 H206:I206">
    <cfRule type="expression" dxfId="3178" priority="212">
      <formula>$H$206 &gt; 0</formula>
    </cfRule>
    <cfRule type="expression" dxfId="3177" priority="213">
      <formula>$H$206 = 0</formula>
    </cfRule>
    <cfRule type="expression" dxfId="3176" priority="214">
      <formula>$H$206 &lt; 0</formula>
    </cfRule>
  </conditionalFormatting>
  <conditionalFormatting sqref="J172:L173 K206:L206">
    <cfRule type="expression" dxfId="3175" priority="209">
      <formula>$K$206 &gt; 0</formula>
    </cfRule>
    <cfRule type="expression" dxfId="3174" priority="210">
      <formula>$K$206 = 0</formula>
    </cfRule>
    <cfRule type="expression" dxfId="3173" priority="211">
      <formula>$K$206 &lt; 0</formula>
    </cfRule>
  </conditionalFormatting>
  <conditionalFormatting sqref="M172:O173 N206:O206">
    <cfRule type="expression" dxfId="3172" priority="206">
      <formula>$N$206 &gt; 0</formula>
    </cfRule>
    <cfRule type="expression" dxfId="3171" priority="207">
      <formula>$N$206 = 0</formula>
    </cfRule>
    <cfRule type="expression" dxfId="3170" priority="208">
      <formula>$N$206 &lt; 0</formula>
    </cfRule>
  </conditionalFormatting>
  <conditionalFormatting sqref="D174:F204">
    <cfRule type="expression" dxfId="3169" priority="203">
      <formula>AND($E174 &gt; 0, ISNUMBER($E174))</formula>
    </cfRule>
    <cfRule type="expression" dxfId="3168" priority="204">
      <formula>AND($E174 = 0, ISNUMBER($E174))</formula>
    </cfRule>
    <cfRule type="expression" dxfId="3167" priority="205">
      <formula>AND($E174 &lt; 0, ISNUMBER($E174))</formula>
    </cfRule>
  </conditionalFormatting>
  <conditionalFormatting sqref="G174:I204">
    <cfRule type="expression" dxfId="3166" priority="200">
      <formula>AND($H174 &gt; 0, ISNUMBER($H174))</formula>
    </cfRule>
    <cfRule type="expression" dxfId="3165" priority="201">
      <formula>AND($H174 = 0, ISNUMBER($H174))</formula>
    </cfRule>
    <cfRule type="expression" dxfId="3164" priority="202">
      <formula>AND($H174 &lt; 0, ISNUMBER($H174))</formula>
    </cfRule>
  </conditionalFormatting>
  <conditionalFormatting sqref="J174:L204">
    <cfRule type="expression" dxfId="3163" priority="197">
      <formula>AND($K174 &gt; 0, ISNUMBER($K174))</formula>
    </cfRule>
    <cfRule type="expression" dxfId="3162" priority="198">
      <formula>AND($K174 = 0, ISNUMBER($K174))</formula>
    </cfRule>
    <cfRule type="expression" dxfId="3161" priority="199">
      <formula>AND($K174 &lt; 0, ISNUMBER($K174))</formula>
    </cfRule>
  </conditionalFormatting>
  <conditionalFormatting sqref="M174:O204">
    <cfRule type="expression" dxfId="3160" priority="194">
      <formula>AND($N174 &gt; 0, ISNUMBER($N174))</formula>
    </cfRule>
    <cfRule type="expression" dxfId="3159" priority="195">
      <formula>AND($N174 = 0, ISNUMBER($N174))</formula>
    </cfRule>
    <cfRule type="expression" dxfId="3158" priority="196">
      <formula>AND($N174 &lt; 0, ISNUMBER($N174))</formula>
    </cfRule>
  </conditionalFormatting>
  <conditionalFormatting sqref="D210:F211 E244:F244">
    <cfRule type="expression" dxfId="3157" priority="191">
      <formula>$E$244 &gt; 0</formula>
    </cfRule>
    <cfRule type="expression" dxfId="3156" priority="192">
      <formula>$E$244 = 0</formula>
    </cfRule>
    <cfRule type="expression" dxfId="3155" priority="193">
      <formula>$E$244 &lt; 0</formula>
    </cfRule>
  </conditionalFormatting>
  <conditionalFormatting sqref="G210:I211 H244:I244">
    <cfRule type="expression" dxfId="3154" priority="188">
      <formula>$H$244 &gt; 0</formula>
    </cfRule>
    <cfRule type="expression" dxfId="3153" priority="189">
      <formula>$H$244 = 0</formula>
    </cfRule>
    <cfRule type="expression" dxfId="3152" priority="190">
      <formula>$H$244 &lt; 0</formula>
    </cfRule>
  </conditionalFormatting>
  <conditionalFormatting sqref="J210:L211 K244:L244">
    <cfRule type="expression" dxfId="3151" priority="185">
      <formula>$K$244 &gt; 0</formula>
    </cfRule>
    <cfRule type="expression" dxfId="3150" priority="186">
      <formula>$K$244 = 0</formula>
    </cfRule>
    <cfRule type="expression" dxfId="3149" priority="187">
      <formula>$K$244 &lt; 0</formula>
    </cfRule>
  </conditionalFormatting>
  <conditionalFormatting sqref="M210:O211 N244:O244">
    <cfRule type="expression" dxfId="3148" priority="182">
      <formula>$N$244 &gt; 0</formula>
    </cfRule>
    <cfRule type="expression" dxfId="3147" priority="183">
      <formula>$N$244 = 0</formula>
    </cfRule>
    <cfRule type="expression" dxfId="3146" priority="184">
      <formula>$N$244 &lt; 0</formula>
    </cfRule>
  </conditionalFormatting>
  <conditionalFormatting sqref="D212:F242">
    <cfRule type="expression" dxfId="3145" priority="179">
      <formula>AND($E212 &gt; 0, ISNUMBER($E212))</formula>
    </cfRule>
    <cfRule type="expression" dxfId="3144" priority="180">
      <formula>AND($E212 = 0, ISNUMBER($E212))</formula>
    </cfRule>
    <cfRule type="expression" dxfId="3143" priority="181">
      <formula>AND($E212 &lt; 0, ISNUMBER($E212))</formula>
    </cfRule>
  </conditionalFormatting>
  <conditionalFormatting sqref="G212:I242">
    <cfRule type="expression" dxfId="3142" priority="176">
      <formula>AND($H212 &gt; 0, ISNUMBER($H212))</formula>
    </cfRule>
    <cfRule type="expression" dxfId="3141" priority="177">
      <formula>AND($H212 = 0, ISNUMBER($H212))</formula>
    </cfRule>
    <cfRule type="expression" dxfId="3140" priority="178">
      <formula>AND($H212 &lt; 0, ISNUMBER($H212))</formula>
    </cfRule>
  </conditionalFormatting>
  <conditionalFormatting sqref="J212:L242">
    <cfRule type="expression" dxfId="3139" priority="173">
      <formula>AND($K212 &gt; 0, ISNUMBER($K212))</formula>
    </cfRule>
    <cfRule type="expression" dxfId="3138" priority="174">
      <formula>AND($K212 = 0, ISNUMBER($K212))</formula>
    </cfRule>
    <cfRule type="expression" dxfId="3137" priority="175">
      <formula>AND($K212 &lt; 0, ISNUMBER($K212))</formula>
    </cfRule>
  </conditionalFormatting>
  <conditionalFormatting sqref="M212:O242">
    <cfRule type="expression" dxfId="3136" priority="170">
      <formula>AND($N212 &gt; 0, ISNUMBER($N212))</formula>
    </cfRule>
    <cfRule type="expression" dxfId="3135" priority="171">
      <formula>AND($N212 = 0, ISNUMBER($N212))</formula>
    </cfRule>
    <cfRule type="expression" dxfId="3134" priority="172">
      <formula>AND($N212 &lt; 0, ISNUMBER($N212))</formula>
    </cfRule>
  </conditionalFormatting>
  <conditionalFormatting sqref="D248:F249 E282:F282">
    <cfRule type="expression" dxfId="3133" priority="167">
      <formula>$E$282 &gt; 0</formula>
    </cfRule>
    <cfRule type="expression" dxfId="3132" priority="168">
      <formula>$E$282 = 0</formula>
    </cfRule>
    <cfRule type="expression" dxfId="3131" priority="169">
      <formula>$E$282 &lt; 0</formula>
    </cfRule>
  </conditionalFormatting>
  <conditionalFormatting sqref="G248:I249 H282:I282">
    <cfRule type="expression" dxfId="3130" priority="164">
      <formula>$H$282 &gt; 0</formula>
    </cfRule>
    <cfRule type="expression" dxfId="3129" priority="165">
      <formula>$H$282 = 0</formula>
    </cfRule>
    <cfRule type="expression" dxfId="3128" priority="166">
      <formula>$H$282 &lt; 0</formula>
    </cfRule>
  </conditionalFormatting>
  <conditionalFormatting sqref="J248:L249 K282:L282">
    <cfRule type="expression" dxfId="3127" priority="161">
      <formula>$K$282 &gt; 0</formula>
    </cfRule>
    <cfRule type="expression" dxfId="3126" priority="162">
      <formula>$K$282 = 0</formula>
    </cfRule>
    <cfRule type="expression" dxfId="3125" priority="163">
      <formula>$K$282 &lt; 0</formula>
    </cfRule>
  </conditionalFormatting>
  <conditionalFormatting sqref="M248:O249 N282:O282">
    <cfRule type="expression" dxfId="3124" priority="158">
      <formula>$N$282 &gt; 0</formula>
    </cfRule>
    <cfRule type="expression" dxfId="3123" priority="159">
      <formula>$N$282 = 0</formula>
    </cfRule>
    <cfRule type="expression" dxfId="3122" priority="160">
      <formula>$N$282 &lt; 0</formula>
    </cfRule>
  </conditionalFormatting>
  <conditionalFormatting sqref="D250:F280">
    <cfRule type="expression" dxfId="3121" priority="155">
      <formula>AND($E250 &gt; 0, ISNUMBER($E250))</formula>
    </cfRule>
    <cfRule type="expression" dxfId="3120" priority="156">
      <formula>AND($E250 = 0, ISNUMBER($E250))</formula>
    </cfRule>
    <cfRule type="expression" dxfId="3119" priority="157">
      <formula>AND($E250 &lt; 0, ISNUMBER($E250))</formula>
    </cfRule>
  </conditionalFormatting>
  <conditionalFormatting sqref="G250:I280">
    <cfRule type="expression" dxfId="3118" priority="152">
      <formula>AND($H250 &gt; 0, ISNUMBER($H250))</formula>
    </cfRule>
    <cfRule type="expression" dxfId="3117" priority="153">
      <formula>AND($H250 = 0, ISNUMBER($H250))</formula>
    </cfRule>
    <cfRule type="expression" dxfId="3116" priority="154">
      <formula>AND($H250 &lt; 0, ISNUMBER($H250))</formula>
    </cfRule>
  </conditionalFormatting>
  <conditionalFormatting sqref="J250:L280">
    <cfRule type="expression" dxfId="3115" priority="149">
      <formula>AND($K250 &gt; 0, ISNUMBER($K250))</formula>
    </cfRule>
    <cfRule type="expression" dxfId="3114" priority="150">
      <formula>AND($K250 = 0, ISNUMBER($K250))</formula>
    </cfRule>
    <cfRule type="expression" dxfId="3113" priority="151">
      <formula>AND($K250 &lt; 0, ISNUMBER($K250))</formula>
    </cfRule>
  </conditionalFormatting>
  <conditionalFormatting sqref="M250:O280">
    <cfRule type="expression" dxfId="3112" priority="146">
      <formula>AND($N250 &gt; 0, ISNUMBER($N250))</formula>
    </cfRule>
    <cfRule type="expression" dxfId="3111" priority="147">
      <formula>AND($N250 = 0, ISNUMBER($N250))</formula>
    </cfRule>
    <cfRule type="expression" dxfId="3110" priority="148">
      <formula>AND($N250 &lt; 0, ISNUMBER($N250))</formula>
    </cfRule>
  </conditionalFormatting>
  <conditionalFormatting sqref="D5:F6">
    <cfRule type="expression" dxfId="3109" priority="143">
      <formula>$F$130 &gt; 0</formula>
    </cfRule>
    <cfRule type="expression" dxfId="3108" priority="144">
      <formula>$F$130 = 0</formula>
    </cfRule>
    <cfRule type="expression" dxfId="3107" priority="145">
      <formula>$F$130 &lt; 0</formula>
    </cfRule>
  </conditionalFormatting>
  <conditionalFormatting sqref="D7:F8">
    <cfRule type="expression" dxfId="3106" priority="140">
      <formula>$F$206 &gt; 0</formula>
    </cfRule>
    <cfRule type="expression" dxfId="3105" priority="141">
      <formula>$F$206 = 0</formula>
    </cfRule>
    <cfRule type="expression" dxfId="3104" priority="142">
      <formula>$F$206 &lt; 0</formula>
    </cfRule>
  </conditionalFormatting>
  <conditionalFormatting sqref="D9:F10">
    <cfRule type="expression" dxfId="3103" priority="137">
      <formula>$F$244 &gt; 0</formula>
    </cfRule>
    <cfRule type="expression" dxfId="3102" priority="138">
      <formula>$F$244 = 0</formula>
    </cfRule>
    <cfRule type="expression" dxfId="3101" priority="139">
      <formula>$F$244 &lt; 0</formula>
    </cfRule>
  </conditionalFormatting>
  <conditionalFormatting sqref="D11:F12">
    <cfRule type="expression" dxfId="3100" priority="134">
      <formula>$F$168 &gt; 0</formula>
    </cfRule>
    <cfRule type="expression" dxfId="3099" priority="135">
      <formula>$F$168 = 0</formula>
    </cfRule>
    <cfRule type="expression" dxfId="3098" priority="136">
      <formula>$F$168 &lt; 0</formula>
    </cfRule>
  </conditionalFormatting>
  <conditionalFormatting sqref="D13:F14">
    <cfRule type="expression" dxfId="3097" priority="92">
      <formula>$F$282 &gt; 0</formula>
    </cfRule>
    <cfRule type="expression" dxfId="3096" priority="93">
      <formula>$F$282 = 0</formula>
    </cfRule>
    <cfRule type="expression" dxfId="3095" priority="94">
      <formula>$F$282 &lt; 0</formula>
    </cfRule>
  </conditionalFormatting>
  <conditionalFormatting sqref="D15:F16">
    <cfRule type="expression" dxfId="3094" priority="77">
      <formula>$F$54 &gt; 0</formula>
    </cfRule>
    <cfRule type="expression" dxfId="3093" priority="78">
      <formula>$F$54 = 0</formula>
    </cfRule>
    <cfRule type="expression" dxfId="3092" priority="79">
      <formula>$F$54 &lt; 0</formula>
    </cfRule>
  </conditionalFormatting>
  <conditionalFormatting sqref="G5:I6">
    <cfRule type="expression" dxfId="3091" priority="65">
      <formula>$I$130 &gt; 0</formula>
    </cfRule>
    <cfRule type="expression" dxfId="3090" priority="66">
      <formula>$I$130 = 0</formula>
    </cfRule>
    <cfRule type="expression" dxfId="3089" priority="67">
      <formula>$I$130 &lt; 0</formula>
    </cfRule>
  </conditionalFormatting>
  <conditionalFormatting sqref="G7:I8">
    <cfRule type="expression" dxfId="3088" priority="62">
      <formula>$I$206 &gt; 0</formula>
    </cfRule>
    <cfRule type="expression" dxfId="3087" priority="63">
      <formula>$I$206 = 0</formula>
    </cfRule>
    <cfRule type="expression" dxfId="3086" priority="64">
      <formula>$I$206 &lt; 0</formula>
    </cfRule>
  </conditionalFormatting>
  <conditionalFormatting sqref="G9:I10">
    <cfRule type="expression" dxfId="3085" priority="59">
      <formula>$I$244 &gt; 0</formula>
    </cfRule>
    <cfRule type="expression" dxfId="3084" priority="60">
      <formula>$I$244 = 0</formula>
    </cfRule>
    <cfRule type="expression" dxfId="3083" priority="61">
      <formula>$I$244 &lt; 0</formula>
    </cfRule>
  </conditionalFormatting>
  <conditionalFormatting sqref="G11:I12">
    <cfRule type="expression" dxfId="3082" priority="56">
      <formula>$I$168 &gt; 0</formula>
    </cfRule>
    <cfRule type="expression" dxfId="3081" priority="57">
      <formula>$I$168 = 0</formula>
    </cfRule>
    <cfRule type="expression" dxfId="3080" priority="58">
      <formula>$I$168 &lt; 0</formula>
    </cfRule>
  </conditionalFormatting>
  <conditionalFormatting sqref="G13:I14">
    <cfRule type="expression" dxfId="3079" priority="53">
      <formula>$I$282 &gt; 0</formula>
    </cfRule>
    <cfRule type="expression" dxfId="3078" priority="54">
      <formula>$I$282 = 0</formula>
    </cfRule>
    <cfRule type="expression" dxfId="3077" priority="55">
      <formula>$I$282 &lt; 0</formula>
    </cfRule>
  </conditionalFormatting>
  <conditionalFormatting sqref="G15:I16">
    <cfRule type="expression" dxfId="3076" priority="50">
      <formula>$I$54 &gt; 0</formula>
    </cfRule>
    <cfRule type="expression" dxfId="3075" priority="51">
      <formula>$I$54 = 0</formula>
    </cfRule>
    <cfRule type="expression" dxfId="3074" priority="52">
      <formula>$I$54 &lt; 0</formula>
    </cfRule>
  </conditionalFormatting>
  <conditionalFormatting sqref="J5:L6">
    <cfRule type="expression" dxfId="3073" priority="47">
      <formula>$L$130 &gt; 0</formula>
    </cfRule>
    <cfRule type="expression" dxfId="3072" priority="48">
      <formula>$L$130 = 0</formula>
    </cfRule>
    <cfRule type="expression" dxfId="3071" priority="49">
      <formula>$L$130 &lt; 0</formula>
    </cfRule>
  </conditionalFormatting>
  <conditionalFormatting sqref="J7:L8">
    <cfRule type="expression" dxfId="3070" priority="44">
      <formula>$L$206 &gt; 0</formula>
    </cfRule>
    <cfRule type="expression" dxfId="3069" priority="45">
      <formula>$L$206 = 0</formula>
    </cfRule>
    <cfRule type="expression" dxfId="3068" priority="46">
      <formula>$L$206 &lt; 0</formula>
    </cfRule>
  </conditionalFormatting>
  <conditionalFormatting sqref="J9:L10">
    <cfRule type="expression" dxfId="3067" priority="41">
      <formula>$L$244 &gt; 0</formula>
    </cfRule>
    <cfRule type="expression" dxfId="3066" priority="42">
      <formula>$L$244 = 0</formula>
    </cfRule>
    <cfRule type="expression" dxfId="3065" priority="43">
      <formula>$L$244 &lt; 0</formula>
    </cfRule>
  </conditionalFormatting>
  <conditionalFormatting sqref="J11:L12">
    <cfRule type="expression" dxfId="3064" priority="38">
      <formula>$L$168 &gt; 0</formula>
    </cfRule>
    <cfRule type="expression" dxfId="3063" priority="39">
      <formula>$L$168 = 0</formula>
    </cfRule>
    <cfRule type="expression" dxfId="3062" priority="40">
      <formula>$L$168 &lt; 0</formula>
    </cfRule>
  </conditionalFormatting>
  <conditionalFormatting sqref="J13:L14">
    <cfRule type="expression" dxfId="3061" priority="35">
      <formula>$L$282 &gt; 0</formula>
    </cfRule>
    <cfRule type="expression" dxfId="3060" priority="36">
      <formula>$L$282 = 0</formula>
    </cfRule>
    <cfRule type="expression" dxfId="3059" priority="37">
      <formula>$L$282 &lt; 0</formula>
    </cfRule>
  </conditionalFormatting>
  <conditionalFormatting sqref="J15:L16">
    <cfRule type="expression" dxfId="3058" priority="32">
      <formula>$L$54 &gt; 0</formula>
    </cfRule>
    <cfRule type="expression" dxfId="3057" priority="33">
      <formula>$L$54 = 0</formula>
    </cfRule>
    <cfRule type="expression" dxfId="3056" priority="34">
      <formula>$L$54 &lt; 0</formula>
    </cfRule>
  </conditionalFormatting>
  <conditionalFormatting sqref="M5:O6">
    <cfRule type="expression" dxfId="3055" priority="29">
      <formula>$O$130 &gt; 0</formula>
    </cfRule>
    <cfRule type="expression" dxfId="3054" priority="30">
      <formula>$O$130 = 0</formula>
    </cfRule>
    <cfRule type="expression" dxfId="3053" priority="31">
      <formula>$O$130 &lt; 0</formula>
    </cfRule>
  </conditionalFormatting>
  <conditionalFormatting sqref="M7:O8">
    <cfRule type="expression" dxfId="3052" priority="26">
      <formula>$O$206 &gt; 0</formula>
    </cfRule>
    <cfRule type="expression" dxfId="3051" priority="27">
      <formula>$O$206 = 0</formula>
    </cfRule>
    <cfRule type="expression" dxfId="3050" priority="28">
      <formula>$O$206 &lt; 0</formula>
    </cfRule>
  </conditionalFormatting>
  <conditionalFormatting sqref="M9:O10">
    <cfRule type="expression" dxfId="3049" priority="23">
      <formula>$O$244 &gt; 0</formula>
    </cfRule>
    <cfRule type="expression" dxfId="3048" priority="24">
      <formula>$O$244 = 0</formula>
    </cfRule>
    <cfRule type="expression" dxfId="3047" priority="25">
      <formula>$O$244 &lt; 0</formula>
    </cfRule>
  </conditionalFormatting>
  <conditionalFormatting sqref="M11:O12">
    <cfRule type="expression" dxfId="3046" priority="20">
      <formula>$O$168 &gt; 0</formula>
    </cfRule>
    <cfRule type="expression" dxfId="3045" priority="21">
      <formula>$O$168 = 0</formula>
    </cfRule>
    <cfRule type="expression" dxfId="3044" priority="22">
      <formula>$O$168 &lt; 0</formula>
    </cfRule>
  </conditionalFormatting>
  <conditionalFormatting sqref="M13:O14">
    <cfRule type="expression" dxfId="3043" priority="17">
      <formula>$O$282 &gt; 0</formula>
    </cfRule>
    <cfRule type="expression" dxfId="3042" priority="18">
      <formula>$O$282 = 0</formula>
    </cfRule>
    <cfRule type="expression" dxfId="3041" priority="19">
      <formula>$O$282 &lt; 0</formula>
    </cfRule>
  </conditionalFormatting>
  <conditionalFormatting sqref="M15:O16">
    <cfRule type="expression" dxfId="3040" priority="14">
      <formula>$O$54 &gt; 0</formula>
    </cfRule>
    <cfRule type="expression" dxfId="3039" priority="15">
      <formula>$O$54 = 0</formula>
    </cfRule>
    <cfRule type="expression" dxfId="3038" priority="16">
      <formula>$O$54 &lt; 0</formula>
    </cfRule>
  </conditionalFormatting>
  <conditionalFormatting sqref="D3:F4">
    <cfRule type="expression" dxfId="3037" priority="11">
      <formula>$F$92 &gt; 0</formula>
    </cfRule>
    <cfRule type="expression" dxfId="3036" priority="12">
      <formula>$F$92 = 0</formula>
    </cfRule>
    <cfRule type="expression" dxfId="3035" priority="13">
      <formula>$F$92 &lt; 0</formula>
    </cfRule>
  </conditionalFormatting>
  <conditionalFormatting sqref="G3:I4">
    <cfRule type="expression" dxfId="3034" priority="8">
      <formula>$I$92 &gt; 0</formula>
    </cfRule>
    <cfRule type="expression" dxfId="3033" priority="9">
      <formula>$I$92 = 0</formula>
    </cfRule>
    <cfRule type="expression" dxfId="3032" priority="10">
      <formula>$I$92 &lt; 0</formula>
    </cfRule>
  </conditionalFormatting>
  <conditionalFormatting sqref="J3:L4">
    <cfRule type="expression" dxfId="3031" priority="5">
      <formula>$L$92 &gt; 0</formula>
    </cfRule>
    <cfRule type="expression" dxfId="3030" priority="6">
      <formula>$L$92 = 0</formula>
    </cfRule>
    <cfRule type="expression" dxfId="3029" priority="7">
      <formula>$L$92 &lt; 0</formula>
    </cfRule>
  </conditionalFormatting>
  <conditionalFormatting sqref="M3:O4">
    <cfRule type="expression" dxfId="3028" priority="2">
      <formula>$O$92 &gt; 0</formula>
    </cfRule>
    <cfRule type="expression" dxfId="3027" priority="3">
      <formula>$O$92 = 0</formula>
    </cfRule>
    <cfRule type="expression" dxfId="302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44317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" t="s">
        <v>3</v>
      </c>
      <c r="B2" s="313" t="s">
        <v>4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5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4" t="s">
        <v>7</v>
      </c>
      <c r="B3" s="304" t="s">
        <v>8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301"/>
      <c r="I3" s="302"/>
      <c r="J3" s="4" t="s">
        <v>7</v>
      </c>
      <c r="K3" s="304" t="s">
        <v>9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04" t="s">
        <v>12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13</v>
      </c>
      <c r="L4" s="305"/>
      <c r="M4" s="305"/>
      <c r="N4" s="305"/>
      <c r="O4" s="306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04" t="s">
        <v>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301"/>
      <c r="I5" s="302"/>
      <c r="J5" s="4" t="s">
        <v>15</v>
      </c>
      <c r="K5" s="304" t="s">
        <v>17</v>
      </c>
      <c r="L5" s="305"/>
      <c r="M5" s="305"/>
      <c r="N5" s="305"/>
      <c r="O5" s="306"/>
    </row>
    <row r="6" spans="1:19">
      <c r="A6" s="4" t="s">
        <v>18</v>
      </c>
      <c r="B6" s="304" t="s">
        <v>19</v>
      </c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20</v>
      </c>
      <c r="L6" s="305"/>
      <c r="M6" s="305"/>
      <c r="N6" s="305"/>
      <c r="O6" s="306"/>
    </row>
    <row r="7" spans="1:19" ht="17.25" thickBot="1">
      <c r="A7" s="4" t="s">
        <v>21</v>
      </c>
      <c r="B7" s="304" t="s">
        <v>22</v>
      </c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301"/>
      <c r="I7" s="302"/>
      <c r="J7" s="4" t="s">
        <v>21</v>
      </c>
      <c r="K7" s="304" t="s">
        <v>23</v>
      </c>
      <c r="L7" s="305"/>
      <c r="M7" s="305"/>
      <c r="N7" s="305"/>
      <c r="O7" s="306"/>
    </row>
    <row r="8" spans="1:19" ht="17.25" thickBot="1">
      <c r="A8" s="4" t="s">
        <v>24</v>
      </c>
      <c r="B8" s="304" t="s">
        <v>25</v>
      </c>
      <c r="C8" s="305"/>
      <c r="D8" s="305"/>
      <c r="E8" s="305"/>
      <c r="F8" s="306"/>
      <c r="G8" s="307" t="s">
        <v>285</v>
      </c>
      <c r="H8" s="308"/>
      <c r="I8" s="309"/>
      <c r="J8" s="4" t="s">
        <v>24</v>
      </c>
      <c r="K8" s="304" t="s">
        <v>26</v>
      </c>
      <c r="L8" s="305"/>
      <c r="M8" s="305"/>
      <c r="N8" s="305"/>
      <c r="O8" s="306"/>
      <c r="Q8" s="279" t="s">
        <v>27</v>
      </c>
      <c r="R8" s="281"/>
    </row>
    <row r="9" spans="1:19" ht="17.25" thickBot="1">
      <c r="A9" s="4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301"/>
      <c r="I9" s="302"/>
      <c r="J9" s="4" t="s">
        <v>28</v>
      </c>
      <c r="K9" s="304" t="s">
        <v>293</v>
      </c>
      <c r="L9" s="305"/>
      <c r="M9" s="305"/>
      <c r="N9" s="305"/>
      <c r="O9" s="306"/>
      <c r="Q9" s="2" t="s">
        <v>29</v>
      </c>
      <c r="R9" s="6">
        <v>10</v>
      </c>
    </row>
    <row r="10" spans="1:19">
      <c r="A10" s="4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/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7" t="s">
        <v>32</v>
      </c>
      <c r="B11" s="297"/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301"/>
      <c r="I11" s="302"/>
      <c r="J11" s="7" t="s">
        <v>32</v>
      </c>
      <c r="K11" s="297"/>
      <c r="L11" s="298"/>
      <c r="M11" s="298"/>
      <c r="N11" s="298"/>
      <c r="O11" s="299"/>
      <c r="Q11" s="61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07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55555000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-3.6323266700000002E-2</v>
      </c>
      <c r="N14" s="286"/>
      <c r="O14" s="287"/>
      <c r="Q14" s="278"/>
      <c r="R14" s="278"/>
      <c r="S14" s="278"/>
    </row>
    <row r="15" spans="1:19" ht="17.25" customHeight="1" thickBot="1">
      <c r="A15" s="303" t="s">
        <v>39</v>
      </c>
      <c r="B15" s="295" t="str">
        <f>TEXT($G$1, "[$-ko-KR]yyyy-mm-dd(ddd) ") &amp; "오전 00:00"</f>
        <v>2021-05-01(토) 오전 00:00</v>
      </c>
      <c r="C15" s="296"/>
      <c r="D15" s="292" t="str">
        <f>TEXT($G$1, "[$-ko-KR]yyyy-mm-dd(ddd) ") &amp; "오후 14:00"</f>
        <v>2021-05-01(토) 오후 14:00</v>
      </c>
      <c r="E15" s="293"/>
      <c r="F15" s="294"/>
      <c r="G15" s="292" t="str">
        <f>TEXT($G$1, "[$-ko-KR]yyyy-mm-dd(ddd) ") &amp; "오후 19:00"</f>
        <v>2021-05-01(토) 오후 19:00</v>
      </c>
      <c r="H15" s="293"/>
      <c r="I15" s="294"/>
      <c r="J15" s="292" t="str">
        <f>TEXT($G$1, "[$-ko-KR]yyyy-mm-dd(ddd) ") &amp; "오후 21:00"</f>
        <v>2021-05-01(토) 오후 21:00</v>
      </c>
      <c r="K15" s="293"/>
      <c r="L15" s="294"/>
      <c r="M15" s="292" t="str">
        <f>TEXT($G$1+1, "[$-ko-KR]yyyy-mm-dd(ddd) ") &amp; "오전 00:00"</f>
        <v>2021-05-02(일) 오전 00:00</v>
      </c>
      <c r="N15" s="293"/>
      <c r="O15" s="294"/>
      <c r="Q15" s="278"/>
      <c r="R15" s="278"/>
      <c r="S15" s="278"/>
    </row>
    <row r="16" spans="1:19" ht="17.25" customHeight="1" thickBot="1">
      <c r="A16" s="30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8"/>
      <c r="R16" s="268"/>
      <c r="S16" s="268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278"/>
      <c r="R17" s="278"/>
      <c r="S17" s="278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278"/>
      <c r="R18" s="278"/>
      <c r="S18" s="278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268"/>
      <c r="R19" s="268"/>
      <c r="S19" s="268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268"/>
      <c r="R20" s="268"/>
      <c r="S20" s="268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268"/>
      <c r="R21" s="268"/>
      <c r="S21" s="268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68"/>
      <c r="R22" s="268"/>
      <c r="S22" s="26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69"/>
      <c r="R26" s="270"/>
      <c r="S26" s="27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68"/>
      <c r="R32" s="268"/>
      <c r="S32" s="26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60"/>
      <c r="R36" s="261"/>
      <c r="S36" s="262"/>
    </row>
    <row r="37" spans="1:19" ht="17.25" customHeight="1" thickBot="1">
      <c r="A37" s="26" t="s">
        <v>42</v>
      </c>
      <c r="B37" s="266">
        <v>300000</v>
      </c>
      <c r="C37" s="267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07" t="s">
        <v>298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55555000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-3.6323266700000002E-2</v>
      </c>
      <c r="N41" s="286"/>
      <c r="O41" s="287"/>
      <c r="Q41" s="278"/>
      <c r="R41" s="278"/>
      <c r="S41" s="278"/>
    </row>
    <row r="42" spans="1:19" ht="17.25" customHeight="1" thickBot="1">
      <c r="A42" s="288" t="s">
        <v>55</v>
      </c>
      <c r="B42" s="290" t="str">
        <f>TEXT($G$1, "[$-ko-KR]yyyy-mm-dd(ddd) ") &amp; "오전 00:00"</f>
        <v>2021-05-01(토) 오전 00:00</v>
      </c>
      <c r="C42" s="291"/>
      <c r="D42" s="292" t="str">
        <f>TEXT($G$1, "[$-ko-KR]yyyy-mm-dd(ddd) ") &amp; "오후 14:00"</f>
        <v>2021-05-01(토) 오후 14:00</v>
      </c>
      <c r="E42" s="293"/>
      <c r="F42" s="294"/>
      <c r="G42" s="292" t="str">
        <f>TEXT($G$1, "[$-ko-KR]yyyy-mm-dd(ddd) ") &amp; "오후 19:00"</f>
        <v>2021-05-01(토) 오후 19:00</v>
      </c>
      <c r="H42" s="293"/>
      <c r="I42" s="294"/>
      <c r="J42" s="292" t="str">
        <f>TEXT($G$1, "[$-ko-KR]yyyy-mm-dd(ddd) ") &amp; "오후 21:00"</f>
        <v>2021-05-01(토) 오후 21:00</v>
      </c>
      <c r="K42" s="293"/>
      <c r="L42" s="294"/>
      <c r="M42" s="292" t="str">
        <f>TEXT($G$1+1, "[$-ko-KR]yyyy-mm-dd(ddd) ") &amp; "오전 00:00"</f>
        <v>2021-05-02(일) 오전 00:00</v>
      </c>
      <c r="N42" s="293"/>
      <c r="O42" s="294"/>
      <c r="Q42" s="278"/>
      <c r="R42" s="278"/>
      <c r="S42" s="278"/>
    </row>
    <row r="43" spans="1:19" ht="17.25" customHeight="1" thickBot="1">
      <c r="A43" s="28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8"/>
      <c r="R43" s="268"/>
      <c r="S43" s="268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278"/>
      <c r="R44" s="278"/>
      <c r="S44" s="278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278"/>
      <c r="R45" s="278"/>
      <c r="S45" s="278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268"/>
      <c r="R46" s="268"/>
      <c r="S46" s="268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268"/>
      <c r="R47" s="268"/>
      <c r="S47" s="268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268"/>
      <c r="R48" s="268"/>
      <c r="S48" s="268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268"/>
      <c r="R49" s="268"/>
      <c r="S49" s="268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268"/>
      <c r="R50" s="268"/>
      <c r="S50" s="268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268"/>
      <c r="R51" s="268"/>
      <c r="S51" s="268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269"/>
      <c r="R53" s="270"/>
      <c r="S53" s="271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72"/>
      <c r="R54" s="273"/>
      <c r="S54" s="274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75"/>
      <c r="R55" s="276"/>
      <c r="S55" s="277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268"/>
      <c r="R56" s="268"/>
      <c r="S56" s="268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278"/>
      <c r="R57" s="278"/>
      <c r="S57" s="278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278"/>
      <c r="R58" s="278"/>
      <c r="S58" s="278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268"/>
      <c r="R59" s="268"/>
      <c r="S59" s="268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268"/>
      <c r="R60" s="268"/>
      <c r="S60" s="268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268"/>
      <c r="R61" s="268"/>
      <c r="S61" s="268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57"/>
      <c r="R62" s="258"/>
      <c r="S62" s="25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0"/>
      <c r="R63" s="261"/>
      <c r="S63" s="262"/>
    </row>
    <row r="64" spans="1:19" ht="17.25" customHeight="1" thickBot="1">
      <c r="A64" s="26" t="s">
        <v>301</v>
      </c>
      <c r="B64" s="266">
        <f>$B$37</f>
        <v>300000</v>
      </c>
      <c r="C64" s="267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07" t="s">
        <v>298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55555000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-3.6323266700000002E-2</v>
      </c>
      <c r="N68" s="286"/>
      <c r="O68" s="287"/>
      <c r="Q68" s="278"/>
      <c r="R68" s="278"/>
      <c r="S68" s="278"/>
    </row>
    <row r="69" spans="1:19" ht="17.25" thickBot="1">
      <c r="A69" s="288" t="s">
        <v>55</v>
      </c>
      <c r="B69" s="290" t="str">
        <f>TEXT($G$1, "[$-ko-KR]yyyy-mm-dd(ddd) ") &amp; "오전 00:00"</f>
        <v>2021-05-01(토) 오전 00:00</v>
      </c>
      <c r="C69" s="291"/>
      <c r="D69" s="292" t="str">
        <f>TEXT($G$1, "[$-ko-KR]yyyy-mm-dd(ddd) ") &amp; "오후 14:00"</f>
        <v>2021-05-01(토) 오후 14:00</v>
      </c>
      <c r="E69" s="293"/>
      <c r="F69" s="294"/>
      <c r="G69" s="292" t="str">
        <f>TEXT($G$1, "[$-ko-KR]yyyy-mm-dd(ddd) ") &amp; "오후 19:00"</f>
        <v>2021-05-01(토) 오후 19:00</v>
      </c>
      <c r="H69" s="293"/>
      <c r="I69" s="294"/>
      <c r="J69" s="292" t="str">
        <f>TEXT($G$1, "[$-ko-KR]yyyy-mm-dd(ddd) ") &amp; "오후 21:00"</f>
        <v>2021-05-01(토) 오후 21:00</v>
      </c>
      <c r="K69" s="293"/>
      <c r="L69" s="294"/>
      <c r="M69" s="292" t="str">
        <f>TEXT($G$1+1, "[$-ko-KR]yyyy-mm-dd(ddd) ") &amp; "오전 00:00"</f>
        <v>2021-05-02(일) 오전 00:00</v>
      </c>
      <c r="N69" s="293"/>
      <c r="O69" s="294"/>
      <c r="Q69" s="278"/>
      <c r="R69" s="278"/>
      <c r="S69" s="278"/>
    </row>
    <row r="70" spans="1:19" ht="17.25" thickBot="1">
      <c r="A70" s="28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8"/>
      <c r="R70" s="268"/>
      <c r="S70" s="268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278"/>
      <c r="R71" s="278"/>
      <c r="S71" s="278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78"/>
      <c r="R72" s="278"/>
      <c r="S72" s="278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268"/>
      <c r="R73" s="268"/>
      <c r="S73" s="268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268"/>
      <c r="R74" s="268"/>
      <c r="S74" s="268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268"/>
      <c r="R75" s="268"/>
      <c r="S75" s="268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268"/>
      <c r="R76" s="268"/>
      <c r="S76" s="268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268"/>
      <c r="R77" s="268"/>
      <c r="S77" s="268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268"/>
      <c r="R78" s="268"/>
      <c r="S78" s="268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269"/>
      <c r="R80" s="270"/>
      <c r="S80" s="271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72"/>
      <c r="R81" s="273"/>
      <c r="S81" s="274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75"/>
      <c r="R82" s="276"/>
      <c r="S82" s="277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268"/>
      <c r="R83" s="268"/>
      <c r="S83" s="268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278"/>
      <c r="R84" s="278"/>
      <c r="S84" s="278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278"/>
      <c r="R85" s="278"/>
      <c r="S85" s="278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268"/>
      <c r="R86" s="268"/>
      <c r="S86" s="268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268"/>
      <c r="R87" s="268"/>
      <c r="S87" s="268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268"/>
      <c r="R88" s="268"/>
      <c r="S88" s="268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57"/>
      <c r="R89" s="258"/>
      <c r="S89" s="259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260"/>
      <c r="R90" s="261"/>
      <c r="S90" s="262"/>
    </row>
    <row r="91" spans="1:19" ht="17.25" thickBot="1">
      <c r="A91" s="26" t="s">
        <v>301</v>
      </c>
      <c r="B91" s="266">
        <f>$B$37</f>
        <v>300000</v>
      </c>
      <c r="C91" s="267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07" t="s">
        <v>298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55555000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-3.6323266700000002E-2</v>
      </c>
      <c r="N95" s="286"/>
      <c r="O95" s="287"/>
      <c r="Q95" s="278"/>
      <c r="R95" s="278"/>
      <c r="S95" s="278"/>
    </row>
    <row r="96" spans="1:19" ht="17.25" thickBot="1">
      <c r="A96" s="288" t="s">
        <v>55</v>
      </c>
      <c r="B96" s="290" t="str">
        <f>TEXT($G$1, "[$-ko-KR]yyyy-mm-dd(ddd) ") &amp; "오전 00:00"</f>
        <v>2021-05-01(토) 오전 00:00</v>
      </c>
      <c r="C96" s="291"/>
      <c r="D96" s="292" t="str">
        <f>TEXT($G$1, "[$-ko-KR]yyyy-mm-dd(ddd) ") &amp; "오후 14:00"</f>
        <v>2021-05-01(토) 오후 14:00</v>
      </c>
      <c r="E96" s="293"/>
      <c r="F96" s="294"/>
      <c r="G96" s="292" t="str">
        <f>TEXT($G$1, "[$-ko-KR]yyyy-mm-dd(ddd) ") &amp; "오후 19:00"</f>
        <v>2021-05-01(토) 오후 19:00</v>
      </c>
      <c r="H96" s="293"/>
      <c r="I96" s="294"/>
      <c r="J96" s="292" t="str">
        <f>TEXT($G$1, "[$-ko-KR]yyyy-mm-dd(ddd) ") &amp; "오후 21:00"</f>
        <v>2021-05-01(토) 오후 21:00</v>
      </c>
      <c r="K96" s="293"/>
      <c r="L96" s="294"/>
      <c r="M96" s="292" t="str">
        <f>TEXT($G$1+1, "[$-ko-KR]yyyy-mm-dd(ddd) ") &amp; "오전 00:00"</f>
        <v>2021-05-02(일) 오전 00:00</v>
      </c>
      <c r="N96" s="293"/>
      <c r="O96" s="294"/>
      <c r="Q96" s="278"/>
      <c r="R96" s="278"/>
      <c r="S96" s="278"/>
    </row>
    <row r="97" spans="1:19" ht="17.25" thickBot="1">
      <c r="A97" s="28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8"/>
      <c r="R97" s="268"/>
      <c r="S97" s="268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278"/>
      <c r="R98" s="278"/>
      <c r="S98" s="278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278"/>
      <c r="R99" s="278"/>
      <c r="S99" s="278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268"/>
      <c r="R100" s="268"/>
      <c r="S100" s="268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268"/>
      <c r="R101" s="268"/>
      <c r="S101" s="268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268"/>
      <c r="R102" s="268"/>
      <c r="S102" s="268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268"/>
      <c r="R103" s="268"/>
      <c r="S103" s="268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68"/>
      <c r="R104" s="268"/>
      <c r="S104" s="268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268"/>
      <c r="R105" s="268"/>
      <c r="S105" s="268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269"/>
      <c r="R107" s="270"/>
      <c r="S107" s="271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72"/>
      <c r="R108" s="273"/>
      <c r="S108" s="274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75"/>
      <c r="R109" s="276"/>
      <c r="S109" s="277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268"/>
      <c r="R110" s="268"/>
      <c r="S110" s="268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278"/>
      <c r="R111" s="278"/>
      <c r="S111" s="278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278"/>
      <c r="R112" s="278"/>
      <c r="S112" s="278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268"/>
      <c r="R113" s="268"/>
      <c r="S113" s="268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268"/>
      <c r="R114" s="268"/>
      <c r="S114" s="268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268"/>
      <c r="R115" s="268"/>
      <c r="S115" s="268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57"/>
      <c r="R116" s="258"/>
      <c r="S116" s="259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260"/>
      <c r="R117" s="261"/>
      <c r="S117" s="262"/>
    </row>
    <row r="118" spans="1:19" ht="17.25" thickBot="1">
      <c r="A118" s="26" t="s">
        <v>301</v>
      </c>
      <c r="B118" s="266">
        <f>$B$37</f>
        <v>300000</v>
      </c>
      <c r="C118" s="267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263"/>
      <c r="R118" s="264"/>
      <c r="S118" s="265"/>
    </row>
    <row r="120" spans="1:19" ht="17.25" thickBot="1"/>
    <row r="121" spans="1:19" ht="17.25" thickBot="1">
      <c r="A121" s="279" t="s">
        <v>288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07" t="s">
        <v>298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55555000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-3.6323266700000002E-2</v>
      </c>
      <c r="N122" s="286"/>
      <c r="O122" s="287"/>
      <c r="Q122" s="278"/>
      <c r="R122" s="278"/>
      <c r="S122" s="278"/>
    </row>
    <row r="123" spans="1:19" ht="17.25" thickBot="1">
      <c r="A123" s="288" t="s">
        <v>55</v>
      </c>
      <c r="B123" s="290" t="str">
        <f>TEXT($G$1, "[$-ko-KR]yyyy-mm-dd(ddd) ") &amp; "오전 00:00"</f>
        <v>2021-05-01(토) 오전 00:00</v>
      </c>
      <c r="C123" s="291"/>
      <c r="D123" s="292" t="str">
        <f>TEXT($G$1, "[$-ko-KR]yyyy-mm-dd(ddd) ") &amp; "오후 14:00"</f>
        <v>2021-05-01(토) 오후 14:00</v>
      </c>
      <c r="E123" s="293"/>
      <c r="F123" s="294"/>
      <c r="G123" s="292" t="str">
        <f>TEXT($G$1, "[$-ko-KR]yyyy-mm-dd(ddd) ") &amp; "오후 19:00"</f>
        <v>2021-05-01(토) 오후 19:00</v>
      </c>
      <c r="H123" s="293"/>
      <c r="I123" s="294"/>
      <c r="J123" s="292" t="str">
        <f>TEXT($G$1, "[$-ko-KR]yyyy-mm-dd(ddd) ") &amp; "오후 21:00"</f>
        <v>2021-05-01(토) 오후 21:00</v>
      </c>
      <c r="K123" s="293"/>
      <c r="L123" s="294"/>
      <c r="M123" s="292" t="str">
        <f>TEXT($G$1+1, "[$-ko-KR]yyyy-mm-dd(ddd) ") &amp; "오전 00:00"</f>
        <v>2021-05-02(일) 오전 00:00</v>
      </c>
      <c r="N123" s="293"/>
      <c r="O123" s="294"/>
      <c r="Q123" s="278"/>
      <c r="R123" s="278"/>
      <c r="S123" s="278"/>
    </row>
    <row r="124" spans="1:19" ht="17.25" thickBot="1">
      <c r="A124" s="28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8"/>
      <c r="R124" s="268"/>
      <c r="S124" s="268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278"/>
      <c r="R125" s="278"/>
      <c r="S125" s="278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278"/>
      <c r="R126" s="278"/>
      <c r="S126" s="278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268"/>
      <c r="R127" s="268"/>
      <c r="S127" s="268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268"/>
      <c r="R128" s="268"/>
      <c r="S128" s="268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268"/>
      <c r="R129" s="268"/>
      <c r="S129" s="268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268"/>
      <c r="R130" s="268"/>
      <c r="S130" s="268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268"/>
      <c r="R131" s="268"/>
      <c r="S131" s="268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268"/>
      <c r="R132" s="268"/>
      <c r="S132" s="268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269"/>
      <c r="R134" s="270"/>
      <c r="S134" s="271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72"/>
      <c r="R135" s="273"/>
      <c r="S135" s="274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75"/>
      <c r="R136" s="276"/>
      <c r="S136" s="277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268"/>
      <c r="R137" s="268"/>
      <c r="S137" s="268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278"/>
      <c r="R138" s="278"/>
      <c r="S138" s="278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278"/>
      <c r="R139" s="278"/>
      <c r="S139" s="278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268"/>
      <c r="R140" s="268"/>
      <c r="S140" s="268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268"/>
      <c r="R141" s="268"/>
      <c r="S141" s="268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268"/>
      <c r="R142" s="268"/>
      <c r="S142" s="268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57"/>
      <c r="R143" s="258"/>
      <c r="S143" s="25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0"/>
      <c r="R144" s="261"/>
      <c r="S144" s="262"/>
    </row>
    <row r="145" spans="1:19" ht="17.25" thickBot="1">
      <c r="A145" s="26" t="s">
        <v>301</v>
      </c>
      <c r="B145" s="266">
        <f>$B$37</f>
        <v>300000</v>
      </c>
      <c r="C145" s="267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263"/>
      <c r="R145" s="264"/>
      <c r="S145" s="265"/>
    </row>
    <row r="147" spans="1:19" ht="17.25" thickBot="1"/>
    <row r="148" spans="1:19" ht="17.25" thickBot="1">
      <c r="A148" s="279" t="s">
        <v>289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07" t="s">
        <v>298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55555000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-3.6323266700000002E-2</v>
      </c>
      <c r="N149" s="286"/>
      <c r="O149" s="287"/>
      <c r="Q149" s="278"/>
      <c r="R149" s="278"/>
      <c r="S149" s="278"/>
    </row>
    <row r="150" spans="1:19" ht="17.25" thickBot="1">
      <c r="A150" s="288" t="s">
        <v>55</v>
      </c>
      <c r="B150" s="290" t="str">
        <f>TEXT($G$1, "[$-ko-KR]yyyy-mm-dd(ddd) ") &amp; "오전 00:00"</f>
        <v>2021-05-01(토) 오전 00:00</v>
      </c>
      <c r="C150" s="291"/>
      <c r="D150" s="292" t="str">
        <f>TEXT($G$1, "[$-ko-KR]yyyy-mm-dd(ddd) ") &amp; "오후 14:00"</f>
        <v>2021-05-01(토) 오후 14:00</v>
      </c>
      <c r="E150" s="293"/>
      <c r="F150" s="294"/>
      <c r="G150" s="292" t="str">
        <f>TEXT($G$1, "[$-ko-KR]yyyy-mm-dd(ddd) ") &amp; "오후 19:00"</f>
        <v>2021-05-01(토) 오후 19:00</v>
      </c>
      <c r="H150" s="293"/>
      <c r="I150" s="294"/>
      <c r="J150" s="292" t="str">
        <f>TEXT($G$1, "[$-ko-KR]yyyy-mm-dd(ddd) ") &amp; "오후 21:00"</f>
        <v>2021-05-01(토) 오후 21:00</v>
      </c>
      <c r="K150" s="293"/>
      <c r="L150" s="294"/>
      <c r="M150" s="292" t="str">
        <f>TEXT($G$1+1, "[$-ko-KR]yyyy-mm-dd(ddd) ") &amp; "오전 00:00"</f>
        <v>2021-05-02(일) 오전 00:00</v>
      </c>
      <c r="N150" s="293"/>
      <c r="O150" s="294"/>
      <c r="Q150" s="278"/>
      <c r="R150" s="278"/>
      <c r="S150" s="278"/>
    </row>
    <row r="151" spans="1:19" ht="17.25" thickBot="1">
      <c r="A151" s="28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8"/>
      <c r="R151" s="268"/>
      <c r="S151" s="268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278"/>
      <c r="R152" s="278"/>
      <c r="S152" s="278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278"/>
      <c r="R153" s="278"/>
      <c r="S153" s="278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268"/>
      <c r="R154" s="268"/>
      <c r="S154" s="268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268"/>
      <c r="R155" s="268"/>
      <c r="S155" s="268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268"/>
      <c r="R156" s="268"/>
      <c r="S156" s="268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268"/>
      <c r="R157" s="268"/>
      <c r="S157" s="268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268"/>
      <c r="R158" s="268"/>
      <c r="S158" s="268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268"/>
      <c r="R159" s="268"/>
      <c r="S159" s="268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269"/>
      <c r="R161" s="270"/>
      <c r="S161" s="271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72"/>
      <c r="R162" s="273"/>
      <c r="S162" s="274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75"/>
      <c r="R163" s="276"/>
      <c r="S163" s="277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268"/>
      <c r="R164" s="268"/>
      <c r="S164" s="268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278"/>
      <c r="R165" s="278"/>
      <c r="S165" s="278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278"/>
      <c r="R166" s="278"/>
      <c r="S166" s="278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268"/>
      <c r="R167" s="268"/>
      <c r="S167" s="268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268"/>
      <c r="R168" s="268"/>
      <c r="S168" s="268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268"/>
      <c r="R169" s="268"/>
      <c r="S169" s="268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57"/>
      <c r="R170" s="258"/>
      <c r="S170" s="259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260"/>
      <c r="R171" s="261"/>
      <c r="S171" s="262"/>
    </row>
    <row r="172" spans="1:19" ht="17.25" thickBot="1">
      <c r="A172" s="26" t="s">
        <v>301</v>
      </c>
      <c r="B172" s="266">
        <f>$B$37</f>
        <v>300000</v>
      </c>
      <c r="C172" s="267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263"/>
      <c r="R172" s="264"/>
      <c r="S172" s="265"/>
    </row>
    <row r="174" spans="1:19" ht="17.25" thickBot="1"/>
    <row r="175" spans="1:19" ht="17.25" thickBot="1">
      <c r="A175" s="279" t="s">
        <v>285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07" t="s">
        <v>298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55555000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-3.6323266700000002E-2</v>
      </c>
      <c r="N176" s="286"/>
      <c r="O176" s="287"/>
      <c r="Q176" s="278"/>
      <c r="R176" s="278"/>
      <c r="S176" s="278"/>
    </row>
    <row r="177" spans="1:19" ht="17.25" thickBot="1">
      <c r="A177" s="288" t="s">
        <v>55</v>
      </c>
      <c r="B177" s="290" t="str">
        <f>TEXT($G$1, "[$-ko-KR]yyyy-mm-dd(ddd) ") &amp; "오전 00:00"</f>
        <v>2021-05-01(토) 오전 00:00</v>
      </c>
      <c r="C177" s="291"/>
      <c r="D177" s="292" t="str">
        <f>TEXT($G$1, "[$-ko-KR]yyyy-mm-dd(ddd) ") &amp; "오후 14:00"</f>
        <v>2021-05-01(토) 오후 14:00</v>
      </c>
      <c r="E177" s="293"/>
      <c r="F177" s="294"/>
      <c r="G177" s="292" t="str">
        <f>TEXT($G$1, "[$-ko-KR]yyyy-mm-dd(ddd) ") &amp; "오후 19:00"</f>
        <v>2021-05-01(토) 오후 19:00</v>
      </c>
      <c r="H177" s="293"/>
      <c r="I177" s="294"/>
      <c r="J177" s="292" t="str">
        <f>TEXT($G$1, "[$-ko-KR]yyyy-mm-dd(ddd) ") &amp; "오후 21:00"</f>
        <v>2021-05-01(토) 오후 21:00</v>
      </c>
      <c r="K177" s="293"/>
      <c r="L177" s="294"/>
      <c r="M177" s="292" t="str">
        <f>TEXT($G$1+1, "[$-ko-KR]yyyy-mm-dd(ddd) ") &amp; "오전 00:00"</f>
        <v>2021-05-02(일) 오전 00:00</v>
      </c>
      <c r="N177" s="293"/>
      <c r="O177" s="294"/>
      <c r="Q177" s="278"/>
      <c r="R177" s="278"/>
      <c r="S177" s="278"/>
    </row>
    <row r="178" spans="1:19" ht="17.25" thickBot="1">
      <c r="A178" s="28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8"/>
      <c r="R178" s="268"/>
      <c r="S178" s="268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278"/>
      <c r="R179" s="278"/>
      <c r="S179" s="278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278"/>
      <c r="R180" s="278"/>
      <c r="S180" s="278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268"/>
      <c r="R181" s="268"/>
      <c r="S181" s="268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268"/>
      <c r="R182" s="268"/>
      <c r="S182" s="268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268"/>
      <c r="R183" s="268"/>
      <c r="S183" s="268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268"/>
      <c r="R184" s="268"/>
      <c r="S184" s="268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268"/>
      <c r="R185" s="268"/>
      <c r="S185" s="268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268"/>
      <c r="R186" s="268"/>
      <c r="S186" s="268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269"/>
      <c r="R188" s="270"/>
      <c r="S188" s="271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72"/>
      <c r="R189" s="273"/>
      <c r="S189" s="274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75"/>
      <c r="R190" s="276"/>
      <c r="S190" s="277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268"/>
      <c r="R191" s="268"/>
      <c r="S191" s="268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278"/>
      <c r="R192" s="278"/>
      <c r="S192" s="278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278"/>
      <c r="R193" s="278"/>
      <c r="S193" s="278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268"/>
      <c r="R194" s="268"/>
      <c r="S194" s="268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268"/>
      <c r="R195" s="268"/>
      <c r="S195" s="268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268"/>
      <c r="R196" s="268"/>
      <c r="S196" s="268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57"/>
      <c r="R197" s="258"/>
      <c r="S197" s="259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260"/>
      <c r="R198" s="261"/>
      <c r="S198" s="262"/>
    </row>
    <row r="199" spans="1:19" ht="17.25" thickBot="1">
      <c r="A199" s="26" t="s">
        <v>301</v>
      </c>
      <c r="B199" s="266">
        <f>$B$37</f>
        <v>300000</v>
      </c>
      <c r="C199" s="267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44318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" t="s">
        <v>3</v>
      </c>
      <c r="B2" s="313" t="s">
        <v>4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5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4" t="s">
        <v>7</v>
      </c>
      <c r="B3" s="304" t="s">
        <v>8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301"/>
      <c r="I3" s="302"/>
      <c r="J3" s="4" t="s">
        <v>7</v>
      </c>
      <c r="K3" s="304" t="s">
        <v>9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04" t="s">
        <v>12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13</v>
      </c>
      <c r="L4" s="305"/>
      <c r="M4" s="305"/>
      <c r="N4" s="305"/>
      <c r="O4" s="306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04" t="s">
        <v>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301"/>
      <c r="I5" s="302"/>
      <c r="J5" s="4" t="s">
        <v>15</v>
      </c>
      <c r="K5" s="304" t="s">
        <v>17</v>
      </c>
      <c r="L5" s="305"/>
      <c r="M5" s="305"/>
      <c r="N5" s="305"/>
      <c r="O5" s="306"/>
    </row>
    <row r="6" spans="1:19">
      <c r="A6" s="4" t="s">
        <v>18</v>
      </c>
      <c r="B6" s="304" t="s">
        <v>19</v>
      </c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20</v>
      </c>
      <c r="L6" s="305"/>
      <c r="M6" s="305"/>
      <c r="N6" s="305"/>
      <c r="O6" s="306"/>
    </row>
    <row r="7" spans="1:19" ht="17.25" thickBot="1">
      <c r="A7" s="4" t="s">
        <v>21</v>
      </c>
      <c r="B7" s="304" t="s">
        <v>22</v>
      </c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301"/>
      <c r="I7" s="302"/>
      <c r="J7" s="4" t="s">
        <v>21</v>
      </c>
      <c r="K7" s="304" t="s">
        <v>23</v>
      </c>
      <c r="L7" s="305"/>
      <c r="M7" s="305"/>
      <c r="N7" s="305"/>
      <c r="O7" s="306"/>
    </row>
    <row r="8" spans="1:19" ht="17.25" thickBot="1">
      <c r="A8" s="4" t="s">
        <v>24</v>
      </c>
      <c r="B8" s="304" t="s">
        <v>25</v>
      </c>
      <c r="C8" s="305"/>
      <c r="D8" s="305"/>
      <c r="E8" s="305"/>
      <c r="F8" s="306"/>
      <c r="G8" s="307" t="s">
        <v>285</v>
      </c>
      <c r="H8" s="308"/>
      <c r="I8" s="309"/>
      <c r="J8" s="4" t="s">
        <v>24</v>
      </c>
      <c r="K8" s="304" t="s">
        <v>26</v>
      </c>
      <c r="L8" s="305"/>
      <c r="M8" s="305"/>
      <c r="N8" s="305"/>
      <c r="O8" s="306"/>
      <c r="Q8" s="279" t="s">
        <v>27</v>
      </c>
      <c r="R8" s="281"/>
    </row>
    <row r="9" spans="1:19" ht="17.25" thickBot="1">
      <c r="A9" s="4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301"/>
      <c r="I9" s="302"/>
      <c r="J9" s="4" t="s">
        <v>28</v>
      </c>
      <c r="K9" s="304" t="s">
        <v>293</v>
      </c>
      <c r="L9" s="305"/>
      <c r="M9" s="305"/>
      <c r="N9" s="305"/>
      <c r="O9" s="306"/>
      <c r="Q9" s="2" t="s">
        <v>29</v>
      </c>
      <c r="R9" s="6">
        <v>10</v>
      </c>
    </row>
    <row r="10" spans="1:19">
      <c r="A10" s="4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/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7" t="s">
        <v>32</v>
      </c>
      <c r="B11" s="297"/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301"/>
      <c r="I11" s="302"/>
      <c r="J11" s="7" t="s">
        <v>32</v>
      </c>
      <c r="K11" s="297"/>
      <c r="L11" s="298"/>
      <c r="M11" s="298"/>
      <c r="N11" s="298"/>
      <c r="O11" s="299"/>
      <c r="Q11" s="61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07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55555000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-3.6323266700000002E-2</v>
      </c>
      <c r="N14" s="286"/>
      <c r="O14" s="287"/>
      <c r="Q14" s="278"/>
      <c r="R14" s="278"/>
      <c r="S14" s="278"/>
    </row>
    <row r="15" spans="1:19" ht="17.25" customHeight="1" thickBot="1">
      <c r="A15" s="303" t="s">
        <v>39</v>
      </c>
      <c r="B15" s="295" t="str">
        <f>TEXT($G$1, "[$-ko-KR]yyyy-mm-dd(ddd) ") &amp; "오전 00:00"</f>
        <v>2021-05-02(일) 오전 00:00</v>
      </c>
      <c r="C15" s="296"/>
      <c r="D15" s="292" t="str">
        <f>TEXT($G$1, "[$-ko-KR]yyyy-mm-dd(ddd) ") &amp; "오후 14:00"</f>
        <v>2021-05-02(일) 오후 14:00</v>
      </c>
      <c r="E15" s="293"/>
      <c r="F15" s="294"/>
      <c r="G15" s="292" t="str">
        <f>TEXT($G$1, "[$-ko-KR]yyyy-mm-dd(ddd) ") &amp; "오후 19:00"</f>
        <v>2021-05-02(일) 오후 19:00</v>
      </c>
      <c r="H15" s="293"/>
      <c r="I15" s="294"/>
      <c r="J15" s="292" t="str">
        <f>TEXT($G$1, "[$-ko-KR]yyyy-mm-dd(ddd) ") &amp; "오후 21:00"</f>
        <v>2021-05-02(일) 오후 21:00</v>
      </c>
      <c r="K15" s="293"/>
      <c r="L15" s="294"/>
      <c r="M15" s="292" t="str">
        <f>TEXT($G$1+1, "[$-ko-KR]yyyy-mm-dd(ddd) ") &amp; "오전 00:00"</f>
        <v>2021-05-03(월) 오전 00:00</v>
      </c>
      <c r="N15" s="293"/>
      <c r="O15" s="294"/>
      <c r="Q15" s="278"/>
      <c r="R15" s="278"/>
      <c r="S15" s="278"/>
    </row>
    <row r="16" spans="1:19" ht="17.25" customHeight="1" thickBot="1">
      <c r="A16" s="30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8"/>
      <c r="R16" s="268"/>
      <c r="S16" s="268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278"/>
      <c r="R17" s="278"/>
      <c r="S17" s="278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278"/>
      <c r="R18" s="278"/>
      <c r="S18" s="278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268"/>
      <c r="R19" s="268"/>
      <c r="S19" s="268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268"/>
      <c r="R20" s="268"/>
      <c r="S20" s="268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268"/>
      <c r="R21" s="268"/>
      <c r="S21" s="268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68"/>
      <c r="R22" s="268"/>
      <c r="S22" s="26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69"/>
      <c r="R26" s="270"/>
      <c r="S26" s="27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68"/>
      <c r="R32" s="268"/>
      <c r="S32" s="26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60"/>
      <c r="R36" s="261"/>
      <c r="S36" s="262"/>
    </row>
    <row r="37" spans="1:19" ht="17.25" customHeight="1" thickBot="1">
      <c r="A37" s="26" t="s">
        <v>42</v>
      </c>
      <c r="B37" s="266">
        <v>300000</v>
      </c>
      <c r="C37" s="267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07" t="s">
        <v>298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55555000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-3.6323266700000002E-2</v>
      </c>
      <c r="N41" s="286"/>
      <c r="O41" s="287"/>
      <c r="Q41" s="278"/>
      <c r="R41" s="278"/>
      <c r="S41" s="278"/>
    </row>
    <row r="42" spans="1:19" ht="17.25" customHeight="1" thickBot="1">
      <c r="A42" s="288" t="s">
        <v>55</v>
      </c>
      <c r="B42" s="290" t="str">
        <f>TEXT($G$1, "[$-ko-KR]yyyy-mm-dd(ddd) ") &amp; "오전 00:00"</f>
        <v>2021-05-02(일) 오전 00:00</v>
      </c>
      <c r="C42" s="291"/>
      <c r="D42" s="292" t="str">
        <f>TEXT($G$1, "[$-ko-KR]yyyy-mm-dd(ddd) ") &amp; "오후 14:00"</f>
        <v>2021-05-02(일) 오후 14:00</v>
      </c>
      <c r="E42" s="293"/>
      <c r="F42" s="294"/>
      <c r="G42" s="292" t="str">
        <f>TEXT($G$1, "[$-ko-KR]yyyy-mm-dd(ddd) ") &amp; "오후 19:00"</f>
        <v>2021-05-02(일) 오후 19:00</v>
      </c>
      <c r="H42" s="293"/>
      <c r="I42" s="294"/>
      <c r="J42" s="292" t="str">
        <f>TEXT($G$1, "[$-ko-KR]yyyy-mm-dd(ddd) ") &amp; "오후 21:00"</f>
        <v>2021-05-02(일) 오후 21:00</v>
      </c>
      <c r="K42" s="293"/>
      <c r="L42" s="294"/>
      <c r="M42" s="292" t="str">
        <f>TEXT($G$1+1, "[$-ko-KR]yyyy-mm-dd(ddd) ") &amp; "오전 00:00"</f>
        <v>2021-05-03(월) 오전 00:00</v>
      </c>
      <c r="N42" s="293"/>
      <c r="O42" s="294"/>
      <c r="Q42" s="278"/>
      <c r="R42" s="278"/>
      <c r="S42" s="278"/>
    </row>
    <row r="43" spans="1:19" ht="17.25" customHeight="1" thickBot="1">
      <c r="A43" s="28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8"/>
      <c r="R43" s="268"/>
      <c r="S43" s="268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278"/>
      <c r="R44" s="278"/>
      <c r="S44" s="278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278"/>
      <c r="R45" s="278"/>
      <c r="S45" s="278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268"/>
      <c r="R46" s="268"/>
      <c r="S46" s="268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268"/>
      <c r="R47" s="268"/>
      <c r="S47" s="268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268"/>
      <c r="R48" s="268"/>
      <c r="S48" s="268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268"/>
      <c r="R49" s="268"/>
      <c r="S49" s="268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268"/>
      <c r="R50" s="268"/>
      <c r="S50" s="268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268"/>
      <c r="R51" s="268"/>
      <c r="S51" s="268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269"/>
      <c r="R53" s="270"/>
      <c r="S53" s="271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72"/>
      <c r="R54" s="273"/>
      <c r="S54" s="274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75"/>
      <c r="R55" s="276"/>
      <c r="S55" s="277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268"/>
      <c r="R56" s="268"/>
      <c r="S56" s="268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278"/>
      <c r="R57" s="278"/>
      <c r="S57" s="278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278"/>
      <c r="R58" s="278"/>
      <c r="S58" s="278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268"/>
      <c r="R59" s="268"/>
      <c r="S59" s="268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268"/>
      <c r="R60" s="268"/>
      <c r="S60" s="268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268"/>
      <c r="R61" s="268"/>
      <c r="S61" s="268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57"/>
      <c r="R62" s="258"/>
      <c r="S62" s="25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0"/>
      <c r="R63" s="261"/>
      <c r="S63" s="262"/>
    </row>
    <row r="64" spans="1:19" ht="17.25" customHeight="1" thickBot="1">
      <c r="A64" s="26" t="s">
        <v>301</v>
      </c>
      <c r="B64" s="266">
        <f>$B$37</f>
        <v>300000</v>
      </c>
      <c r="C64" s="267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07" t="s">
        <v>298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55555000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-3.6323266700000002E-2</v>
      </c>
      <c r="N68" s="286"/>
      <c r="O68" s="287"/>
      <c r="Q68" s="278"/>
      <c r="R68" s="278"/>
      <c r="S68" s="278"/>
    </row>
    <row r="69" spans="1:19" ht="17.25" thickBot="1">
      <c r="A69" s="288" t="s">
        <v>55</v>
      </c>
      <c r="B69" s="290" t="str">
        <f>TEXT($G$1, "[$-ko-KR]yyyy-mm-dd(ddd) ") &amp; "오전 00:00"</f>
        <v>2021-05-02(일) 오전 00:00</v>
      </c>
      <c r="C69" s="291"/>
      <c r="D69" s="292" t="str">
        <f>TEXT($G$1, "[$-ko-KR]yyyy-mm-dd(ddd) ") &amp; "오후 14:00"</f>
        <v>2021-05-02(일) 오후 14:00</v>
      </c>
      <c r="E69" s="293"/>
      <c r="F69" s="294"/>
      <c r="G69" s="292" t="str">
        <f>TEXT($G$1, "[$-ko-KR]yyyy-mm-dd(ddd) ") &amp; "오후 19:00"</f>
        <v>2021-05-02(일) 오후 19:00</v>
      </c>
      <c r="H69" s="293"/>
      <c r="I69" s="294"/>
      <c r="J69" s="292" t="str">
        <f>TEXT($G$1, "[$-ko-KR]yyyy-mm-dd(ddd) ") &amp; "오후 21:00"</f>
        <v>2021-05-02(일) 오후 21:00</v>
      </c>
      <c r="K69" s="293"/>
      <c r="L69" s="294"/>
      <c r="M69" s="292" t="str">
        <f>TEXT($G$1+1, "[$-ko-KR]yyyy-mm-dd(ddd) ") &amp; "오전 00:00"</f>
        <v>2021-05-03(월) 오전 00:00</v>
      </c>
      <c r="N69" s="293"/>
      <c r="O69" s="294"/>
      <c r="Q69" s="278"/>
      <c r="R69" s="278"/>
      <c r="S69" s="278"/>
    </row>
    <row r="70" spans="1:19" ht="17.25" thickBot="1">
      <c r="A70" s="28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8"/>
      <c r="R70" s="268"/>
      <c r="S70" s="268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278"/>
      <c r="R71" s="278"/>
      <c r="S71" s="278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278"/>
      <c r="R72" s="278"/>
      <c r="S72" s="278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268"/>
      <c r="R73" s="268"/>
      <c r="S73" s="268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268"/>
      <c r="R74" s="268"/>
      <c r="S74" s="268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268"/>
      <c r="R75" s="268"/>
      <c r="S75" s="268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268"/>
      <c r="R76" s="268"/>
      <c r="S76" s="268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268"/>
      <c r="R77" s="268"/>
      <c r="S77" s="268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268"/>
      <c r="R78" s="268"/>
      <c r="S78" s="268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269"/>
      <c r="R80" s="270"/>
      <c r="S80" s="271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72"/>
      <c r="R81" s="273"/>
      <c r="S81" s="274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75"/>
      <c r="R82" s="276"/>
      <c r="S82" s="277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268"/>
      <c r="R83" s="268"/>
      <c r="S83" s="268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278"/>
      <c r="R84" s="278"/>
      <c r="S84" s="278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278"/>
      <c r="R85" s="278"/>
      <c r="S85" s="278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268"/>
      <c r="R86" s="268"/>
      <c r="S86" s="268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268"/>
      <c r="R87" s="268"/>
      <c r="S87" s="268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268"/>
      <c r="R88" s="268"/>
      <c r="S88" s="268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57"/>
      <c r="R89" s="258"/>
      <c r="S89" s="259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260"/>
      <c r="R90" s="261"/>
      <c r="S90" s="262"/>
    </row>
    <row r="91" spans="1:19" ht="17.25" thickBot="1">
      <c r="A91" s="26" t="s">
        <v>301</v>
      </c>
      <c r="B91" s="266">
        <f>$B$37</f>
        <v>300000</v>
      </c>
      <c r="C91" s="267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07" t="s">
        <v>298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55555000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-3.6323266700000002E-2</v>
      </c>
      <c r="N95" s="286"/>
      <c r="O95" s="287"/>
      <c r="Q95" s="278"/>
      <c r="R95" s="278"/>
      <c r="S95" s="278"/>
    </row>
    <row r="96" spans="1:19" ht="17.25" thickBot="1">
      <c r="A96" s="288" t="s">
        <v>55</v>
      </c>
      <c r="B96" s="290" t="str">
        <f>TEXT($G$1, "[$-ko-KR]yyyy-mm-dd(ddd) ") &amp; "오전 00:00"</f>
        <v>2021-05-02(일) 오전 00:00</v>
      </c>
      <c r="C96" s="291"/>
      <c r="D96" s="292" t="str">
        <f>TEXT($G$1, "[$-ko-KR]yyyy-mm-dd(ddd) ") &amp; "오후 14:00"</f>
        <v>2021-05-02(일) 오후 14:00</v>
      </c>
      <c r="E96" s="293"/>
      <c r="F96" s="294"/>
      <c r="G96" s="292" t="str">
        <f>TEXT($G$1, "[$-ko-KR]yyyy-mm-dd(ddd) ") &amp; "오후 19:00"</f>
        <v>2021-05-02(일) 오후 19:00</v>
      </c>
      <c r="H96" s="293"/>
      <c r="I96" s="294"/>
      <c r="J96" s="292" t="str">
        <f>TEXT($G$1, "[$-ko-KR]yyyy-mm-dd(ddd) ") &amp; "오후 21:00"</f>
        <v>2021-05-02(일) 오후 21:00</v>
      </c>
      <c r="K96" s="293"/>
      <c r="L96" s="294"/>
      <c r="M96" s="292" t="str">
        <f>TEXT($G$1+1, "[$-ko-KR]yyyy-mm-dd(ddd) ") &amp; "오전 00:00"</f>
        <v>2021-05-03(월) 오전 00:00</v>
      </c>
      <c r="N96" s="293"/>
      <c r="O96" s="294"/>
      <c r="Q96" s="278"/>
      <c r="R96" s="278"/>
      <c r="S96" s="278"/>
    </row>
    <row r="97" spans="1:19" ht="17.25" thickBot="1">
      <c r="A97" s="28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8"/>
      <c r="R97" s="268"/>
      <c r="S97" s="268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278"/>
      <c r="R98" s="278"/>
      <c r="S98" s="278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278"/>
      <c r="R99" s="278"/>
      <c r="S99" s="278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268"/>
      <c r="R100" s="268"/>
      <c r="S100" s="268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268"/>
      <c r="R101" s="268"/>
      <c r="S101" s="268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268"/>
      <c r="R102" s="268"/>
      <c r="S102" s="268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268"/>
      <c r="R103" s="268"/>
      <c r="S103" s="268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268"/>
      <c r="R104" s="268"/>
      <c r="S104" s="268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268"/>
      <c r="R105" s="268"/>
      <c r="S105" s="268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269"/>
      <c r="R107" s="270"/>
      <c r="S107" s="271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72"/>
      <c r="R108" s="273"/>
      <c r="S108" s="274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75"/>
      <c r="R109" s="276"/>
      <c r="S109" s="277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268"/>
      <c r="R110" s="268"/>
      <c r="S110" s="268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278"/>
      <c r="R111" s="278"/>
      <c r="S111" s="278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278"/>
      <c r="R112" s="278"/>
      <c r="S112" s="278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268"/>
      <c r="R113" s="268"/>
      <c r="S113" s="268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268"/>
      <c r="R114" s="268"/>
      <c r="S114" s="268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268"/>
      <c r="R115" s="268"/>
      <c r="S115" s="268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57"/>
      <c r="R116" s="258"/>
      <c r="S116" s="259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260"/>
      <c r="R117" s="261"/>
      <c r="S117" s="262"/>
    </row>
    <row r="118" spans="1:19" ht="17.25" thickBot="1">
      <c r="A118" s="26" t="s">
        <v>301</v>
      </c>
      <c r="B118" s="266">
        <f>$B$37</f>
        <v>300000</v>
      </c>
      <c r="C118" s="267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263"/>
      <c r="R118" s="264"/>
      <c r="S118" s="265"/>
    </row>
    <row r="120" spans="1:19" ht="17.25" thickBot="1"/>
    <row r="121" spans="1:19" ht="17.25" thickBot="1">
      <c r="A121" s="279" t="s">
        <v>288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07" t="s">
        <v>298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55555000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-3.6323266700000002E-2</v>
      </c>
      <c r="N122" s="286"/>
      <c r="O122" s="287"/>
      <c r="Q122" s="278"/>
      <c r="R122" s="278"/>
      <c r="S122" s="278"/>
    </row>
    <row r="123" spans="1:19" ht="17.25" thickBot="1">
      <c r="A123" s="288" t="s">
        <v>55</v>
      </c>
      <c r="B123" s="290" t="str">
        <f>TEXT($G$1, "[$-ko-KR]yyyy-mm-dd(ddd) ") &amp; "오전 00:00"</f>
        <v>2021-05-02(일) 오전 00:00</v>
      </c>
      <c r="C123" s="291"/>
      <c r="D123" s="292" t="str">
        <f>TEXT($G$1, "[$-ko-KR]yyyy-mm-dd(ddd) ") &amp; "오후 14:00"</f>
        <v>2021-05-02(일) 오후 14:00</v>
      </c>
      <c r="E123" s="293"/>
      <c r="F123" s="294"/>
      <c r="G123" s="292" t="str">
        <f>TEXT($G$1, "[$-ko-KR]yyyy-mm-dd(ddd) ") &amp; "오후 19:00"</f>
        <v>2021-05-02(일) 오후 19:00</v>
      </c>
      <c r="H123" s="293"/>
      <c r="I123" s="294"/>
      <c r="J123" s="292" t="str">
        <f>TEXT($G$1, "[$-ko-KR]yyyy-mm-dd(ddd) ") &amp; "오후 21:00"</f>
        <v>2021-05-02(일) 오후 21:00</v>
      </c>
      <c r="K123" s="293"/>
      <c r="L123" s="294"/>
      <c r="M123" s="292" t="str">
        <f>TEXT($G$1+1, "[$-ko-KR]yyyy-mm-dd(ddd) ") &amp; "오전 00:00"</f>
        <v>2021-05-03(월) 오전 00:00</v>
      </c>
      <c r="N123" s="293"/>
      <c r="O123" s="294"/>
      <c r="Q123" s="278"/>
      <c r="R123" s="278"/>
      <c r="S123" s="278"/>
    </row>
    <row r="124" spans="1:19" ht="17.25" thickBot="1">
      <c r="A124" s="28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8"/>
      <c r="R124" s="268"/>
      <c r="S124" s="268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278"/>
      <c r="R125" s="278"/>
      <c r="S125" s="278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278"/>
      <c r="R126" s="278"/>
      <c r="S126" s="278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268"/>
      <c r="R127" s="268"/>
      <c r="S127" s="268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268"/>
      <c r="R128" s="268"/>
      <c r="S128" s="268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268"/>
      <c r="R129" s="268"/>
      <c r="S129" s="268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268"/>
      <c r="R130" s="268"/>
      <c r="S130" s="268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268"/>
      <c r="R131" s="268"/>
      <c r="S131" s="268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268"/>
      <c r="R132" s="268"/>
      <c r="S132" s="268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269"/>
      <c r="R134" s="270"/>
      <c r="S134" s="271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72"/>
      <c r="R135" s="273"/>
      <c r="S135" s="274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75"/>
      <c r="R136" s="276"/>
      <c r="S136" s="277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268"/>
      <c r="R137" s="268"/>
      <c r="S137" s="268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278"/>
      <c r="R138" s="278"/>
      <c r="S138" s="278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278"/>
      <c r="R139" s="278"/>
      <c r="S139" s="278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268"/>
      <c r="R140" s="268"/>
      <c r="S140" s="268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268"/>
      <c r="R141" s="268"/>
      <c r="S141" s="268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268"/>
      <c r="R142" s="268"/>
      <c r="S142" s="268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57"/>
      <c r="R143" s="258"/>
      <c r="S143" s="25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0"/>
      <c r="R144" s="261"/>
      <c r="S144" s="262"/>
    </row>
    <row r="145" spans="1:19" ht="17.25" thickBot="1">
      <c r="A145" s="26" t="s">
        <v>301</v>
      </c>
      <c r="B145" s="266">
        <f>$B$37</f>
        <v>300000</v>
      </c>
      <c r="C145" s="267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263"/>
      <c r="R145" s="264"/>
      <c r="S145" s="265"/>
    </row>
    <row r="147" spans="1:19" ht="17.25" thickBot="1"/>
    <row r="148" spans="1:19" ht="17.25" thickBot="1">
      <c r="A148" s="279" t="s">
        <v>289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07" t="s">
        <v>298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55555000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-3.6323266700000002E-2</v>
      </c>
      <c r="N149" s="286"/>
      <c r="O149" s="287"/>
      <c r="Q149" s="278"/>
      <c r="R149" s="278"/>
      <c r="S149" s="278"/>
    </row>
    <row r="150" spans="1:19" ht="17.25" thickBot="1">
      <c r="A150" s="288" t="s">
        <v>55</v>
      </c>
      <c r="B150" s="290" t="str">
        <f>TEXT($G$1, "[$-ko-KR]yyyy-mm-dd(ddd) ") &amp; "오전 00:00"</f>
        <v>2021-05-02(일) 오전 00:00</v>
      </c>
      <c r="C150" s="291"/>
      <c r="D150" s="292" t="str">
        <f>TEXT($G$1, "[$-ko-KR]yyyy-mm-dd(ddd) ") &amp; "오후 14:00"</f>
        <v>2021-05-02(일) 오후 14:00</v>
      </c>
      <c r="E150" s="293"/>
      <c r="F150" s="294"/>
      <c r="G150" s="292" t="str">
        <f>TEXT($G$1, "[$-ko-KR]yyyy-mm-dd(ddd) ") &amp; "오후 19:00"</f>
        <v>2021-05-02(일) 오후 19:00</v>
      </c>
      <c r="H150" s="293"/>
      <c r="I150" s="294"/>
      <c r="J150" s="292" t="str">
        <f>TEXT($G$1, "[$-ko-KR]yyyy-mm-dd(ddd) ") &amp; "오후 21:00"</f>
        <v>2021-05-02(일) 오후 21:00</v>
      </c>
      <c r="K150" s="293"/>
      <c r="L150" s="294"/>
      <c r="M150" s="292" t="str">
        <f>TEXT($G$1+1, "[$-ko-KR]yyyy-mm-dd(ddd) ") &amp; "오전 00:00"</f>
        <v>2021-05-03(월) 오전 00:00</v>
      </c>
      <c r="N150" s="293"/>
      <c r="O150" s="294"/>
      <c r="Q150" s="278"/>
      <c r="R150" s="278"/>
      <c r="S150" s="278"/>
    </row>
    <row r="151" spans="1:19" ht="17.25" thickBot="1">
      <c r="A151" s="28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8"/>
      <c r="R151" s="268"/>
      <c r="S151" s="268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278"/>
      <c r="R152" s="278"/>
      <c r="S152" s="278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278"/>
      <c r="R153" s="278"/>
      <c r="S153" s="278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268"/>
      <c r="R154" s="268"/>
      <c r="S154" s="268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268"/>
      <c r="R155" s="268"/>
      <c r="S155" s="268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268"/>
      <c r="R156" s="268"/>
      <c r="S156" s="268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268"/>
      <c r="R157" s="268"/>
      <c r="S157" s="268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268"/>
      <c r="R158" s="268"/>
      <c r="S158" s="268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268"/>
      <c r="R159" s="268"/>
      <c r="S159" s="268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269"/>
      <c r="R161" s="270"/>
      <c r="S161" s="271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72"/>
      <c r="R162" s="273"/>
      <c r="S162" s="274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75"/>
      <c r="R163" s="276"/>
      <c r="S163" s="277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268"/>
      <c r="R164" s="268"/>
      <c r="S164" s="268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278"/>
      <c r="R165" s="278"/>
      <c r="S165" s="278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278"/>
      <c r="R166" s="278"/>
      <c r="S166" s="278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268"/>
      <c r="R167" s="268"/>
      <c r="S167" s="268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268"/>
      <c r="R168" s="268"/>
      <c r="S168" s="268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268"/>
      <c r="R169" s="268"/>
      <c r="S169" s="268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57"/>
      <c r="R170" s="258"/>
      <c r="S170" s="259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260"/>
      <c r="R171" s="261"/>
      <c r="S171" s="262"/>
    </row>
    <row r="172" spans="1:19" ht="17.25" thickBot="1">
      <c r="A172" s="26" t="s">
        <v>301</v>
      </c>
      <c r="B172" s="266">
        <f>$B$37</f>
        <v>300000</v>
      </c>
      <c r="C172" s="267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263"/>
      <c r="R172" s="264"/>
      <c r="S172" s="265"/>
    </row>
    <row r="174" spans="1:19" ht="17.25" thickBot="1"/>
    <row r="175" spans="1:19" ht="17.25" thickBot="1">
      <c r="A175" s="279" t="s">
        <v>285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07" t="s">
        <v>298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55555000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-3.6323266700000002E-2</v>
      </c>
      <c r="N176" s="286"/>
      <c r="O176" s="287"/>
      <c r="Q176" s="278"/>
      <c r="R176" s="278"/>
      <c r="S176" s="278"/>
    </row>
    <row r="177" spans="1:19" ht="17.25" thickBot="1">
      <c r="A177" s="288" t="s">
        <v>55</v>
      </c>
      <c r="B177" s="290" t="str">
        <f>TEXT($G$1, "[$-ko-KR]yyyy-mm-dd(ddd) ") &amp; "오전 00:00"</f>
        <v>2021-05-02(일) 오전 00:00</v>
      </c>
      <c r="C177" s="291"/>
      <c r="D177" s="292" t="str">
        <f>TEXT($G$1, "[$-ko-KR]yyyy-mm-dd(ddd) ") &amp; "오후 14:00"</f>
        <v>2021-05-02(일) 오후 14:00</v>
      </c>
      <c r="E177" s="293"/>
      <c r="F177" s="294"/>
      <c r="G177" s="292" t="str">
        <f>TEXT($G$1, "[$-ko-KR]yyyy-mm-dd(ddd) ") &amp; "오후 19:00"</f>
        <v>2021-05-02(일) 오후 19:00</v>
      </c>
      <c r="H177" s="293"/>
      <c r="I177" s="294"/>
      <c r="J177" s="292" t="str">
        <f>TEXT($G$1, "[$-ko-KR]yyyy-mm-dd(ddd) ") &amp; "오후 21:00"</f>
        <v>2021-05-02(일) 오후 21:00</v>
      </c>
      <c r="K177" s="293"/>
      <c r="L177" s="294"/>
      <c r="M177" s="292" t="str">
        <f>TEXT($G$1+1, "[$-ko-KR]yyyy-mm-dd(ddd) ") &amp; "오전 00:00"</f>
        <v>2021-05-03(월) 오전 00:00</v>
      </c>
      <c r="N177" s="293"/>
      <c r="O177" s="294"/>
      <c r="Q177" s="278"/>
      <c r="R177" s="278"/>
      <c r="S177" s="278"/>
    </row>
    <row r="178" spans="1:19" ht="17.25" thickBot="1">
      <c r="A178" s="28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8"/>
      <c r="R178" s="268"/>
      <c r="S178" s="268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278"/>
      <c r="R179" s="278"/>
      <c r="S179" s="278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278"/>
      <c r="R180" s="278"/>
      <c r="S180" s="278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268"/>
      <c r="R181" s="268"/>
      <c r="S181" s="268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268"/>
      <c r="R182" s="268"/>
      <c r="S182" s="268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268"/>
      <c r="R183" s="268"/>
      <c r="S183" s="268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268"/>
      <c r="R184" s="268"/>
      <c r="S184" s="268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268"/>
      <c r="R185" s="268"/>
      <c r="S185" s="268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268"/>
      <c r="R186" s="268"/>
      <c r="S186" s="268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269"/>
      <c r="R188" s="270"/>
      <c r="S188" s="271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72"/>
      <c r="R189" s="273"/>
      <c r="S189" s="274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75"/>
      <c r="R190" s="276"/>
      <c r="S190" s="277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268"/>
      <c r="R191" s="268"/>
      <c r="S191" s="268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278"/>
      <c r="R192" s="278"/>
      <c r="S192" s="278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278"/>
      <c r="R193" s="278"/>
      <c r="S193" s="278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268"/>
      <c r="R194" s="268"/>
      <c r="S194" s="268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268"/>
      <c r="R195" s="268"/>
      <c r="S195" s="268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268"/>
      <c r="R196" s="268"/>
      <c r="S196" s="268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57"/>
      <c r="R197" s="258"/>
      <c r="S197" s="259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260"/>
      <c r="R198" s="261"/>
      <c r="S198" s="262"/>
    </row>
    <row r="199" spans="1:19" ht="17.25" thickBot="1">
      <c r="A199" s="26" t="s">
        <v>301</v>
      </c>
      <c r="B199" s="266">
        <f>$B$37</f>
        <v>300000</v>
      </c>
      <c r="C199" s="267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44319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" t="s">
        <v>3</v>
      </c>
      <c r="B2" s="313" t="s">
        <v>4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5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4" t="s">
        <v>7</v>
      </c>
      <c r="B3" s="304" t="s">
        <v>8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301"/>
      <c r="I3" s="302"/>
      <c r="J3" s="4" t="s">
        <v>7</v>
      </c>
      <c r="K3" s="304" t="s">
        <v>9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04" t="s">
        <v>12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13</v>
      </c>
      <c r="L4" s="305"/>
      <c r="M4" s="305"/>
      <c r="N4" s="305"/>
      <c r="O4" s="306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04" t="s">
        <v>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301"/>
      <c r="I5" s="302"/>
      <c r="J5" s="4" t="s">
        <v>15</v>
      </c>
      <c r="K5" s="304" t="s">
        <v>17</v>
      </c>
      <c r="L5" s="305"/>
      <c r="M5" s="305"/>
      <c r="N5" s="305"/>
      <c r="O5" s="306"/>
    </row>
    <row r="6" spans="1:19">
      <c r="A6" s="4" t="s">
        <v>18</v>
      </c>
      <c r="B6" s="304" t="s">
        <v>19</v>
      </c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20</v>
      </c>
      <c r="L6" s="305"/>
      <c r="M6" s="305"/>
      <c r="N6" s="305"/>
      <c r="O6" s="306"/>
    </row>
    <row r="7" spans="1:19" ht="17.25" thickBot="1">
      <c r="A7" s="4" t="s">
        <v>21</v>
      </c>
      <c r="B7" s="304" t="s">
        <v>22</v>
      </c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301"/>
      <c r="I7" s="302"/>
      <c r="J7" s="4" t="s">
        <v>21</v>
      </c>
      <c r="K7" s="304" t="s">
        <v>23</v>
      </c>
      <c r="L7" s="305"/>
      <c r="M7" s="305"/>
      <c r="N7" s="305"/>
      <c r="O7" s="306"/>
    </row>
    <row r="8" spans="1:19" ht="17.25" thickBot="1">
      <c r="A8" s="4" t="s">
        <v>24</v>
      </c>
      <c r="B8" s="304" t="s">
        <v>25</v>
      </c>
      <c r="C8" s="305"/>
      <c r="D8" s="305"/>
      <c r="E8" s="305"/>
      <c r="F8" s="306"/>
      <c r="G8" s="307" t="s">
        <v>285</v>
      </c>
      <c r="H8" s="308"/>
      <c r="I8" s="309"/>
      <c r="J8" s="4" t="s">
        <v>24</v>
      </c>
      <c r="K8" s="304" t="s">
        <v>26</v>
      </c>
      <c r="L8" s="305"/>
      <c r="M8" s="305"/>
      <c r="N8" s="305"/>
      <c r="O8" s="306"/>
      <c r="Q8" s="279" t="s">
        <v>27</v>
      </c>
      <c r="R8" s="281"/>
    </row>
    <row r="9" spans="1:19" ht="17.25" thickBot="1">
      <c r="A9" s="4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301"/>
      <c r="I9" s="302"/>
      <c r="J9" s="4" t="s">
        <v>28</v>
      </c>
      <c r="K9" s="304" t="s">
        <v>293</v>
      </c>
      <c r="L9" s="305"/>
      <c r="M9" s="305"/>
      <c r="N9" s="305"/>
      <c r="O9" s="306"/>
      <c r="Q9" s="2" t="s">
        <v>29</v>
      </c>
      <c r="R9" s="6">
        <v>10</v>
      </c>
    </row>
    <row r="10" spans="1:19">
      <c r="A10" s="4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/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7" t="s">
        <v>32</v>
      </c>
      <c r="B11" s="297"/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301"/>
      <c r="I11" s="302"/>
      <c r="J11" s="7" t="s">
        <v>32</v>
      </c>
      <c r="K11" s="297"/>
      <c r="L11" s="298"/>
      <c r="M11" s="298"/>
      <c r="N11" s="298"/>
      <c r="O11" s="299"/>
      <c r="Q11" s="61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07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55555000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-3.6323266700000002E-2</v>
      </c>
      <c r="N14" s="286"/>
      <c r="O14" s="287"/>
      <c r="Q14" s="278"/>
      <c r="R14" s="278"/>
      <c r="S14" s="278"/>
    </row>
    <row r="15" spans="1:19" ht="17.25" customHeight="1" thickBot="1">
      <c r="A15" s="303" t="s">
        <v>39</v>
      </c>
      <c r="B15" s="295" t="str">
        <f>TEXT($G$1, "[$-ko-KR]yyyy-mm-dd(ddd) ") &amp; "오전 00:00"</f>
        <v>2021-05-03(월) 오전 00:00</v>
      </c>
      <c r="C15" s="296"/>
      <c r="D15" s="292" t="str">
        <f>TEXT($G$1, "[$-ko-KR]yyyy-mm-dd(ddd) ") &amp; "오후 14:00"</f>
        <v>2021-05-03(월) 오후 14:00</v>
      </c>
      <c r="E15" s="293"/>
      <c r="F15" s="294"/>
      <c r="G15" s="292" t="str">
        <f>TEXT($G$1, "[$-ko-KR]yyyy-mm-dd(ddd) ") &amp; "오후 19:00"</f>
        <v>2021-05-03(월) 오후 19:00</v>
      </c>
      <c r="H15" s="293"/>
      <c r="I15" s="294"/>
      <c r="J15" s="292" t="str">
        <f>TEXT($G$1, "[$-ko-KR]yyyy-mm-dd(ddd) ") &amp; "오후 21:00"</f>
        <v>2021-05-03(월) 오후 21:00</v>
      </c>
      <c r="K15" s="293"/>
      <c r="L15" s="294"/>
      <c r="M15" s="292" t="str">
        <f>TEXT($G$1+1, "[$-ko-KR]yyyy-mm-dd(ddd) ") &amp; "오전 00:00"</f>
        <v>2021-05-04(화) 오전 00:00</v>
      </c>
      <c r="N15" s="293"/>
      <c r="O15" s="294"/>
      <c r="Q15" s="278"/>
      <c r="R15" s="278"/>
      <c r="S15" s="278"/>
    </row>
    <row r="16" spans="1:19" ht="17.25" customHeight="1" thickBot="1">
      <c r="A16" s="30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8"/>
      <c r="R16" s="268"/>
      <c r="S16" s="268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278"/>
      <c r="R17" s="278"/>
      <c r="S17" s="278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278"/>
      <c r="R18" s="278"/>
      <c r="S18" s="278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268"/>
      <c r="R19" s="268"/>
      <c r="S19" s="268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268"/>
      <c r="R20" s="268"/>
      <c r="S20" s="268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268"/>
      <c r="R21" s="268"/>
      <c r="S21" s="268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68"/>
      <c r="R22" s="268"/>
      <c r="S22" s="26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69"/>
      <c r="R26" s="270"/>
      <c r="S26" s="27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68"/>
      <c r="R32" s="268"/>
      <c r="S32" s="26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60"/>
      <c r="R36" s="261"/>
      <c r="S36" s="262"/>
    </row>
    <row r="37" spans="1:19" ht="17.25" customHeight="1" thickBot="1">
      <c r="A37" s="26" t="s">
        <v>42</v>
      </c>
      <c r="B37" s="266">
        <v>300000</v>
      </c>
      <c r="C37" s="267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07" t="s">
        <v>298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55555000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-3.6323266700000002E-2</v>
      </c>
      <c r="N41" s="286"/>
      <c r="O41" s="287"/>
      <c r="Q41" s="278"/>
      <c r="R41" s="278"/>
      <c r="S41" s="278"/>
    </row>
    <row r="42" spans="1:19" ht="17.25" customHeight="1" thickBot="1">
      <c r="A42" s="288" t="s">
        <v>55</v>
      </c>
      <c r="B42" s="290" t="str">
        <f>TEXT($G$1, "[$-ko-KR]yyyy-mm-dd(ddd) ") &amp; "오전 00:00"</f>
        <v>2021-05-03(월) 오전 00:00</v>
      </c>
      <c r="C42" s="291"/>
      <c r="D42" s="292" t="str">
        <f>TEXT($G$1, "[$-ko-KR]yyyy-mm-dd(ddd) ") &amp; "오후 14:00"</f>
        <v>2021-05-03(월) 오후 14:00</v>
      </c>
      <c r="E42" s="293"/>
      <c r="F42" s="294"/>
      <c r="G42" s="292" t="str">
        <f>TEXT($G$1, "[$-ko-KR]yyyy-mm-dd(ddd) ") &amp; "오후 19:00"</f>
        <v>2021-05-03(월) 오후 19:00</v>
      </c>
      <c r="H42" s="293"/>
      <c r="I42" s="294"/>
      <c r="J42" s="292" t="str">
        <f>TEXT($G$1, "[$-ko-KR]yyyy-mm-dd(ddd) ") &amp; "오후 21:00"</f>
        <v>2021-05-03(월) 오후 21:00</v>
      </c>
      <c r="K42" s="293"/>
      <c r="L42" s="294"/>
      <c r="M42" s="292" t="str">
        <f>TEXT($G$1+1, "[$-ko-KR]yyyy-mm-dd(ddd) ") &amp; "오전 00:00"</f>
        <v>2021-05-04(화) 오전 00:00</v>
      </c>
      <c r="N42" s="293"/>
      <c r="O42" s="294"/>
      <c r="Q42" s="278"/>
      <c r="R42" s="278"/>
      <c r="S42" s="278"/>
    </row>
    <row r="43" spans="1:19" ht="17.25" customHeight="1" thickBot="1">
      <c r="A43" s="289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8"/>
      <c r="R43" s="268"/>
      <c r="S43" s="268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278"/>
      <c r="R44" s="278"/>
      <c r="S44" s="278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278"/>
      <c r="R45" s="278"/>
      <c r="S45" s="278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268"/>
      <c r="R46" s="268"/>
      <c r="S46" s="268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268"/>
      <c r="R47" s="268"/>
      <c r="S47" s="268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268"/>
      <c r="R48" s="268"/>
      <c r="S48" s="268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268"/>
      <c r="R49" s="268"/>
      <c r="S49" s="268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268"/>
      <c r="R50" s="268"/>
      <c r="S50" s="268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268"/>
      <c r="R51" s="268"/>
      <c r="S51" s="268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269"/>
      <c r="R53" s="270"/>
      <c r="S53" s="271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72"/>
      <c r="R54" s="273"/>
      <c r="S54" s="274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75"/>
      <c r="R55" s="276"/>
      <c r="S55" s="277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268"/>
      <c r="R56" s="268"/>
      <c r="S56" s="268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278"/>
      <c r="R57" s="278"/>
      <c r="S57" s="278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278"/>
      <c r="R58" s="278"/>
      <c r="S58" s="278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268"/>
      <c r="R59" s="268"/>
      <c r="S59" s="268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268"/>
      <c r="R60" s="268"/>
      <c r="S60" s="268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268"/>
      <c r="R61" s="268"/>
      <c r="S61" s="268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0"/>
      <c r="R63" s="261"/>
      <c r="S63" s="262"/>
    </row>
    <row r="64" spans="1:19" ht="17.25" customHeight="1" thickBot="1">
      <c r="A64" s="26" t="s">
        <v>301</v>
      </c>
      <c r="B64" s="266">
        <f>$B$37</f>
        <v>300000</v>
      </c>
      <c r="C64" s="267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07" t="s">
        <v>298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55555000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-3.6323266700000002E-2</v>
      </c>
      <c r="N68" s="286"/>
      <c r="O68" s="287"/>
      <c r="Q68" s="278"/>
      <c r="R68" s="278"/>
      <c r="S68" s="278"/>
    </row>
    <row r="69" spans="1:19" ht="17.25" thickBot="1">
      <c r="A69" s="288" t="s">
        <v>55</v>
      </c>
      <c r="B69" s="290" t="str">
        <f>TEXT($G$1, "[$-ko-KR]yyyy-mm-dd(ddd) ") &amp; "오전 00:00"</f>
        <v>2021-05-03(월) 오전 00:00</v>
      </c>
      <c r="C69" s="291"/>
      <c r="D69" s="292" t="str">
        <f>TEXT($G$1, "[$-ko-KR]yyyy-mm-dd(ddd) ") &amp; "오후 14:00"</f>
        <v>2021-05-03(월) 오후 14:00</v>
      </c>
      <c r="E69" s="293"/>
      <c r="F69" s="294"/>
      <c r="G69" s="292" t="str">
        <f>TEXT($G$1, "[$-ko-KR]yyyy-mm-dd(ddd) ") &amp; "오후 19:00"</f>
        <v>2021-05-03(월) 오후 19:00</v>
      </c>
      <c r="H69" s="293"/>
      <c r="I69" s="294"/>
      <c r="J69" s="292" t="str">
        <f>TEXT($G$1, "[$-ko-KR]yyyy-mm-dd(ddd) ") &amp; "오후 21:00"</f>
        <v>2021-05-03(월) 오후 21:00</v>
      </c>
      <c r="K69" s="293"/>
      <c r="L69" s="294"/>
      <c r="M69" s="292" t="str">
        <f>TEXT($G$1+1, "[$-ko-KR]yyyy-mm-dd(ddd) ") &amp; "오전 00:00"</f>
        <v>2021-05-04(화) 오전 00:00</v>
      </c>
      <c r="N69" s="293"/>
      <c r="O69" s="294"/>
      <c r="Q69" s="278"/>
      <c r="R69" s="278"/>
      <c r="S69" s="278"/>
    </row>
    <row r="70" spans="1:19" ht="17.25" thickBot="1">
      <c r="A70" s="289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8"/>
      <c r="R70" s="268"/>
      <c r="S70" s="268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278"/>
      <c r="R71" s="278"/>
      <c r="S71" s="278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278"/>
      <c r="R72" s="278"/>
      <c r="S72" s="278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268"/>
      <c r="R73" s="268"/>
      <c r="S73" s="268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268"/>
      <c r="R74" s="268"/>
      <c r="S74" s="268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268"/>
      <c r="R75" s="268"/>
      <c r="S75" s="268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268"/>
      <c r="R76" s="268"/>
      <c r="S76" s="268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268"/>
      <c r="R77" s="268"/>
      <c r="S77" s="268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268"/>
      <c r="R78" s="268"/>
      <c r="S78" s="268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269"/>
      <c r="R80" s="270"/>
      <c r="S80" s="271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72"/>
      <c r="R81" s="273"/>
      <c r="S81" s="274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75"/>
      <c r="R82" s="276"/>
      <c r="S82" s="277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268"/>
      <c r="R83" s="268"/>
      <c r="S83" s="268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278"/>
      <c r="R84" s="278"/>
      <c r="S84" s="278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278"/>
      <c r="R85" s="278"/>
      <c r="S85" s="278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268"/>
      <c r="R86" s="268"/>
      <c r="S86" s="268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268"/>
      <c r="R87" s="268"/>
      <c r="S87" s="268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268"/>
      <c r="R88" s="268"/>
      <c r="S88" s="268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57"/>
      <c r="R89" s="258"/>
      <c r="S89" s="259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260"/>
      <c r="R90" s="261"/>
      <c r="S90" s="262"/>
    </row>
    <row r="91" spans="1:19" ht="17.25" thickBot="1">
      <c r="A91" s="26" t="s">
        <v>301</v>
      </c>
      <c r="B91" s="266">
        <f>$B$37</f>
        <v>300000</v>
      </c>
      <c r="C91" s="267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07" t="s">
        <v>298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55555000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-3.6323266700000002E-2</v>
      </c>
      <c r="N95" s="286"/>
      <c r="O95" s="287"/>
      <c r="Q95" s="278"/>
      <c r="R95" s="278"/>
      <c r="S95" s="278"/>
    </row>
    <row r="96" spans="1:19" ht="17.25" thickBot="1">
      <c r="A96" s="288" t="s">
        <v>55</v>
      </c>
      <c r="B96" s="290" t="str">
        <f>TEXT($G$1, "[$-ko-KR]yyyy-mm-dd(ddd) ") &amp; "오전 00:00"</f>
        <v>2021-05-03(월) 오전 00:00</v>
      </c>
      <c r="C96" s="291"/>
      <c r="D96" s="292" t="str">
        <f>TEXT($G$1, "[$-ko-KR]yyyy-mm-dd(ddd) ") &amp; "오후 14:00"</f>
        <v>2021-05-03(월) 오후 14:00</v>
      </c>
      <c r="E96" s="293"/>
      <c r="F96" s="294"/>
      <c r="G96" s="292" t="str">
        <f>TEXT($G$1, "[$-ko-KR]yyyy-mm-dd(ddd) ") &amp; "오후 19:00"</f>
        <v>2021-05-03(월) 오후 19:00</v>
      </c>
      <c r="H96" s="293"/>
      <c r="I96" s="294"/>
      <c r="J96" s="292" t="str">
        <f>TEXT($G$1, "[$-ko-KR]yyyy-mm-dd(ddd) ") &amp; "오후 21:00"</f>
        <v>2021-05-03(월) 오후 21:00</v>
      </c>
      <c r="K96" s="293"/>
      <c r="L96" s="294"/>
      <c r="M96" s="292" t="str">
        <f>TEXT($G$1+1, "[$-ko-KR]yyyy-mm-dd(ddd) ") &amp; "오전 00:00"</f>
        <v>2021-05-04(화) 오전 00:00</v>
      </c>
      <c r="N96" s="293"/>
      <c r="O96" s="294"/>
      <c r="Q96" s="278"/>
      <c r="R96" s="278"/>
      <c r="S96" s="278"/>
    </row>
    <row r="97" spans="1:19" ht="17.25" thickBot="1">
      <c r="A97" s="289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8"/>
      <c r="R97" s="268"/>
      <c r="S97" s="268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278"/>
      <c r="R98" s="278"/>
      <c r="S98" s="278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278"/>
      <c r="R99" s="278"/>
      <c r="S99" s="278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268"/>
      <c r="R100" s="268"/>
      <c r="S100" s="268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268"/>
      <c r="R101" s="268"/>
      <c r="S101" s="268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268"/>
      <c r="R102" s="268"/>
      <c r="S102" s="268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268"/>
      <c r="R103" s="268"/>
      <c r="S103" s="268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268"/>
      <c r="R104" s="268"/>
      <c r="S104" s="268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268"/>
      <c r="R105" s="268"/>
      <c r="S105" s="268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269"/>
      <c r="R107" s="270"/>
      <c r="S107" s="271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72"/>
      <c r="R108" s="273"/>
      <c r="S108" s="274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75"/>
      <c r="R109" s="276"/>
      <c r="S109" s="277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268"/>
      <c r="R110" s="268"/>
      <c r="S110" s="268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278"/>
      <c r="R111" s="278"/>
      <c r="S111" s="278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278"/>
      <c r="R112" s="278"/>
      <c r="S112" s="278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268"/>
      <c r="R113" s="268"/>
      <c r="S113" s="268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268"/>
      <c r="R114" s="268"/>
      <c r="S114" s="268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268"/>
      <c r="R115" s="268"/>
      <c r="S115" s="268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57"/>
      <c r="R116" s="258"/>
      <c r="S116" s="259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260"/>
      <c r="R117" s="261"/>
      <c r="S117" s="262"/>
    </row>
    <row r="118" spans="1:19" ht="17.25" thickBot="1">
      <c r="A118" s="26" t="s">
        <v>301</v>
      </c>
      <c r="B118" s="266">
        <f>$B$37</f>
        <v>300000</v>
      </c>
      <c r="C118" s="267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263"/>
      <c r="R118" s="264"/>
      <c r="S118" s="265"/>
    </row>
    <row r="120" spans="1:19" ht="17.25" thickBot="1"/>
    <row r="121" spans="1:19" ht="17.25" thickBot="1">
      <c r="A121" s="279" t="s">
        <v>288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07" t="s">
        <v>298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55555000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-3.6323266700000002E-2</v>
      </c>
      <c r="N122" s="286"/>
      <c r="O122" s="287"/>
      <c r="Q122" s="278"/>
      <c r="R122" s="278"/>
      <c r="S122" s="278"/>
    </row>
    <row r="123" spans="1:19" ht="17.25" thickBot="1">
      <c r="A123" s="288" t="s">
        <v>55</v>
      </c>
      <c r="B123" s="290" t="str">
        <f>TEXT($G$1, "[$-ko-KR]yyyy-mm-dd(ddd) ") &amp; "오전 00:00"</f>
        <v>2021-05-03(월) 오전 00:00</v>
      </c>
      <c r="C123" s="291"/>
      <c r="D123" s="292" t="str">
        <f>TEXT($G$1, "[$-ko-KR]yyyy-mm-dd(ddd) ") &amp; "오후 14:00"</f>
        <v>2021-05-03(월) 오후 14:00</v>
      </c>
      <c r="E123" s="293"/>
      <c r="F123" s="294"/>
      <c r="G123" s="292" t="str">
        <f>TEXT($G$1, "[$-ko-KR]yyyy-mm-dd(ddd) ") &amp; "오후 19:00"</f>
        <v>2021-05-03(월) 오후 19:00</v>
      </c>
      <c r="H123" s="293"/>
      <c r="I123" s="294"/>
      <c r="J123" s="292" t="str">
        <f>TEXT($G$1, "[$-ko-KR]yyyy-mm-dd(ddd) ") &amp; "오후 21:00"</f>
        <v>2021-05-03(월) 오후 21:00</v>
      </c>
      <c r="K123" s="293"/>
      <c r="L123" s="294"/>
      <c r="M123" s="292" t="str">
        <f>TEXT($G$1+1, "[$-ko-KR]yyyy-mm-dd(ddd) ") &amp; "오전 00:00"</f>
        <v>2021-05-04(화) 오전 00:00</v>
      </c>
      <c r="N123" s="293"/>
      <c r="O123" s="294"/>
      <c r="Q123" s="278"/>
      <c r="R123" s="278"/>
      <c r="S123" s="278"/>
    </row>
    <row r="124" spans="1:19" ht="17.25" thickBot="1">
      <c r="A124" s="289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8"/>
      <c r="R124" s="268"/>
      <c r="S124" s="268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278"/>
      <c r="R125" s="278"/>
      <c r="S125" s="278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278"/>
      <c r="R126" s="278"/>
      <c r="S126" s="278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268"/>
      <c r="R127" s="268"/>
      <c r="S127" s="268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268"/>
      <c r="R128" s="268"/>
      <c r="S128" s="268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268"/>
      <c r="R129" s="268"/>
      <c r="S129" s="268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268"/>
      <c r="R130" s="268"/>
      <c r="S130" s="268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268"/>
      <c r="R131" s="268"/>
      <c r="S131" s="268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268"/>
      <c r="R132" s="268"/>
      <c r="S132" s="268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269"/>
      <c r="R134" s="270"/>
      <c r="S134" s="271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72"/>
      <c r="R135" s="273"/>
      <c r="S135" s="274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75"/>
      <c r="R136" s="276"/>
      <c r="S136" s="277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268"/>
      <c r="R137" s="268"/>
      <c r="S137" s="268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278"/>
      <c r="R138" s="278"/>
      <c r="S138" s="278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278"/>
      <c r="R139" s="278"/>
      <c r="S139" s="278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268"/>
      <c r="R140" s="268"/>
      <c r="S140" s="268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268"/>
      <c r="R141" s="268"/>
      <c r="S141" s="268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268"/>
      <c r="R142" s="268"/>
      <c r="S142" s="268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0"/>
      <c r="R144" s="261"/>
      <c r="S144" s="262"/>
    </row>
    <row r="145" spans="1:19" ht="17.25" thickBot="1">
      <c r="A145" s="26" t="s">
        <v>301</v>
      </c>
      <c r="B145" s="266">
        <f>$B$37</f>
        <v>300000</v>
      </c>
      <c r="C145" s="267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263"/>
      <c r="R145" s="264"/>
      <c r="S145" s="265"/>
    </row>
    <row r="147" spans="1:19" ht="17.25" thickBot="1"/>
    <row r="148" spans="1:19" ht="17.25" thickBot="1">
      <c r="A148" s="279" t="s">
        <v>289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07" t="s">
        <v>298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55555000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-3.6323266700000002E-2</v>
      </c>
      <c r="N149" s="286"/>
      <c r="O149" s="287"/>
      <c r="Q149" s="278"/>
      <c r="R149" s="278"/>
      <c r="S149" s="278"/>
    </row>
    <row r="150" spans="1:19" ht="17.25" thickBot="1">
      <c r="A150" s="288" t="s">
        <v>55</v>
      </c>
      <c r="B150" s="290" t="str">
        <f>TEXT($G$1, "[$-ko-KR]yyyy-mm-dd(ddd) ") &amp; "오전 00:00"</f>
        <v>2021-05-03(월) 오전 00:00</v>
      </c>
      <c r="C150" s="291"/>
      <c r="D150" s="292" t="str">
        <f>TEXT($G$1, "[$-ko-KR]yyyy-mm-dd(ddd) ") &amp; "오후 14:00"</f>
        <v>2021-05-03(월) 오후 14:00</v>
      </c>
      <c r="E150" s="293"/>
      <c r="F150" s="294"/>
      <c r="G150" s="292" t="str">
        <f>TEXT($G$1, "[$-ko-KR]yyyy-mm-dd(ddd) ") &amp; "오후 19:00"</f>
        <v>2021-05-03(월) 오후 19:00</v>
      </c>
      <c r="H150" s="293"/>
      <c r="I150" s="294"/>
      <c r="J150" s="292" t="str">
        <f>TEXT($G$1, "[$-ko-KR]yyyy-mm-dd(ddd) ") &amp; "오후 21:00"</f>
        <v>2021-05-03(월) 오후 21:00</v>
      </c>
      <c r="K150" s="293"/>
      <c r="L150" s="294"/>
      <c r="M150" s="292" t="str">
        <f>TEXT($G$1+1, "[$-ko-KR]yyyy-mm-dd(ddd) ") &amp; "오전 00:00"</f>
        <v>2021-05-04(화) 오전 00:00</v>
      </c>
      <c r="N150" s="293"/>
      <c r="O150" s="294"/>
      <c r="Q150" s="278"/>
      <c r="R150" s="278"/>
      <c r="S150" s="278"/>
    </row>
    <row r="151" spans="1:19" ht="17.25" thickBot="1">
      <c r="A151" s="289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8"/>
      <c r="R151" s="268"/>
      <c r="S151" s="268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278"/>
      <c r="R152" s="278"/>
      <c r="S152" s="278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278"/>
      <c r="R153" s="278"/>
      <c r="S153" s="278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268"/>
      <c r="R154" s="268"/>
      <c r="S154" s="268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268"/>
      <c r="R155" s="268"/>
      <c r="S155" s="268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268"/>
      <c r="R156" s="268"/>
      <c r="S156" s="268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268"/>
      <c r="R157" s="268"/>
      <c r="S157" s="268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268"/>
      <c r="R158" s="268"/>
      <c r="S158" s="268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268"/>
      <c r="R159" s="268"/>
      <c r="S159" s="268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269"/>
      <c r="R161" s="270"/>
      <c r="S161" s="271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72"/>
      <c r="R162" s="273"/>
      <c r="S162" s="274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75"/>
      <c r="R163" s="276"/>
      <c r="S163" s="277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268"/>
      <c r="R164" s="268"/>
      <c r="S164" s="268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278"/>
      <c r="R165" s="278"/>
      <c r="S165" s="278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278"/>
      <c r="R166" s="278"/>
      <c r="S166" s="278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268"/>
      <c r="R167" s="268"/>
      <c r="S167" s="268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268"/>
      <c r="R168" s="268"/>
      <c r="S168" s="268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268"/>
      <c r="R169" s="268"/>
      <c r="S169" s="268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57"/>
      <c r="R170" s="258"/>
      <c r="S170" s="259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260"/>
      <c r="R171" s="261"/>
      <c r="S171" s="262"/>
    </row>
    <row r="172" spans="1:19" ht="17.25" thickBot="1">
      <c r="A172" s="26" t="s">
        <v>301</v>
      </c>
      <c r="B172" s="266">
        <f>$B$37</f>
        <v>300000</v>
      </c>
      <c r="C172" s="267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263"/>
      <c r="R172" s="264"/>
      <c r="S172" s="265"/>
    </row>
    <row r="174" spans="1:19" ht="17.25" thickBot="1"/>
    <row r="175" spans="1:19" ht="17.25" thickBot="1">
      <c r="A175" s="279" t="s">
        <v>285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07" t="s">
        <v>298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55555000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-3.6323266700000002E-2</v>
      </c>
      <c r="N176" s="286"/>
      <c r="O176" s="287"/>
      <c r="Q176" s="278"/>
      <c r="R176" s="278"/>
      <c r="S176" s="278"/>
    </row>
    <row r="177" spans="1:19" ht="17.25" thickBot="1">
      <c r="A177" s="288" t="s">
        <v>55</v>
      </c>
      <c r="B177" s="290" t="str">
        <f>TEXT($G$1, "[$-ko-KR]yyyy-mm-dd(ddd) ") &amp; "오전 00:00"</f>
        <v>2021-05-03(월) 오전 00:00</v>
      </c>
      <c r="C177" s="291"/>
      <c r="D177" s="292" t="str">
        <f>TEXT($G$1, "[$-ko-KR]yyyy-mm-dd(ddd) ") &amp; "오후 14:00"</f>
        <v>2021-05-03(월) 오후 14:00</v>
      </c>
      <c r="E177" s="293"/>
      <c r="F177" s="294"/>
      <c r="G177" s="292" t="str">
        <f>TEXT($G$1, "[$-ko-KR]yyyy-mm-dd(ddd) ") &amp; "오후 19:00"</f>
        <v>2021-05-03(월) 오후 19:00</v>
      </c>
      <c r="H177" s="293"/>
      <c r="I177" s="294"/>
      <c r="J177" s="292" t="str">
        <f>TEXT($G$1, "[$-ko-KR]yyyy-mm-dd(ddd) ") &amp; "오후 21:00"</f>
        <v>2021-05-03(월) 오후 21:00</v>
      </c>
      <c r="K177" s="293"/>
      <c r="L177" s="294"/>
      <c r="M177" s="292" t="str">
        <f>TEXT($G$1+1, "[$-ko-KR]yyyy-mm-dd(ddd) ") &amp; "오전 00:00"</f>
        <v>2021-05-04(화) 오전 00:00</v>
      </c>
      <c r="N177" s="293"/>
      <c r="O177" s="294"/>
      <c r="Q177" s="278"/>
      <c r="R177" s="278"/>
      <c r="S177" s="278"/>
    </row>
    <row r="178" spans="1:19" ht="17.25" thickBot="1">
      <c r="A178" s="289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8"/>
      <c r="R178" s="268"/>
      <c r="S178" s="268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278"/>
      <c r="R179" s="278"/>
      <c r="S179" s="278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278"/>
      <c r="R180" s="278"/>
      <c r="S180" s="278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268"/>
      <c r="R181" s="268"/>
      <c r="S181" s="268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268"/>
      <c r="R182" s="268"/>
      <c r="S182" s="268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268"/>
      <c r="R183" s="268"/>
      <c r="S183" s="268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268"/>
      <c r="R184" s="268"/>
      <c r="S184" s="268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268"/>
      <c r="R185" s="268"/>
      <c r="S185" s="268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268"/>
      <c r="R186" s="268"/>
      <c r="S186" s="268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269"/>
      <c r="R188" s="270"/>
      <c r="S188" s="271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72"/>
      <c r="R189" s="273"/>
      <c r="S189" s="274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75"/>
      <c r="R190" s="276"/>
      <c r="S190" s="277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268"/>
      <c r="R191" s="268"/>
      <c r="S191" s="268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278"/>
      <c r="R192" s="278"/>
      <c r="S192" s="278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278"/>
      <c r="R193" s="278"/>
      <c r="S193" s="278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268"/>
      <c r="R194" s="268"/>
      <c r="S194" s="268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268"/>
      <c r="R195" s="268"/>
      <c r="S195" s="268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268"/>
      <c r="R196" s="268"/>
      <c r="S196" s="268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57"/>
      <c r="R197" s="258"/>
      <c r="S197" s="259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260"/>
      <c r="R198" s="261"/>
      <c r="S198" s="262"/>
    </row>
    <row r="199" spans="1:19" ht="17.25" thickBot="1">
      <c r="A199" s="26" t="s">
        <v>301</v>
      </c>
      <c r="B199" s="266">
        <f>$B$37</f>
        <v>300000</v>
      </c>
      <c r="C199" s="267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44320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6" t="s">
        <v>3</v>
      </c>
      <c r="B2" s="313" t="s">
        <v>4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5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7" t="s">
        <v>7</v>
      </c>
      <c r="B3" s="304" t="s">
        <v>8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301"/>
      <c r="I3" s="302"/>
      <c r="J3" s="4" t="s">
        <v>7</v>
      </c>
      <c r="K3" s="304" t="s">
        <v>9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04" t="s">
        <v>12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13</v>
      </c>
      <c r="L4" s="305"/>
      <c r="M4" s="305"/>
      <c r="N4" s="305"/>
      <c r="O4" s="30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04" t="s">
        <v>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301"/>
      <c r="I5" s="302"/>
      <c r="J5" s="4" t="s">
        <v>15</v>
      </c>
      <c r="K5" s="304" t="s">
        <v>17</v>
      </c>
      <c r="L5" s="305"/>
      <c r="M5" s="305"/>
      <c r="N5" s="305"/>
      <c r="O5" s="306"/>
    </row>
    <row r="6" spans="1:19">
      <c r="A6" s="117" t="s">
        <v>18</v>
      </c>
      <c r="B6" s="304" t="s">
        <v>19</v>
      </c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20</v>
      </c>
      <c r="L6" s="305"/>
      <c r="M6" s="305"/>
      <c r="N6" s="305"/>
      <c r="O6" s="306"/>
    </row>
    <row r="7" spans="1:19" ht="17.25" thickBot="1">
      <c r="A7" s="117" t="s">
        <v>21</v>
      </c>
      <c r="B7" s="304" t="s">
        <v>22</v>
      </c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301"/>
      <c r="I7" s="302"/>
      <c r="J7" s="4" t="s">
        <v>21</v>
      </c>
      <c r="K7" s="304" t="s">
        <v>23</v>
      </c>
      <c r="L7" s="305"/>
      <c r="M7" s="305"/>
      <c r="N7" s="305"/>
      <c r="O7" s="306"/>
    </row>
    <row r="8" spans="1:19" ht="17.25" thickBot="1">
      <c r="A8" s="117" t="s">
        <v>24</v>
      </c>
      <c r="B8" s="304" t="s">
        <v>25</v>
      </c>
      <c r="C8" s="305"/>
      <c r="D8" s="305"/>
      <c r="E8" s="305"/>
      <c r="F8" s="306"/>
      <c r="G8" s="307" t="s">
        <v>285</v>
      </c>
      <c r="H8" s="308"/>
      <c r="I8" s="309"/>
      <c r="J8" s="4" t="s">
        <v>24</v>
      </c>
      <c r="K8" s="304" t="s">
        <v>26</v>
      </c>
      <c r="L8" s="305"/>
      <c r="M8" s="305"/>
      <c r="N8" s="305"/>
      <c r="O8" s="306"/>
      <c r="Q8" s="279" t="s">
        <v>27</v>
      </c>
      <c r="R8" s="281"/>
    </row>
    <row r="9" spans="1:19" ht="17.25" thickBot="1">
      <c r="A9" s="117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301"/>
      <c r="I9" s="302"/>
      <c r="J9" s="4" t="s">
        <v>28</v>
      </c>
      <c r="K9" s="304" t="s">
        <v>293</v>
      </c>
      <c r="L9" s="305"/>
      <c r="M9" s="305"/>
      <c r="N9" s="305"/>
      <c r="O9" s="306"/>
      <c r="Q9" s="2" t="s">
        <v>29</v>
      </c>
      <c r="R9" s="6">
        <v>10</v>
      </c>
    </row>
    <row r="10" spans="1:19">
      <c r="A10" s="117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/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8" t="s">
        <v>32</v>
      </c>
      <c r="B11" s="297"/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301"/>
      <c r="I11" s="302"/>
      <c r="J11" s="7" t="s">
        <v>32</v>
      </c>
      <c r="K11" s="297"/>
      <c r="L11" s="298"/>
      <c r="M11" s="298"/>
      <c r="N11" s="298"/>
      <c r="O11" s="299"/>
      <c r="Q11" s="61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12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55555000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-3.6323266700000002E-2</v>
      </c>
      <c r="N14" s="286"/>
      <c r="O14" s="287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2021-05-04(화) 오전 00:00</v>
      </c>
      <c r="C15" s="324"/>
      <c r="D15" s="292" t="str">
        <f>TEXT($G$1, "[$-ko-KR]yyyy-mm-dd(ddd) ") &amp; "오후 14:00"</f>
        <v>2021-05-04(화) 오후 14:00</v>
      </c>
      <c r="E15" s="293"/>
      <c r="F15" s="294"/>
      <c r="G15" s="292" t="str">
        <f>TEXT($G$1, "[$-ko-KR]yyyy-mm-dd(ddd) ") &amp; "오후 19:00"</f>
        <v>2021-05-04(화) 오후 19:00</v>
      </c>
      <c r="H15" s="293"/>
      <c r="I15" s="294"/>
      <c r="J15" s="292" t="str">
        <f>TEXT($G$1, "[$-ko-KR]yyyy-mm-dd(ddd) ") &amp; "오후 21:00"</f>
        <v>2021-05-04(화) 오후 21:00</v>
      </c>
      <c r="K15" s="293"/>
      <c r="L15" s="294"/>
      <c r="M15" s="292" t="str">
        <f>TEXT($G$1+1, "[$-ko-KR]yyyy-mm-dd(ddd) ") &amp; "오전 00:00"</f>
        <v>2021-05-05(수) 오전 00:00</v>
      </c>
      <c r="N15" s="293"/>
      <c r="O15" s="294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8"/>
      <c r="R16" s="268"/>
      <c r="S16" s="268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278"/>
      <c r="R17" s="278"/>
      <c r="S17" s="278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278"/>
      <c r="R18" s="278"/>
      <c r="S18" s="278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268"/>
      <c r="R19" s="268"/>
      <c r="S19" s="268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268"/>
      <c r="R20" s="268"/>
      <c r="S20" s="268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268"/>
      <c r="R21" s="268"/>
      <c r="S21" s="268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68"/>
      <c r="R22" s="268"/>
      <c r="S22" s="268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69"/>
      <c r="R26" s="270"/>
      <c r="S26" s="271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68"/>
      <c r="R32" s="268"/>
      <c r="S32" s="26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60"/>
      <c r="R36" s="261"/>
      <c r="S36" s="262"/>
    </row>
    <row r="37" spans="1:19" ht="17.25" customHeight="1" thickBot="1">
      <c r="A37" s="131" t="s">
        <v>42</v>
      </c>
      <c r="B37" s="330">
        <v>300000</v>
      </c>
      <c r="C37" s="331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12" t="s">
        <v>298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55555000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-3.6323266700000002E-2</v>
      </c>
      <c r="N41" s="286"/>
      <c r="O41" s="287"/>
      <c r="Q41" s="278"/>
      <c r="R41" s="278"/>
      <c r="S41" s="278"/>
    </row>
    <row r="42" spans="1:19" ht="17.25" customHeight="1" thickBot="1">
      <c r="A42" s="332" t="s">
        <v>55</v>
      </c>
      <c r="B42" s="328" t="str">
        <f>TEXT($G$1, "[$-ko-KR]yyyy-mm-dd(ddd) ") &amp; "오전 00:00"</f>
        <v>2021-05-04(화) 오전 00:00</v>
      </c>
      <c r="C42" s="329"/>
      <c r="D42" s="292" t="str">
        <f>TEXT($G$1, "[$-ko-KR]yyyy-mm-dd(ddd) ") &amp; "오후 14:00"</f>
        <v>2021-05-04(화) 오후 14:00</v>
      </c>
      <c r="E42" s="293"/>
      <c r="F42" s="294"/>
      <c r="G42" s="292" t="str">
        <f>TEXT($G$1, "[$-ko-KR]yyyy-mm-dd(ddd) ") &amp; "오후 19:00"</f>
        <v>2021-05-04(화) 오후 19:00</v>
      </c>
      <c r="H42" s="293"/>
      <c r="I42" s="294"/>
      <c r="J42" s="292" t="str">
        <f>TEXT($G$1, "[$-ko-KR]yyyy-mm-dd(ddd) ") &amp; "오후 21:00"</f>
        <v>2021-05-04(화) 오후 21:00</v>
      </c>
      <c r="K42" s="293"/>
      <c r="L42" s="294"/>
      <c r="M42" s="292" t="str">
        <f>TEXT($G$1+1, "[$-ko-KR]yyyy-mm-dd(ddd) ") &amp; "오전 00:00"</f>
        <v>2021-05-05(수) 오전 00:00</v>
      </c>
      <c r="N42" s="293"/>
      <c r="O42" s="294"/>
      <c r="Q42" s="278"/>
      <c r="R42" s="278"/>
      <c r="S42" s="278"/>
    </row>
    <row r="43" spans="1:19" ht="17.25" customHeight="1" thickBot="1">
      <c r="A43" s="33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8"/>
      <c r="R43" s="268"/>
      <c r="S43" s="268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278"/>
      <c r="R44" s="278"/>
      <c r="S44" s="278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278"/>
      <c r="R45" s="278"/>
      <c r="S45" s="278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268"/>
      <c r="R46" s="268"/>
      <c r="S46" s="268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268"/>
      <c r="R47" s="268"/>
      <c r="S47" s="268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268"/>
      <c r="R48" s="268"/>
      <c r="S48" s="268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268"/>
      <c r="R49" s="268"/>
      <c r="S49" s="268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268"/>
      <c r="R50" s="268"/>
      <c r="S50" s="268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268"/>
      <c r="R51" s="268"/>
      <c r="S51" s="268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269"/>
      <c r="R53" s="270"/>
      <c r="S53" s="271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72"/>
      <c r="R54" s="273"/>
      <c r="S54" s="274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75"/>
      <c r="R55" s="276"/>
      <c r="S55" s="277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268"/>
      <c r="R56" s="268"/>
      <c r="S56" s="268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278"/>
      <c r="R57" s="278"/>
      <c r="S57" s="278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278"/>
      <c r="R58" s="278"/>
      <c r="S58" s="278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268"/>
      <c r="R59" s="268"/>
      <c r="S59" s="268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268"/>
      <c r="R60" s="268"/>
      <c r="S60" s="268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0"/>
      <c r="R63" s="261"/>
      <c r="S63" s="262"/>
    </row>
    <row r="64" spans="1:19" ht="17.25" customHeight="1" thickBot="1">
      <c r="A64" s="131" t="s">
        <v>301</v>
      </c>
      <c r="B64" s="330">
        <f>$B$37</f>
        <v>300000</v>
      </c>
      <c r="C64" s="331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12" t="s">
        <v>298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55555000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-3.6323266700000002E-2</v>
      </c>
      <c r="N68" s="286"/>
      <c r="O68" s="287"/>
      <c r="Q68" s="278"/>
      <c r="R68" s="278"/>
      <c r="S68" s="278"/>
    </row>
    <row r="69" spans="1:19" ht="17.25" thickBot="1">
      <c r="A69" s="332" t="s">
        <v>55</v>
      </c>
      <c r="B69" s="328" t="str">
        <f>TEXT($G$1, "[$-ko-KR]yyyy-mm-dd(ddd) ") &amp; "오전 00:00"</f>
        <v>2021-05-04(화) 오전 00:00</v>
      </c>
      <c r="C69" s="329"/>
      <c r="D69" s="292" t="str">
        <f>TEXT($G$1, "[$-ko-KR]yyyy-mm-dd(ddd) ") &amp; "오후 14:00"</f>
        <v>2021-05-04(화) 오후 14:00</v>
      </c>
      <c r="E69" s="293"/>
      <c r="F69" s="294"/>
      <c r="G69" s="292" t="str">
        <f>TEXT($G$1, "[$-ko-KR]yyyy-mm-dd(ddd) ") &amp; "오후 19:00"</f>
        <v>2021-05-04(화) 오후 19:00</v>
      </c>
      <c r="H69" s="293"/>
      <c r="I69" s="294"/>
      <c r="J69" s="292" t="str">
        <f>TEXT($G$1, "[$-ko-KR]yyyy-mm-dd(ddd) ") &amp; "오후 21:00"</f>
        <v>2021-05-04(화) 오후 21:00</v>
      </c>
      <c r="K69" s="293"/>
      <c r="L69" s="294"/>
      <c r="M69" s="292" t="str">
        <f>TEXT($G$1+1, "[$-ko-KR]yyyy-mm-dd(ddd) ") &amp; "오전 00:00"</f>
        <v>2021-05-05(수) 오전 00:00</v>
      </c>
      <c r="N69" s="293"/>
      <c r="O69" s="294"/>
      <c r="Q69" s="278"/>
      <c r="R69" s="278"/>
      <c r="S69" s="278"/>
    </row>
    <row r="70" spans="1:19" ht="17.25" thickBot="1">
      <c r="A70" s="33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8"/>
      <c r="R70" s="268"/>
      <c r="S70" s="268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278"/>
      <c r="R71" s="278"/>
      <c r="S71" s="278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278"/>
      <c r="R72" s="278"/>
      <c r="S72" s="278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268"/>
      <c r="R73" s="268"/>
      <c r="S73" s="268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268"/>
      <c r="R74" s="268"/>
      <c r="S74" s="268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268"/>
      <c r="R75" s="268"/>
      <c r="S75" s="268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268"/>
      <c r="R76" s="268"/>
      <c r="S76" s="268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268"/>
      <c r="R77" s="268"/>
      <c r="S77" s="268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268"/>
      <c r="R78" s="268"/>
      <c r="S78" s="268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269"/>
      <c r="R80" s="270"/>
      <c r="S80" s="271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72"/>
      <c r="R81" s="273"/>
      <c r="S81" s="274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75"/>
      <c r="R82" s="276"/>
      <c r="S82" s="277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268"/>
      <c r="R83" s="268"/>
      <c r="S83" s="268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278"/>
      <c r="R84" s="278"/>
      <c r="S84" s="278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278"/>
      <c r="R85" s="278"/>
      <c r="S85" s="278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268"/>
      <c r="R86" s="268"/>
      <c r="S86" s="268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268"/>
      <c r="R87" s="268"/>
      <c r="S87" s="268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268"/>
      <c r="R88" s="268"/>
      <c r="S88" s="268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57"/>
      <c r="R89" s="258"/>
      <c r="S89" s="259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260"/>
      <c r="R90" s="261"/>
      <c r="S90" s="262"/>
    </row>
    <row r="91" spans="1:19" ht="17.25" thickBot="1">
      <c r="A91" s="131" t="s">
        <v>301</v>
      </c>
      <c r="B91" s="330">
        <f>$B$37</f>
        <v>300000</v>
      </c>
      <c r="C91" s="331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12" t="s">
        <v>298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55555000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-3.6323266700000002E-2</v>
      </c>
      <c r="N95" s="286"/>
      <c r="O95" s="287"/>
      <c r="Q95" s="278"/>
      <c r="R95" s="278"/>
      <c r="S95" s="278"/>
    </row>
    <row r="96" spans="1:19" ht="17.25" thickBot="1">
      <c r="A96" s="332" t="s">
        <v>55</v>
      </c>
      <c r="B96" s="328" t="str">
        <f>TEXT($G$1, "[$-ko-KR]yyyy-mm-dd(ddd) ") &amp; "오전 00:00"</f>
        <v>2021-05-04(화) 오전 00:00</v>
      </c>
      <c r="C96" s="329"/>
      <c r="D96" s="292" t="str">
        <f>TEXT($G$1, "[$-ko-KR]yyyy-mm-dd(ddd) ") &amp; "오후 14:00"</f>
        <v>2021-05-04(화) 오후 14:00</v>
      </c>
      <c r="E96" s="293"/>
      <c r="F96" s="294"/>
      <c r="G96" s="292" t="str">
        <f>TEXT($G$1, "[$-ko-KR]yyyy-mm-dd(ddd) ") &amp; "오후 19:00"</f>
        <v>2021-05-04(화) 오후 19:00</v>
      </c>
      <c r="H96" s="293"/>
      <c r="I96" s="294"/>
      <c r="J96" s="292" t="str">
        <f>TEXT($G$1, "[$-ko-KR]yyyy-mm-dd(ddd) ") &amp; "오후 21:00"</f>
        <v>2021-05-04(화) 오후 21:00</v>
      </c>
      <c r="K96" s="293"/>
      <c r="L96" s="294"/>
      <c r="M96" s="292" t="str">
        <f>TEXT($G$1+1, "[$-ko-KR]yyyy-mm-dd(ddd) ") &amp; "오전 00:00"</f>
        <v>2021-05-05(수) 오전 00:00</v>
      </c>
      <c r="N96" s="293"/>
      <c r="O96" s="294"/>
      <c r="Q96" s="278"/>
      <c r="R96" s="278"/>
      <c r="S96" s="278"/>
    </row>
    <row r="97" spans="1:19" ht="17.25" thickBot="1">
      <c r="A97" s="33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8"/>
      <c r="R97" s="268"/>
      <c r="S97" s="268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278"/>
      <c r="R98" s="278"/>
      <c r="S98" s="278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278"/>
      <c r="R99" s="278"/>
      <c r="S99" s="278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268"/>
      <c r="R100" s="268"/>
      <c r="S100" s="268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268"/>
      <c r="R101" s="268"/>
      <c r="S101" s="268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268"/>
      <c r="R102" s="268"/>
      <c r="S102" s="268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268"/>
      <c r="R103" s="268"/>
      <c r="S103" s="268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268"/>
      <c r="R104" s="268"/>
      <c r="S104" s="268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268"/>
      <c r="R105" s="268"/>
      <c r="S105" s="268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269"/>
      <c r="R107" s="270"/>
      <c r="S107" s="271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72"/>
      <c r="R108" s="273"/>
      <c r="S108" s="274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75"/>
      <c r="R109" s="276"/>
      <c r="S109" s="277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268"/>
      <c r="R110" s="268"/>
      <c r="S110" s="268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278"/>
      <c r="R111" s="278"/>
      <c r="S111" s="278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278"/>
      <c r="R112" s="278"/>
      <c r="S112" s="278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268"/>
      <c r="R113" s="268"/>
      <c r="S113" s="268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268"/>
      <c r="R114" s="268"/>
      <c r="S114" s="268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268"/>
      <c r="R115" s="268"/>
      <c r="S115" s="268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57"/>
      <c r="R116" s="258"/>
      <c r="S116" s="259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260"/>
      <c r="R117" s="261"/>
      <c r="S117" s="262"/>
    </row>
    <row r="118" spans="1:19" ht="17.25" thickBot="1">
      <c r="A118" s="131" t="s">
        <v>301</v>
      </c>
      <c r="B118" s="330">
        <f>$B$37</f>
        <v>300000</v>
      </c>
      <c r="C118" s="331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263"/>
      <c r="R118" s="264"/>
      <c r="S118" s="265"/>
    </row>
    <row r="120" spans="1:19" ht="17.25" thickBot="1"/>
    <row r="121" spans="1:19" ht="17.25" thickBot="1">
      <c r="A121" s="279" t="s">
        <v>288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12" t="s">
        <v>298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55555000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-3.6323266700000002E-2</v>
      </c>
      <c r="N122" s="286"/>
      <c r="O122" s="287"/>
      <c r="Q122" s="278"/>
      <c r="R122" s="278"/>
      <c r="S122" s="278"/>
    </row>
    <row r="123" spans="1:19" ht="17.25" thickBot="1">
      <c r="A123" s="332" t="s">
        <v>55</v>
      </c>
      <c r="B123" s="328" t="str">
        <f>TEXT($G$1, "[$-ko-KR]yyyy-mm-dd(ddd) ") &amp; "오전 00:00"</f>
        <v>2021-05-04(화) 오전 00:00</v>
      </c>
      <c r="C123" s="329"/>
      <c r="D123" s="292" t="str">
        <f>TEXT($G$1, "[$-ko-KR]yyyy-mm-dd(ddd) ") &amp; "오후 14:00"</f>
        <v>2021-05-04(화) 오후 14:00</v>
      </c>
      <c r="E123" s="293"/>
      <c r="F123" s="294"/>
      <c r="G123" s="292" t="str">
        <f>TEXT($G$1, "[$-ko-KR]yyyy-mm-dd(ddd) ") &amp; "오후 19:00"</f>
        <v>2021-05-04(화) 오후 19:00</v>
      </c>
      <c r="H123" s="293"/>
      <c r="I123" s="294"/>
      <c r="J123" s="292" t="str">
        <f>TEXT($G$1, "[$-ko-KR]yyyy-mm-dd(ddd) ") &amp; "오후 21:00"</f>
        <v>2021-05-04(화) 오후 21:00</v>
      </c>
      <c r="K123" s="293"/>
      <c r="L123" s="294"/>
      <c r="M123" s="292" t="str">
        <f>TEXT($G$1+1, "[$-ko-KR]yyyy-mm-dd(ddd) ") &amp; "오전 00:00"</f>
        <v>2021-05-05(수) 오전 00:00</v>
      </c>
      <c r="N123" s="293"/>
      <c r="O123" s="294"/>
      <c r="Q123" s="278"/>
      <c r="R123" s="278"/>
      <c r="S123" s="278"/>
    </row>
    <row r="124" spans="1:19" ht="17.25" thickBot="1">
      <c r="A124" s="33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8"/>
      <c r="R124" s="268"/>
      <c r="S124" s="268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278"/>
      <c r="R125" s="278"/>
      <c r="S125" s="278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278"/>
      <c r="R126" s="278"/>
      <c r="S126" s="278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268"/>
      <c r="R127" s="268"/>
      <c r="S127" s="268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268"/>
      <c r="R128" s="268"/>
      <c r="S128" s="268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268"/>
      <c r="R129" s="268"/>
      <c r="S129" s="268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268"/>
      <c r="R130" s="268"/>
      <c r="S130" s="268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268"/>
      <c r="R131" s="268"/>
      <c r="S131" s="268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268"/>
      <c r="R132" s="268"/>
      <c r="S132" s="268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269"/>
      <c r="R134" s="270"/>
      <c r="S134" s="271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72"/>
      <c r="R135" s="273"/>
      <c r="S135" s="274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75"/>
      <c r="R136" s="276"/>
      <c r="S136" s="277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268"/>
      <c r="R137" s="268"/>
      <c r="S137" s="268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278"/>
      <c r="R138" s="278"/>
      <c r="S138" s="278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278"/>
      <c r="R139" s="278"/>
      <c r="S139" s="278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268"/>
      <c r="R140" s="268"/>
      <c r="S140" s="268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268"/>
      <c r="R141" s="268"/>
      <c r="S141" s="268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0"/>
      <c r="R144" s="261"/>
      <c r="S144" s="262"/>
    </row>
    <row r="145" spans="1:19" ht="17.25" thickBot="1">
      <c r="A145" s="131" t="s">
        <v>301</v>
      </c>
      <c r="B145" s="330">
        <f>$B$37</f>
        <v>300000</v>
      </c>
      <c r="C145" s="331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263"/>
      <c r="R145" s="264"/>
      <c r="S145" s="265"/>
    </row>
    <row r="147" spans="1:19" ht="17.25" thickBot="1"/>
    <row r="148" spans="1:19" ht="17.25" thickBot="1">
      <c r="A148" s="279" t="s">
        <v>289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12" t="s">
        <v>298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55555000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-3.6323266700000002E-2</v>
      </c>
      <c r="N149" s="286"/>
      <c r="O149" s="287"/>
      <c r="Q149" s="278"/>
      <c r="R149" s="278"/>
      <c r="S149" s="278"/>
    </row>
    <row r="150" spans="1:19" ht="17.25" thickBot="1">
      <c r="A150" s="332" t="s">
        <v>55</v>
      </c>
      <c r="B150" s="328" t="str">
        <f>TEXT($G$1, "[$-ko-KR]yyyy-mm-dd(ddd) ") &amp; "오전 00:00"</f>
        <v>2021-05-04(화) 오전 00:00</v>
      </c>
      <c r="C150" s="329"/>
      <c r="D150" s="292" t="str">
        <f>TEXT($G$1, "[$-ko-KR]yyyy-mm-dd(ddd) ") &amp; "오후 14:00"</f>
        <v>2021-05-04(화) 오후 14:00</v>
      </c>
      <c r="E150" s="293"/>
      <c r="F150" s="294"/>
      <c r="G150" s="292" t="str">
        <f>TEXT($G$1, "[$-ko-KR]yyyy-mm-dd(ddd) ") &amp; "오후 19:00"</f>
        <v>2021-05-04(화) 오후 19:00</v>
      </c>
      <c r="H150" s="293"/>
      <c r="I150" s="294"/>
      <c r="J150" s="292" t="str">
        <f>TEXT($G$1, "[$-ko-KR]yyyy-mm-dd(ddd) ") &amp; "오후 21:00"</f>
        <v>2021-05-04(화) 오후 21:00</v>
      </c>
      <c r="K150" s="293"/>
      <c r="L150" s="294"/>
      <c r="M150" s="292" t="str">
        <f>TEXT($G$1+1, "[$-ko-KR]yyyy-mm-dd(ddd) ") &amp; "오전 00:00"</f>
        <v>2021-05-05(수) 오전 00:00</v>
      </c>
      <c r="N150" s="293"/>
      <c r="O150" s="294"/>
      <c r="Q150" s="278"/>
      <c r="R150" s="278"/>
      <c r="S150" s="278"/>
    </row>
    <row r="151" spans="1:19" ht="17.25" thickBot="1">
      <c r="A151" s="33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8"/>
      <c r="R151" s="268"/>
      <c r="S151" s="268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278"/>
      <c r="R152" s="278"/>
      <c r="S152" s="278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278"/>
      <c r="R153" s="278"/>
      <c r="S153" s="278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268"/>
      <c r="R154" s="268"/>
      <c r="S154" s="268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268"/>
      <c r="R155" s="268"/>
      <c r="S155" s="268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268"/>
      <c r="R156" s="268"/>
      <c r="S156" s="268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268"/>
      <c r="R157" s="268"/>
      <c r="S157" s="268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268"/>
      <c r="R158" s="268"/>
      <c r="S158" s="268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268"/>
      <c r="R159" s="268"/>
      <c r="S159" s="268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269"/>
      <c r="R161" s="270"/>
      <c r="S161" s="271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72"/>
      <c r="R162" s="273"/>
      <c r="S162" s="274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75"/>
      <c r="R163" s="276"/>
      <c r="S163" s="277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268"/>
      <c r="R164" s="268"/>
      <c r="S164" s="268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278"/>
      <c r="R165" s="278"/>
      <c r="S165" s="278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278"/>
      <c r="R166" s="278"/>
      <c r="S166" s="278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268"/>
      <c r="R167" s="268"/>
      <c r="S167" s="268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268"/>
      <c r="R168" s="268"/>
      <c r="S168" s="268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268"/>
      <c r="R169" s="268"/>
      <c r="S169" s="268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57"/>
      <c r="R170" s="258"/>
      <c r="S170" s="259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260"/>
      <c r="R171" s="261"/>
      <c r="S171" s="262"/>
    </row>
    <row r="172" spans="1:19" ht="17.25" thickBot="1">
      <c r="A172" s="131" t="s">
        <v>301</v>
      </c>
      <c r="B172" s="330">
        <f>$B$37</f>
        <v>300000</v>
      </c>
      <c r="C172" s="331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263"/>
      <c r="R172" s="264"/>
      <c r="S172" s="265"/>
    </row>
    <row r="174" spans="1:19" ht="17.25" thickBot="1"/>
    <row r="175" spans="1:19" ht="17.25" thickBot="1">
      <c r="A175" s="279" t="s">
        <v>285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12" t="s">
        <v>298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55555000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-3.6323266700000002E-2</v>
      </c>
      <c r="N176" s="286"/>
      <c r="O176" s="287"/>
      <c r="Q176" s="278"/>
      <c r="R176" s="278"/>
      <c r="S176" s="278"/>
    </row>
    <row r="177" spans="1:19" ht="17.25" thickBot="1">
      <c r="A177" s="332" t="s">
        <v>55</v>
      </c>
      <c r="B177" s="328" t="str">
        <f>TEXT($G$1, "[$-ko-KR]yyyy-mm-dd(ddd) ") &amp; "오전 00:00"</f>
        <v>2021-05-04(화) 오전 00:00</v>
      </c>
      <c r="C177" s="329"/>
      <c r="D177" s="292" t="str">
        <f>TEXT($G$1, "[$-ko-KR]yyyy-mm-dd(ddd) ") &amp; "오후 14:00"</f>
        <v>2021-05-04(화) 오후 14:00</v>
      </c>
      <c r="E177" s="293"/>
      <c r="F177" s="294"/>
      <c r="G177" s="292" t="str">
        <f>TEXT($G$1, "[$-ko-KR]yyyy-mm-dd(ddd) ") &amp; "오후 19:00"</f>
        <v>2021-05-04(화) 오후 19:00</v>
      </c>
      <c r="H177" s="293"/>
      <c r="I177" s="294"/>
      <c r="J177" s="292" t="str">
        <f>TEXT($G$1, "[$-ko-KR]yyyy-mm-dd(ddd) ") &amp; "오후 21:00"</f>
        <v>2021-05-04(화) 오후 21:00</v>
      </c>
      <c r="K177" s="293"/>
      <c r="L177" s="294"/>
      <c r="M177" s="292" t="str">
        <f>TEXT($G$1+1, "[$-ko-KR]yyyy-mm-dd(ddd) ") &amp; "오전 00:00"</f>
        <v>2021-05-05(수) 오전 00:00</v>
      </c>
      <c r="N177" s="293"/>
      <c r="O177" s="294"/>
      <c r="Q177" s="278"/>
      <c r="R177" s="278"/>
      <c r="S177" s="278"/>
    </row>
    <row r="178" spans="1:19" ht="17.25" thickBot="1">
      <c r="A178" s="33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8"/>
      <c r="R178" s="268"/>
      <c r="S178" s="268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278"/>
      <c r="R179" s="278"/>
      <c r="S179" s="278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278"/>
      <c r="R180" s="278"/>
      <c r="S180" s="278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268"/>
      <c r="R181" s="268"/>
      <c r="S181" s="268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268"/>
      <c r="R182" s="268"/>
      <c r="S182" s="268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268"/>
      <c r="R183" s="268"/>
      <c r="S183" s="268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268"/>
      <c r="R184" s="268"/>
      <c r="S184" s="268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268"/>
      <c r="R185" s="268"/>
      <c r="S185" s="268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268"/>
      <c r="R186" s="268"/>
      <c r="S186" s="268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269"/>
      <c r="R188" s="270"/>
      <c r="S188" s="271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72"/>
      <c r="R189" s="273"/>
      <c r="S189" s="274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75"/>
      <c r="R190" s="276"/>
      <c r="S190" s="277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268"/>
      <c r="R191" s="268"/>
      <c r="S191" s="268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278"/>
      <c r="R192" s="278"/>
      <c r="S192" s="278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278"/>
      <c r="R193" s="278"/>
      <c r="S193" s="278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268"/>
      <c r="R194" s="268"/>
      <c r="S194" s="268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268"/>
      <c r="R195" s="268"/>
      <c r="S195" s="268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268"/>
      <c r="R196" s="268"/>
      <c r="S196" s="268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57"/>
      <c r="R197" s="258"/>
      <c r="S197" s="259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260"/>
      <c r="R198" s="261"/>
      <c r="S198" s="262"/>
    </row>
    <row r="199" spans="1:19" ht="17.25" thickBot="1">
      <c r="A199" s="131" t="s">
        <v>301</v>
      </c>
      <c r="B199" s="330">
        <f>$B$37</f>
        <v>300000</v>
      </c>
      <c r="C199" s="331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44321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6" t="s">
        <v>3</v>
      </c>
      <c r="B2" s="313" t="s">
        <v>4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5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7" t="s">
        <v>7</v>
      </c>
      <c r="B3" s="304" t="s">
        <v>8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301"/>
      <c r="I3" s="302"/>
      <c r="J3" s="4" t="s">
        <v>7</v>
      </c>
      <c r="K3" s="304" t="s">
        <v>9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04" t="s">
        <v>12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13</v>
      </c>
      <c r="L4" s="305"/>
      <c r="M4" s="305"/>
      <c r="N4" s="305"/>
      <c r="O4" s="30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04" t="s">
        <v>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301"/>
      <c r="I5" s="302"/>
      <c r="J5" s="4" t="s">
        <v>15</v>
      </c>
      <c r="K5" s="304" t="s">
        <v>17</v>
      </c>
      <c r="L5" s="305"/>
      <c r="M5" s="305"/>
      <c r="N5" s="305"/>
      <c r="O5" s="306"/>
    </row>
    <row r="6" spans="1:19">
      <c r="A6" s="117" t="s">
        <v>18</v>
      </c>
      <c r="B6" s="304" t="s">
        <v>19</v>
      </c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20</v>
      </c>
      <c r="L6" s="305"/>
      <c r="M6" s="305"/>
      <c r="N6" s="305"/>
      <c r="O6" s="306"/>
    </row>
    <row r="7" spans="1:19" ht="17.25" thickBot="1">
      <c r="A7" s="117" t="s">
        <v>21</v>
      </c>
      <c r="B7" s="304" t="s">
        <v>22</v>
      </c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301"/>
      <c r="I7" s="302"/>
      <c r="J7" s="4" t="s">
        <v>21</v>
      </c>
      <c r="K7" s="304" t="s">
        <v>23</v>
      </c>
      <c r="L7" s="305"/>
      <c r="M7" s="305"/>
      <c r="N7" s="305"/>
      <c r="O7" s="306"/>
    </row>
    <row r="8" spans="1:19" ht="17.25" thickBot="1">
      <c r="A8" s="117" t="s">
        <v>24</v>
      </c>
      <c r="B8" s="304" t="s">
        <v>25</v>
      </c>
      <c r="C8" s="305"/>
      <c r="D8" s="305"/>
      <c r="E8" s="305"/>
      <c r="F8" s="306"/>
      <c r="G8" s="307" t="s">
        <v>285</v>
      </c>
      <c r="H8" s="308"/>
      <c r="I8" s="309"/>
      <c r="J8" s="4" t="s">
        <v>24</v>
      </c>
      <c r="K8" s="304" t="s">
        <v>26</v>
      </c>
      <c r="L8" s="305"/>
      <c r="M8" s="305"/>
      <c r="N8" s="305"/>
      <c r="O8" s="306"/>
      <c r="Q8" s="279" t="s">
        <v>27</v>
      </c>
      <c r="R8" s="281"/>
    </row>
    <row r="9" spans="1:19" ht="17.25" thickBot="1">
      <c r="A9" s="117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301"/>
      <c r="I9" s="302"/>
      <c r="J9" s="4" t="s">
        <v>28</v>
      </c>
      <c r="K9" s="304" t="s">
        <v>293</v>
      </c>
      <c r="L9" s="305"/>
      <c r="M9" s="305"/>
      <c r="N9" s="305"/>
      <c r="O9" s="306"/>
      <c r="Q9" s="2" t="s">
        <v>29</v>
      </c>
      <c r="R9" s="6">
        <v>10</v>
      </c>
    </row>
    <row r="10" spans="1:19">
      <c r="A10" s="117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/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8" t="s">
        <v>32</v>
      </c>
      <c r="B11" s="297"/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1"/>
      <c r="I11" s="302"/>
      <c r="J11" s="7" t="s">
        <v>32</v>
      </c>
      <c r="K11" s="297"/>
      <c r="L11" s="298"/>
      <c r="M11" s="298"/>
      <c r="N11" s="298"/>
      <c r="O11" s="299"/>
      <c r="Q11" s="61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49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55555000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-3.6323266700000002E-2</v>
      </c>
      <c r="N14" s="286"/>
      <c r="O14" s="287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2021-05-05(수) 오전 00:00</v>
      </c>
      <c r="C15" s="324"/>
      <c r="D15" s="292" t="str">
        <f>TEXT($G$1, "[$-ko-KR]yyyy-mm-dd(ddd) ") &amp; "오후 14:00"</f>
        <v>2021-05-05(수) 오후 14:00</v>
      </c>
      <c r="E15" s="293"/>
      <c r="F15" s="294"/>
      <c r="G15" s="292" t="str">
        <f>TEXT($G$1, "[$-ko-KR]yyyy-mm-dd(ddd) ") &amp; "오후 19:00"</f>
        <v>2021-05-05(수) 오후 19:00</v>
      </c>
      <c r="H15" s="293"/>
      <c r="I15" s="294"/>
      <c r="J15" s="292" t="str">
        <f>TEXT($G$1, "[$-ko-KR]yyyy-mm-dd(ddd) ") &amp; "오후 21:00"</f>
        <v>2021-05-05(수) 오후 21:00</v>
      </c>
      <c r="K15" s="293"/>
      <c r="L15" s="294"/>
      <c r="M15" s="292" t="str">
        <f>TEXT($G$1+1, "[$-ko-KR]yyyy-mm-dd(ddd) ") &amp; "오전 00:00"</f>
        <v>2021-05-06(목) 오전 00:00</v>
      </c>
      <c r="N15" s="293"/>
      <c r="O15" s="294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8"/>
      <c r="R16" s="268"/>
      <c r="S16" s="268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8"/>
      <c r="R19" s="268"/>
      <c r="S19" s="268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8"/>
      <c r="R20" s="268"/>
      <c r="S20" s="268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8"/>
      <c r="R21" s="268"/>
      <c r="S21" s="268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68"/>
      <c r="R22" s="268"/>
      <c r="S22" s="268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8"/>
      <c r="R23" s="268"/>
      <c r="S23" s="268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8"/>
      <c r="R24" s="268"/>
      <c r="S24" s="268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69"/>
      <c r="R26" s="270"/>
      <c r="S26" s="271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2"/>
      <c r="R27" s="273"/>
      <c r="S27" s="274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5"/>
      <c r="R28" s="276"/>
      <c r="S28" s="277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8"/>
      <c r="R29" s="268"/>
      <c r="S29" s="268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78"/>
      <c r="R30" s="278"/>
      <c r="S30" s="278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78"/>
      <c r="R31" s="278"/>
      <c r="S31" s="278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68"/>
      <c r="R32" s="268"/>
      <c r="S32" s="26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8"/>
      <c r="R33" s="268"/>
      <c r="S33" s="26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8"/>
      <c r="R34" s="268"/>
      <c r="S34" s="26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57"/>
      <c r="R35" s="258"/>
      <c r="S35" s="25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60"/>
      <c r="R36" s="261"/>
      <c r="S36" s="262"/>
    </row>
    <row r="37" spans="1:19" ht="17.25" customHeight="1" thickBot="1">
      <c r="A37" s="131" t="s">
        <v>42</v>
      </c>
      <c r="B37" s="330">
        <v>150000</v>
      </c>
      <c r="C37" s="33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49" t="s">
        <v>298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55555000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-3.6323266700000002E-2</v>
      </c>
      <c r="N41" s="286"/>
      <c r="O41" s="287"/>
      <c r="Q41" s="278"/>
      <c r="R41" s="278"/>
      <c r="S41" s="278"/>
    </row>
    <row r="42" spans="1:19" ht="17.25" customHeight="1" thickBot="1">
      <c r="A42" s="332" t="s">
        <v>55</v>
      </c>
      <c r="B42" s="328" t="str">
        <f>TEXT($G$1, "[$-ko-KR]yyyy-mm-dd(ddd) ") &amp; "오전 00:00"</f>
        <v>2021-05-05(수) 오전 00:00</v>
      </c>
      <c r="C42" s="329"/>
      <c r="D42" s="292" t="str">
        <f>TEXT($G$1, "[$-ko-KR]yyyy-mm-dd(ddd) ") &amp; "오후 14:00"</f>
        <v>2021-05-05(수) 오후 14:00</v>
      </c>
      <c r="E42" s="293"/>
      <c r="F42" s="294"/>
      <c r="G42" s="292" t="str">
        <f>TEXT($G$1, "[$-ko-KR]yyyy-mm-dd(ddd) ") &amp; "오후 19:00"</f>
        <v>2021-05-05(수) 오후 19:00</v>
      </c>
      <c r="H42" s="293"/>
      <c r="I42" s="294"/>
      <c r="J42" s="292" t="str">
        <f>TEXT($G$1, "[$-ko-KR]yyyy-mm-dd(ddd) ") &amp; "오후 21:00"</f>
        <v>2021-05-05(수) 오후 21:00</v>
      </c>
      <c r="K42" s="293"/>
      <c r="L42" s="294"/>
      <c r="M42" s="292" t="str">
        <f>TEXT($G$1+1, "[$-ko-KR]yyyy-mm-dd(ddd) ") &amp; "오전 00:00"</f>
        <v>2021-05-06(목) 오전 00:00</v>
      </c>
      <c r="N42" s="293"/>
      <c r="O42" s="294"/>
      <c r="Q42" s="278"/>
      <c r="R42" s="278"/>
      <c r="S42" s="278"/>
    </row>
    <row r="43" spans="1:19" ht="17.25" customHeight="1" thickBot="1">
      <c r="A43" s="33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8"/>
      <c r="R43" s="268"/>
      <c r="S43" s="268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278"/>
      <c r="R44" s="278"/>
      <c r="S44" s="278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278"/>
      <c r="R45" s="278"/>
      <c r="S45" s="278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268"/>
      <c r="R46" s="268"/>
      <c r="S46" s="268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268"/>
      <c r="R47" s="268"/>
      <c r="S47" s="268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268"/>
      <c r="R48" s="268"/>
      <c r="S48" s="268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268"/>
      <c r="R49" s="268"/>
      <c r="S49" s="268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268"/>
      <c r="R50" s="268"/>
      <c r="S50" s="268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268"/>
      <c r="R51" s="268"/>
      <c r="S51" s="268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269"/>
      <c r="R53" s="270"/>
      <c r="S53" s="271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272"/>
      <c r="R54" s="273"/>
      <c r="S54" s="274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275"/>
      <c r="R55" s="276"/>
      <c r="S55" s="277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268"/>
      <c r="R56" s="268"/>
      <c r="S56" s="268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278"/>
      <c r="R57" s="278"/>
      <c r="S57" s="278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278"/>
      <c r="R58" s="278"/>
      <c r="S58" s="278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268"/>
      <c r="R59" s="268"/>
      <c r="S59" s="268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268"/>
      <c r="R60" s="268"/>
      <c r="S60" s="268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68"/>
      <c r="R61" s="268"/>
      <c r="S61" s="268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0"/>
      <c r="R63" s="261"/>
      <c r="S63" s="262"/>
    </row>
    <row r="64" spans="1:19" ht="17.25" customHeight="1" thickBot="1">
      <c r="A64" s="131" t="s">
        <v>301</v>
      </c>
      <c r="B64" s="330">
        <f>$B$37</f>
        <v>150000</v>
      </c>
      <c r="C64" s="331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49" t="s">
        <v>298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55555000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-3.6323266700000002E-2</v>
      </c>
      <c r="N68" s="286"/>
      <c r="O68" s="287"/>
      <c r="Q68" s="278"/>
      <c r="R68" s="278"/>
      <c r="S68" s="278"/>
    </row>
    <row r="69" spans="1:19" ht="17.25" thickBot="1">
      <c r="A69" s="332" t="s">
        <v>55</v>
      </c>
      <c r="B69" s="328" t="str">
        <f>TEXT($G$1, "[$-ko-KR]yyyy-mm-dd(ddd) ") &amp; "오전 00:00"</f>
        <v>2021-05-05(수) 오전 00:00</v>
      </c>
      <c r="C69" s="329"/>
      <c r="D69" s="292" t="str">
        <f>TEXT($G$1, "[$-ko-KR]yyyy-mm-dd(ddd) ") &amp; "오후 14:00"</f>
        <v>2021-05-05(수) 오후 14:00</v>
      </c>
      <c r="E69" s="293"/>
      <c r="F69" s="294"/>
      <c r="G69" s="292" t="str">
        <f>TEXT($G$1, "[$-ko-KR]yyyy-mm-dd(ddd) ") &amp; "오후 19:00"</f>
        <v>2021-05-05(수) 오후 19:00</v>
      </c>
      <c r="H69" s="293"/>
      <c r="I69" s="294"/>
      <c r="J69" s="292" t="str">
        <f>TEXT($G$1, "[$-ko-KR]yyyy-mm-dd(ddd) ") &amp; "오후 21:00"</f>
        <v>2021-05-05(수) 오후 21:00</v>
      </c>
      <c r="K69" s="293"/>
      <c r="L69" s="294"/>
      <c r="M69" s="292" t="str">
        <f>TEXT($G$1+1, "[$-ko-KR]yyyy-mm-dd(ddd) ") &amp; "오전 00:00"</f>
        <v>2021-05-06(목) 오전 00:00</v>
      </c>
      <c r="N69" s="293"/>
      <c r="O69" s="294"/>
      <c r="Q69" s="278"/>
      <c r="R69" s="278"/>
      <c r="S69" s="278"/>
    </row>
    <row r="70" spans="1:19" ht="17.25" thickBot="1">
      <c r="A70" s="33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8"/>
      <c r="R70" s="268"/>
      <c r="S70" s="268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278"/>
      <c r="R71" s="278"/>
      <c r="S71" s="278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278"/>
      <c r="R72" s="278"/>
      <c r="S72" s="278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268"/>
      <c r="R73" s="268"/>
      <c r="S73" s="268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268"/>
      <c r="R74" s="268"/>
      <c r="S74" s="268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268"/>
      <c r="R75" s="268"/>
      <c r="S75" s="268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268"/>
      <c r="R76" s="268"/>
      <c r="S76" s="268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268"/>
      <c r="R77" s="268"/>
      <c r="S77" s="268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268"/>
      <c r="R78" s="268"/>
      <c r="S78" s="268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269"/>
      <c r="R80" s="270"/>
      <c r="S80" s="271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272"/>
      <c r="R81" s="273"/>
      <c r="S81" s="274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275"/>
      <c r="R82" s="276"/>
      <c r="S82" s="277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268"/>
      <c r="R83" s="268"/>
      <c r="S83" s="268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278"/>
      <c r="R84" s="278"/>
      <c r="S84" s="278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278"/>
      <c r="R85" s="278"/>
      <c r="S85" s="278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268"/>
      <c r="R86" s="268"/>
      <c r="S86" s="268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68"/>
      <c r="R87" s="268"/>
      <c r="S87" s="268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268"/>
      <c r="R88" s="268"/>
      <c r="S88" s="268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257"/>
      <c r="R89" s="258"/>
      <c r="S89" s="259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260"/>
      <c r="R90" s="261"/>
      <c r="S90" s="262"/>
    </row>
    <row r="91" spans="1:19" ht="17.25" thickBot="1">
      <c r="A91" s="131" t="s">
        <v>301</v>
      </c>
      <c r="B91" s="330">
        <f>$B$37</f>
        <v>150000</v>
      </c>
      <c r="C91" s="331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49" t="s">
        <v>298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55555000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-3.6323266700000002E-2</v>
      </c>
      <c r="N95" s="286"/>
      <c r="O95" s="287"/>
      <c r="Q95" s="278"/>
      <c r="R95" s="278"/>
      <c r="S95" s="278"/>
    </row>
    <row r="96" spans="1:19" ht="17.25" thickBot="1">
      <c r="A96" s="332" t="s">
        <v>55</v>
      </c>
      <c r="B96" s="328" t="str">
        <f>TEXT($G$1, "[$-ko-KR]yyyy-mm-dd(ddd) ") &amp; "오전 00:00"</f>
        <v>2021-05-05(수) 오전 00:00</v>
      </c>
      <c r="C96" s="329"/>
      <c r="D96" s="292" t="str">
        <f>TEXT($G$1, "[$-ko-KR]yyyy-mm-dd(ddd) ") &amp; "오후 14:00"</f>
        <v>2021-05-05(수) 오후 14:00</v>
      </c>
      <c r="E96" s="293"/>
      <c r="F96" s="294"/>
      <c r="G96" s="292" t="str">
        <f>TEXT($G$1, "[$-ko-KR]yyyy-mm-dd(ddd) ") &amp; "오후 19:00"</f>
        <v>2021-05-05(수) 오후 19:00</v>
      </c>
      <c r="H96" s="293"/>
      <c r="I96" s="294"/>
      <c r="J96" s="292" t="str">
        <f>TEXT($G$1, "[$-ko-KR]yyyy-mm-dd(ddd) ") &amp; "오후 21:00"</f>
        <v>2021-05-05(수) 오후 21:00</v>
      </c>
      <c r="K96" s="293"/>
      <c r="L96" s="294"/>
      <c r="M96" s="292" t="str">
        <f>TEXT($G$1+1, "[$-ko-KR]yyyy-mm-dd(ddd) ") &amp; "오전 00:00"</f>
        <v>2021-05-06(목) 오전 00:00</v>
      </c>
      <c r="N96" s="293"/>
      <c r="O96" s="294"/>
      <c r="Q96" s="278"/>
      <c r="R96" s="278"/>
      <c r="S96" s="278"/>
    </row>
    <row r="97" spans="1:19" ht="17.25" thickBot="1">
      <c r="A97" s="33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8"/>
      <c r="R97" s="268"/>
      <c r="S97" s="268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278"/>
      <c r="R98" s="278"/>
      <c r="S98" s="278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278"/>
      <c r="R99" s="278"/>
      <c r="S99" s="278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268"/>
      <c r="R100" s="268"/>
      <c r="S100" s="268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268"/>
      <c r="R101" s="268"/>
      <c r="S101" s="268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268"/>
      <c r="R102" s="268"/>
      <c r="S102" s="268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268"/>
      <c r="R103" s="268"/>
      <c r="S103" s="268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268"/>
      <c r="R104" s="268"/>
      <c r="S104" s="268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268"/>
      <c r="R105" s="268"/>
      <c r="S105" s="268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269"/>
      <c r="R107" s="270"/>
      <c r="S107" s="271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272"/>
      <c r="R108" s="273"/>
      <c r="S108" s="274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275"/>
      <c r="R109" s="276"/>
      <c r="S109" s="277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268"/>
      <c r="R110" s="268"/>
      <c r="S110" s="268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278"/>
      <c r="R111" s="278"/>
      <c r="S111" s="278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278"/>
      <c r="R112" s="278"/>
      <c r="S112" s="278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268"/>
      <c r="R113" s="268"/>
      <c r="S113" s="268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268"/>
      <c r="R114" s="268"/>
      <c r="S114" s="268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268"/>
      <c r="R115" s="268"/>
      <c r="S115" s="268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257"/>
      <c r="R116" s="258"/>
      <c r="S116" s="259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260"/>
      <c r="R117" s="261"/>
      <c r="S117" s="262"/>
    </row>
    <row r="118" spans="1:19" ht="17.25" thickBot="1">
      <c r="A118" s="131" t="s">
        <v>301</v>
      </c>
      <c r="B118" s="330">
        <f>$B$37</f>
        <v>150000</v>
      </c>
      <c r="C118" s="331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263"/>
      <c r="R118" s="264"/>
      <c r="S118" s="265"/>
    </row>
    <row r="120" spans="1:19" ht="17.25" thickBot="1"/>
    <row r="121" spans="1:19" ht="17.25" thickBot="1">
      <c r="A121" s="279" t="s">
        <v>288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49" t="s">
        <v>298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55555000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-3.6323266700000002E-2</v>
      </c>
      <c r="N122" s="286"/>
      <c r="O122" s="287"/>
      <c r="Q122" s="278"/>
      <c r="R122" s="278"/>
      <c r="S122" s="278"/>
    </row>
    <row r="123" spans="1:19" ht="17.25" thickBot="1">
      <c r="A123" s="332" t="s">
        <v>55</v>
      </c>
      <c r="B123" s="328" t="str">
        <f>TEXT($G$1, "[$-ko-KR]yyyy-mm-dd(ddd) ") &amp; "오전 00:00"</f>
        <v>2021-05-05(수) 오전 00:00</v>
      </c>
      <c r="C123" s="329"/>
      <c r="D123" s="292" t="str">
        <f>TEXT($G$1, "[$-ko-KR]yyyy-mm-dd(ddd) ") &amp; "오후 14:00"</f>
        <v>2021-05-05(수) 오후 14:00</v>
      </c>
      <c r="E123" s="293"/>
      <c r="F123" s="294"/>
      <c r="G123" s="292" t="str">
        <f>TEXT($G$1, "[$-ko-KR]yyyy-mm-dd(ddd) ") &amp; "오후 19:00"</f>
        <v>2021-05-05(수) 오후 19:00</v>
      </c>
      <c r="H123" s="293"/>
      <c r="I123" s="294"/>
      <c r="J123" s="292" t="str">
        <f>TEXT($G$1, "[$-ko-KR]yyyy-mm-dd(ddd) ") &amp; "오후 21:00"</f>
        <v>2021-05-05(수) 오후 21:00</v>
      </c>
      <c r="K123" s="293"/>
      <c r="L123" s="294"/>
      <c r="M123" s="292" t="str">
        <f>TEXT($G$1+1, "[$-ko-KR]yyyy-mm-dd(ddd) ") &amp; "오전 00:00"</f>
        <v>2021-05-06(목) 오전 00:00</v>
      </c>
      <c r="N123" s="293"/>
      <c r="O123" s="294"/>
      <c r="Q123" s="278"/>
      <c r="R123" s="278"/>
      <c r="S123" s="278"/>
    </row>
    <row r="124" spans="1:19" ht="17.25" thickBot="1">
      <c r="A124" s="33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8"/>
      <c r="R124" s="268"/>
      <c r="S124" s="268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278"/>
      <c r="R125" s="278"/>
      <c r="S125" s="278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278"/>
      <c r="R126" s="278"/>
      <c r="S126" s="278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268"/>
      <c r="R127" s="268"/>
      <c r="S127" s="268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268"/>
      <c r="R128" s="268"/>
      <c r="S128" s="268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268"/>
      <c r="R129" s="268"/>
      <c r="S129" s="268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268"/>
      <c r="R130" s="268"/>
      <c r="S130" s="268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268"/>
      <c r="R131" s="268"/>
      <c r="S131" s="268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268"/>
      <c r="R132" s="268"/>
      <c r="S132" s="268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269"/>
      <c r="R134" s="270"/>
      <c r="S134" s="271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272"/>
      <c r="R135" s="273"/>
      <c r="S135" s="274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275"/>
      <c r="R136" s="276"/>
      <c r="S136" s="277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268"/>
      <c r="R137" s="268"/>
      <c r="S137" s="268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278"/>
      <c r="R138" s="278"/>
      <c r="S138" s="278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278"/>
      <c r="R139" s="278"/>
      <c r="S139" s="278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268"/>
      <c r="R140" s="268"/>
      <c r="S140" s="268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268"/>
      <c r="R141" s="268"/>
      <c r="S141" s="268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68"/>
      <c r="R142" s="268"/>
      <c r="S142" s="268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0"/>
      <c r="R144" s="261"/>
      <c r="S144" s="262"/>
    </row>
    <row r="145" spans="1:19" ht="17.25" thickBot="1">
      <c r="A145" s="131" t="s">
        <v>301</v>
      </c>
      <c r="B145" s="330">
        <f>$B$37</f>
        <v>150000</v>
      </c>
      <c r="C145" s="331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263"/>
      <c r="R145" s="264"/>
      <c r="S145" s="265"/>
    </row>
    <row r="147" spans="1:19" ht="17.25" thickBot="1"/>
    <row r="148" spans="1:19" ht="17.25" thickBot="1">
      <c r="A148" s="279" t="s">
        <v>289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49" t="s">
        <v>298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55555000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-3.6323266700000002E-2</v>
      </c>
      <c r="N149" s="286"/>
      <c r="O149" s="287"/>
      <c r="Q149" s="278"/>
      <c r="R149" s="278"/>
      <c r="S149" s="278"/>
    </row>
    <row r="150" spans="1:19" ht="17.25" thickBot="1">
      <c r="A150" s="332" t="s">
        <v>55</v>
      </c>
      <c r="B150" s="328" t="str">
        <f>TEXT($G$1, "[$-ko-KR]yyyy-mm-dd(ddd) ") &amp; "오전 00:00"</f>
        <v>2021-05-05(수) 오전 00:00</v>
      </c>
      <c r="C150" s="329"/>
      <c r="D150" s="292" t="str">
        <f>TEXT($G$1, "[$-ko-KR]yyyy-mm-dd(ddd) ") &amp; "오후 14:00"</f>
        <v>2021-05-05(수) 오후 14:00</v>
      </c>
      <c r="E150" s="293"/>
      <c r="F150" s="294"/>
      <c r="G150" s="292" t="str">
        <f>TEXT($G$1, "[$-ko-KR]yyyy-mm-dd(ddd) ") &amp; "오후 19:00"</f>
        <v>2021-05-05(수) 오후 19:00</v>
      </c>
      <c r="H150" s="293"/>
      <c r="I150" s="294"/>
      <c r="J150" s="292" t="str">
        <f>TEXT($G$1, "[$-ko-KR]yyyy-mm-dd(ddd) ") &amp; "오후 21:00"</f>
        <v>2021-05-05(수) 오후 21:00</v>
      </c>
      <c r="K150" s="293"/>
      <c r="L150" s="294"/>
      <c r="M150" s="292" t="str">
        <f>TEXT($G$1+1, "[$-ko-KR]yyyy-mm-dd(ddd) ") &amp; "오전 00:00"</f>
        <v>2021-05-06(목) 오전 00:00</v>
      </c>
      <c r="N150" s="293"/>
      <c r="O150" s="294"/>
      <c r="Q150" s="278"/>
      <c r="R150" s="278"/>
      <c r="S150" s="278"/>
    </row>
    <row r="151" spans="1:19" ht="17.25" thickBot="1">
      <c r="A151" s="33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8"/>
      <c r="R151" s="268"/>
      <c r="S151" s="268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278"/>
      <c r="R152" s="278"/>
      <c r="S152" s="278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78"/>
      <c r="R153" s="278"/>
      <c r="S153" s="278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268"/>
      <c r="R154" s="268"/>
      <c r="S154" s="268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268"/>
      <c r="R155" s="268"/>
      <c r="S155" s="268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268"/>
      <c r="R156" s="268"/>
      <c r="S156" s="268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268"/>
      <c r="R157" s="268"/>
      <c r="S157" s="268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268"/>
      <c r="R158" s="268"/>
      <c r="S158" s="268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268"/>
      <c r="R159" s="268"/>
      <c r="S159" s="268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269"/>
      <c r="R161" s="270"/>
      <c r="S161" s="271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272"/>
      <c r="R162" s="273"/>
      <c r="S162" s="274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275"/>
      <c r="R163" s="276"/>
      <c r="S163" s="277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268"/>
      <c r="R164" s="268"/>
      <c r="S164" s="268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278"/>
      <c r="R165" s="278"/>
      <c r="S165" s="278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278"/>
      <c r="R166" s="278"/>
      <c r="S166" s="278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268"/>
      <c r="R167" s="268"/>
      <c r="S167" s="268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268"/>
      <c r="R168" s="268"/>
      <c r="S168" s="268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268"/>
      <c r="R169" s="268"/>
      <c r="S169" s="268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257"/>
      <c r="R170" s="258"/>
      <c r="S170" s="259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260"/>
      <c r="R171" s="261"/>
      <c r="S171" s="262"/>
    </row>
    <row r="172" spans="1:19" ht="17.25" thickBot="1">
      <c r="A172" s="131" t="s">
        <v>301</v>
      </c>
      <c r="B172" s="330">
        <f>$B$37</f>
        <v>150000</v>
      </c>
      <c r="C172" s="331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263"/>
      <c r="R172" s="264"/>
      <c r="S172" s="265"/>
    </row>
    <row r="174" spans="1:19" ht="17.25" thickBot="1"/>
    <row r="175" spans="1:19" ht="17.25" thickBot="1">
      <c r="A175" s="279" t="s">
        <v>285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49" t="s">
        <v>298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55555000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-3.6323266700000002E-2</v>
      </c>
      <c r="N176" s="286"/>
      <c r="O176" s="287"/>
      <c r="Q176" s="278"/>
      <c r="R176" s="278"/>
      <c r="S176" s="278"/>
    </row>
    <row r="177" spans="1:19" ht="17.25" thickBot="1">
      <c r="A177" s="332" t="s">
        <v>55</v>
      </c>
      <c r="B177" s="328" t="str">
        <f>TEXT($G$1, "[$-ko-KR]yyyy-mm-dd(ddd) ") &amp; "오전 00:00"</f>
        <v>2021-05-05(수) 오전 00:00</v>
      </c>
      <c r="C177" s="329"/>
      <c r="D177" s="292" t="str">
        <f>TEXT($G$1, "[$-ko-KR]yyyy-mm-dd(ddd) ") &amp; "오후 14:00"</f>
        <v>2021-05-05(수) 오후 14:00</v>
      </c>
      <c r="E177" s="293"/>
      <c r="F177" s="294"/>
      <c r="G177" s="292" t="str">
        <f>TEXT($G$1, "[$-ko-KR]yyyy-mm-dd(ddd) ") &amp; "오후 19:00"</f>
        <v>2021-05-05(수) 오후 19:00</v>
      </c>
      <c r="H177" s="293"/>
      <c r="I177" s="294"/>
      <c r="J177" s="292" t="str">
        <f>TEXT($G$1, "[$-ko-KR]yyyy-mm-dd(ddd) ") &amp; "오후 21:00"</f>
        <v>2021-05-05(수) 오후 21:00</v>
      </c>
      <c r="K177" s="293"/>
      <c r="L177" s="294"/>
      <c r="M177" s="292" t="str">
        <f>TEXT($G$1+1, "[$-ko-KR]yyyy-mm-dd(ddd) ") &amp; "오전 00:00"</f>
        <v>2021-05-06(목) 오전 00:00</v>
      </c>
      <c r="N177" s="293"/>
      <c r="O177" s="294"/>
      <c r="Q177" s="278"/>
      <c r="R177" s="278"/>
      <c r="S177" s="278"/>
    </row>
    <row r="178" spans="1:19" ht="17.25" thickBot="1">
      <c r="A178" s="33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8"/>
      <c r="R178" s="268"/>
      <c r="S178" s="268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278"/>
      <c r="R179" s="278"/>
      <c r="S179" s="278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278"/>
      <c r="R180" s="278"/>
      <c r="S180" s="278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268"/>
      <c r="R181" s="268"/>
      <c r="S181" s="268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268"/>
      <c r="R182" s="268"/>
      <c r="S182" s="268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268"/>
      <c r="R183" s="268"/>
      <c r="S183" s="268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268"/>
      <c r="R184" s="268"/>
      <c r="S184" s="268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268"/>
      <c r="R185" s="268"/>
      <c r="S185" s="268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268"/>
      <c r="R186" s="268"/>
      <c r="S186" s="268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269"/>
      <c r="R188" s="270"/>
      <c r="S188" s="271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272"/>
      <c r="R189" s="273"/>
      <c r="S189" s="274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275"/>
      <c r="R190" s="276"/>
      <c r="S190" s="277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268"/>
      <c r="R191" s="268"/>
      <c r="S191" s="268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278"/>
      <c r="R192" s="278"/>
      <c r="S192" s="278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278"/>
      <c r="R193" s="278"/>
      <c r="S193" s="278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268"/>
      <c r="R194" s="268"/>
      <c r="S194" s="268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268"/>
      <c r="R195" s="268"/>
      <c r="S195" s="268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268"/>
      <c r="R196" s="268"/>
      <c r="S196" s="268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257"/>
      <c r="R197" s="258"/>
      <c r="S197" s="259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260"/>
      <c r="R198" s="261"/>
      <c r="S198" s="262"/>
    </row>
    <row r="199" spans="1:19" ht="17.25" thickBot="1">
      <c r="A199" s="131" t="s">
        <v>301</v>
      </c>
      <c r="B199" s="330">
        <f>$B$37</f>
        <v>150000</v>
      </c>
      <c r="C199" s="331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44322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6" t="s">
        <v>3</v>
      </c>
      <c r="B2" s="313" t="s">
        <v>4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5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7" t="s">
        <v>7</v>
      </c>
      <c r="B3" s="304" t="s">
        <v>8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301"/>
      <c r="I3" s="302"/>
      <c r="J3" s="4" t="s">
        <v>7</v>
      </c>
      <c r="K3" s="304" t="s">
        <v>9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04" t="s">
        <v>12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13</v>
      </c>
      <c r="L4" s="305"/>
      <c r="M4" s="305"/>
      <c r="N4" s="305"/>
      <c r="O4" s="30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04" t="s">
        <v>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301"/>
      <c r="I5" s="302"/>
      <c r="J5" s="4" t="s">
        <v>15</v>
      </c>
      <c r="K5" s="304" t="s">
        <v>17</v>
      </c>
      <c r="L5" s="305"/>
      <c r="M5" s="305"/>
      <c r="N5" s="305"/>
      <c r="O5" s="306"/>
    </row>
    <row r="6" spans="1:19">
      <c r="A6" s="117" t="s">
        <v>18</v>
      </c>
      <c r="B6" s="304" t="s">
        <v>19</v>
      </c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20</v>
      </c>
      <c r="L6" s="305"/>
      <c r="M6" s="305"/>
      <c r="N6" s="305"/>
      <c r="O6" s="306"/>
    </row>
    <row r="7" spans="1:19" ht="17.25" thickBot="1">
      <c r="A7" s="117" t="s">
        <v>21</v>
      </c>
      <c r="B7" s="304" t="s">
        <v>22</v>
      </c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301"/>
      <c r="I7" s="302"/>
      <c r="J7" s="4" t="s">
        <v>21</v>
      </c>
      <c r="K7" s="304" t="s">
        <v>23</v>
      </c>
      <c r="L7" s="305"/>
      <c r="M7" s="305"/>
      <c r="N7" s="305"/>
      <c r="O7" s="306"/>
    </row>
    <row r="8" spans="1:19" ht="17.25" thickBot="1">
      <c r="A8" s="117" t="s">
        <v>24</v>
      </c>
      <c r="B8" s="304" t="s">
        <v>25</v>
      </c>
      <c r="C8" s="305"/>
      <c r="D8" s="305"/>
      <c r="E8" s="305"/>
      <c r="F8" s="306"/>
      <c r="G8" s="307" t="s">
        <v>285</v>
      </c>
      <c r="H8" s="308"/>
      <c r="I8" s="309"/>
      <c r="J8" s="4" t="s">
        <v>24</v>
      </c>
      <c r="K8" s="304" t="s">
        <v>26</v>
      </c>
      <c r="L8" s="305"/>
      <c r="M8" s="305"/>
      <c r="N8" s="305"/>
      <c r="O8" s="306"/>
      <c r="Q8" s="279" t="s">
        <v>27</v>
      </c>
      <c r="R8" s="281"/>
    </row>
    <row r="9" spans="1:19" ht="17.25" thickBot="1">
      <c r="A9" s="117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301"/>
      <c r="I9" s="302"/>
      <c r="J9" s="4" t="s">
        <v>28</v>
      </c>
      <c r="K9" s="304" t="s">
        <v>293</v>
      </c>
      <c r="L9" s="305"/>
      <c r="M9" s="305"/>
      <c r="N9" s="305"/>
      <c r="O9" s="306"/>
      <c r="Q9" s="2" t="s">
        <v>29</v>
      </c>
      <c r="R9" s="6">
        <v>10</v>
      </c>
    </row>
    <row r="10" spans="1:19">
      <c r="A10" s="117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/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8" t="s">
        <v>32</v>
      </c>
      <c r="B11" s="297"/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301"/>
      <c r="I11" s="302"/>
      <c r="J11" s="7" t="s">
        <v>32</v>
      </c>
      <c r="K11" s="297"/>
      <c r="L11" s="298"/>
      <c r="M11" s="298"/>
      <c r="N11" s="298"/>
      <c r="O11" s="299"/>
      <c r="Q11" s="61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59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55555000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-3.6323266700000002E-2</v>
      </c>
      <c r="N14" s="286"/>
      <c r="O14" s="287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2021-05-06(목) 오전 00:00</v>
      </c>
      <c r="C15" s="324"/>
      <c r="D15" s="292" t="str">
        <f>TEXT($G$1, "[$-ko-KR]yyyy-mm-dd(ddd) ") &amp; "오후 14:00"</f>
        <v>2021-05-06(목) 오후 14:00</v>
      </c>
      <c r="E15" s="293"/>
      <c r="F15" s="294"/>
      <c r="G15" s="292" t="str">
        <f>TEXT($G$1, "[$-ko-KR]yyyy-mm-dd(ddd) ") &amp; "오후 19:00"</f>
        <v>2021-05-06(목) 오후 19:00</v>
      </c>
      <c r="H15" s="293"/>
      <c r="I15" s="294"/>
      <c r="J15" s="292" t="str">
        <f>TEXT($G$1, "[$-ko-KR]yyyy-mm-dd(ddd) ") &amp; "오후 21:00"</f>
        <v>2021-05-06(목) 오후 21:00</v>
      </c>
      <c r="K15" s="293"/>
      <c r="L15" s="294"/>
      <c r="M15" s="292" t="str">
        <f>TEXT($G$1+1, "[$-ko-KR]yyyy-mm-dd(ddd) ") &amp; "오전 00:00"</f>
        <v>2021-05-07(금) 오전 00:00</v>
      </c>
      <c r="N15" s="293"/>
      <c r="O15" s="294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8"/>
      <c r="R16" s="268"/>
      <c r="S16" s="268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278"/>
      <c r="R17" s="278"/>
      <c r="S17" s="278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278"/>
      <c r="R18" s="278"/>
      <c r="S18" s="278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268"/>
      <c r="R19" s="268"/>
      <c r="S19" s="268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268"/>
      <c r="R20" s="268"/>
      <c r="S20" s="268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268"/>
      <c r="R21" s="268"/>
      <c r="S21" s="268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268"/>
      <c r="R22" s="268"/>
      <c r="S22" s="268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268"/>
      <c r="R23" s="268"/>
      <c r="S23" s="268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268"/>
      <c r="R24" s="268"/>
      <c r="S24" s="268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269"/>
      <c r="R26" s="270"/>
      <c r="S26" s="271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272"/>
      <c r="R27" s="273"/>
      <c r="S27" s="274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275"/>
      <c r="R28" s="276"/>
      <c r="S28" s="277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268"/>
      <c r="R29" s="268"/>
      <c r="S29" s="268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278"/>
      <c r="R30" s="278"/>
      <c r="S30" s="278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278"/>
      <c r="R31" s="278"/>
      <c r="S31" s="278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268"/>
      <c r="R32" s="268"/>
      <c r="S32" s="268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268"/>
      <c r="R33" s="268"/>
      <c r="S33" s="268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268"/>
      <c r="R34" s="268"/>
      <c r="S34" s="268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257"/>
      <c r="R35" s="258"/>
      <c r="S35" s="259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260"/>
      <c r="R36" s="261"/>
      <c r="S36" s="262"/>
    </row>
    <row r="37" spans="1:19" ht="17.25" customHeight="1" thickBot="1">
      <c r="A37" s="131" t="s">
        <v>42</v>
      </c>
      <c r="B37" s="330">
        <v>150000</v>
      </c>
      <c r="C37" s="331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59" t="s">
        <v>298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55555000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-3.6323266700000002E-2</v>
      </c>
      <c r="N41" s="286"/>
      <c r="O41" s="287"/>
      <c r="Q41" s="278"/>
      <c r="R41" s="278"/>
      <c r="S41" s="278"/>
    </row>
    <row r="42" spans="1:19" ht="17.25" customHeight="1" thickBot="1">
      <c r="A42" s="332" t="s">
        <v>55</v>
      </c>
      <c r="B42" s="328" t="str">
        <f>TEXT($G$1, "[$-ko-KR]yyyy-mm-dd(ddd) ") &amp; "오전 00:00"</f>
        <v>2021-05-06(목) 오전 00:00</v>
      </c>
      <c r="C42" s="329"/>
      <c r="D42" s="292" t="str">
        <f>TEXT($G$1, "[$-ko-KR]yyyy-mm-dd(ddd) ") &amp; "오후 14:00"</f>
        <v>2021-05-06(목) 오후 14:00</v>
      </c>
      <c r="E42" s="293"/>
      <c r="F42" s="294"/>
      <c r="G42" s="292" t="str">
        <f>TEXT($G$1, "[$-ko-KR]yyyy-mm-dd(ddd) ") &amp; "오후 19:00"</f>
        <v>2021-05-06(목) 오후 19:00</v>
      </c>
      <c r="H42" s="293"/>
      <c r="I42" s="294"/>
      <c r="J42" s="292" t="str">
        <f>TEXT($G$1, "[$-ko-KR]yyyy-mm-dd(ddd) ") &amp; "오후 21:00"</f>
        <v>2021-05-06(목) 오후 21:00</v>
      </c>
      <c r="K42" s="293"/>
      <c r="L42" s="294"/>
      <c r="M42" s="292" t="str">
        <f>TEXT($G$1+1, "[$-ko-KR]yyyy-mm-dd(ddd) ") &amp; "오전 00:00"</f>
        <v>2021-05-07(금) 오전 00:00</v>
      </c>
      <c r="N42" s="293"/>
      <c r="O42" s="294"/>
      <c r="Q42" s="278"/>
      <c r="R42" s="278"/>
      <c r="S42" s="278"/>
    </row>
    <row r="43" spans="1:19" ht="17.25" customHeight="1" thickBot="1">
      <c r="A43" s="33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8"/>
      <c r="R43" s="268"/>
      <c r="S43" s="268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278"/>
      <c r="R44" s="278"/>
      <c r="S44" s="278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278"/>
      <c r="R45" s="278"/>
      <c r="S45" s="278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268"/>
      <c r="R46" s="268"/>
      <c r="S46" s="268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268"/>
      <c r="R47" s="268"/>
      <c r="S47" s="268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268"/>
      <c r="R48" s="268"/>
      <c r="S48" s="268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268"/>
      <c r="R49" s="268"/>
      <c r="S49" s="268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268"/>
      <c r="R50" s="268"/>
      <c r="S50" s="268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268"/>
      <c r="R51" s="268"/>
      <c r="S51" s="268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269"/>
      <c r="R53" s="270"/>
      <c r="S53" s="271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272"/>
      <c r="R54" s="273"/>
      <c r="S54" s="274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275"/>
      <c r="R55" s="276"/>
      <c r="S55" s="277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268"/>
      <c r="R56" s="268"/>
      <c r="S56" s="268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278"/>
      <c r="R57" s="278"/>
      <c r="S57" s="278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278"/>
      <c r="R58" s="278"/>
      <c r="S58" s="278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268"/>
      <c r="R59" s="268"/>
      <c r="S59" s="268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268"/>
      <c r="R60" s="268"/>
      <c r="S60" s="268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268"/>
      <c r="R61" s="268"/>
      <c r="S61" s="268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57"/>
      <c r="R62" s="258"/>
      <c r="S62" s="25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0"/>
      <c r="R63" s="261"/>
      <c r="S63" s="262"/>
    </row>
    <row r="64" spans="1:19" ht="17.25" customHeight="1" thickBot="1">
      <c r="A64" s="131" t="s">
        <v>301</v>
      </c>
      <c r="B64" s="330">
        <f>$B$37</f>
        <v>150000</v>
      </c>
      <c r="C64" s="331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59" t="s">
        <v>298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55555000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-3.6323266700000002E-2</v>
      </c>
      <c r="N68" s="286"/>
      <c r="O68" s="287"/>
      <c r="Q68" s="278"/>
      <c r="R68" s="278"/>
      <c r="S68" s="278"/>
    </row>
    <row r="69" spans="1:19" ht="17.25" thickBot="1">
      <c r="A69" s="332" t="s">
        <v>55</v>
      </c>
      <c r="B69" s="328" t="str">
        <f>TEXT($G$1, "[$-ko-KR]yyyy-mm-dd(ddd) ") &amp; "오전 00:00"</f>
        <v>2021-05-06(목) 오전 00:00</v>
      </c>
      <c r="C69" s="329"/>
      <c r="D69" s="292" t="str">
        <f>TEXT($G$1, "[$-ko-KR]yyyy-mm-dd(ddd) ") &amp; "오후 14:00"</f>
        <v>2021-05-06(목) 오후 14:00</v>
      </c>
      <c r="E69" s="293"/>
      <c r="F69" s="294"/>
      <c r="G69" s="292" t="str">
        <f>TEXT($G$1, "[$-ko-KR]yyyy-mm-dd(ddd) ") &amp; "오후 19:00"</f>
        <v>2021-05-06(목) 오후 19:00</v>
      </c>
      <c r="H69" s="293"/>
      <c r="I69" s="294"/>
      <c r="J69" s="292" t="str">
        <f>TEXT($G$1, "[$-ko-KR]yyyy-mm-dd(ddd) ") &amp; "오후 21:00"</f>
        <v>2021-05-06(목) 오후 21:00</v>
      </c>
      <c r="K69" s="293"/>
      <c r="L69" s="294"/>
      <c r="M69" s="292" t="str">
        <f>TEXT($G$1+1, "[$-ko-KR]yyyy-mm-dd(ddd) ") &amp; "오전 00:00"</f>
        <v>2021-05-07(금) 오전 00:00</v>
      </c>
      <c r="N69" s="293"/>
      <c r="O69" s="294"/>
      <c r="Q69" s="278"/>
      <c r="R69" s="278"/>
      <c r="S69" s="278"/>
    </row>
    <row r="70" spans="1:19" ht="17.25" thickBot="1">
      <c r="A70" s="33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8"/>
      <c r="R70" s="268"/>
      <c r="S70" s="268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278"/>
      <c r="R71" s="278"/>
      <c r="S71" s="278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278"/>
      <c r="R72" s="278"/>
      <c r="S72" s="278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268"/>
      <c r="R73" s="268"/>
      <c r="S73" s="268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268"/>
      <c r="R74" s="268"/>
      <c r="S74" s="268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268"/>
      <c r="R75" s="268"/>
      <c r="S75" s="268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268"/>
      <c r="R76" s="268"/>
      <c r="S76" s="268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268"/>
      <c r="R77" s="268"/>
      <c r="S77" s="268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268"/>
      <c r="R78" s="268"/>
      <c r="S78" s="268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269"/>
      <c r="R80" s="270"/>
      <c r="S80" s="271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272"/>
      <c r="R81" s="273"/>
      <c r="S81" s="274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275"/>
      <c r="R82" s="276"/>
      <c r="S82" s="277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268"/>
      <c r="R83" s="268"/>
      <c r="S83" s="268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278"/>
      <c r="R84" s="278"/>
      <c r="S84" s="278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278"/>
      <c r="R85" s="278"/>
      <c r="S85" s="278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268"/>
      <c r="R86" s="268"/>
      <c r="S86" s="268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268"/>
      <c r="R87" s="268"/>
      <c r="S87" s="268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268"/>
      <c r="R88" s="268"/>
      <c r="S88" s="268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257"/>
      <c r="R89" s="258"/>
      <c r="S89" s="259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260"/>
      <c r="R90" s="261"/>
      <c r="S90" s="262"/>
    </row>
    <row r="91" spans="1:19" ht="17.25" thickBot="1">
      <c r="A91" s="131" t="s">
        <v>301</v>
      </c>
      <c r="B91" s="330">
        <f>$B$37</f>
        <v>150000</v>
      </c>
      <c r="C91" s="331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59" t="s">
        <v>298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55555000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-3.6323266700000002E-2</v>
      </c>
      <c r="N95" s="286"/>
      <c r="O95" s="287"/>
      <c r="Q95" s="278"/>
      <c r="R95" s="278"/>
      <c r="S95" s="278"/>
    </row>
    <row r="96" spans="1:19" ht="17.25" thickBot="1">
      <c r="A96" s="332" t="s">
        <v>55</v>
      </c>
      <c r="B96" s="328" t="str">
        <f>TEXT($G$1, "[$-ko-KR]yyyy-mm-dd(ddd) ") &amp; "오전 00:00"</f>
        <v>2021-05-06(목) 오전 00:00</v>
      </c>
      <c r="C96" s="329"/>
      <c r="D96" s="292" t="str">
        <f>TEXT($G$1, "[$-ko-KR]yyyy-mm-dd(ddd) ") &amp; "오후 14:00"</f>
        <v>2021-05-06(목) 오후 14:00</v>
      </c>
      <c r="E96" s="293"/>
      <c r="F96" s="294"/>
      <c r="G96" s="292" t="str">
        <f>TEXT($G$1, "[$-ko-KR]yyyy-mm-dd(ddd) ") &amp; "오후 19:00"</f>
        <v>2021-05-06(목) 오후 19:00</v>
      </c>
      <c r="H96" s="293"/>
      <c r="I96" s="294"/>
      <c r="J96" s="292" t="str">
        <f>TEXT($G$1, "[$-ko-KR]yyyy-mm-dd(ddd) ") &amp; "오후 21:00"</f>
        <v>2021-05-06(목) 오후 21:00</v>
      </c>
      <c r="K96" s="293"/>
      <c r="L96" s="294"/>
      <c r="M96" s="292" t="str">
        <f>TEXT($G$1+1, "[$-ko-KR]yyyy-mm-dd(ddd) ") &amp; "오전 00:00"</f>
        <v>2021-05-07(금) 오전 00:00</v>
      </c>
      <c r="N96" s="293"/>
      <c r="O96" s="294"/>
      <c r="Q96" s="278"/>
      <c r="R96" s="278"/>
      <c r="S96" s="278"/>
    </row>
    <row r="97" spans="1:19" ht="17.25" thickBot="1">
      <c r="A97" s="33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8"/>
      <c r="R97" s="268"/>
      <c r="S97" s="268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278"/>
      <c r="R98" s="278"/>
      <c r="S98" s="278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278"/>
      <c r="R99" s="278"/>
      <c r="S99" s="278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268"/>
      <c r="R100" s="268"/>
      <c r="S100" s="268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268"/>
      <c r="R101" s="268"/>
      <c r="S101" s="268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268"/>
      <c r="R102" s="268"/>
      <c r="S102" s="268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268"/>
      <c r="R103" s="268"/>
      <c r="S103" s="268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268"/>
      <c r="R104" s="268"/>
      <c r="S104" s="268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268"/>
      <c r="R105" s="268"/>
      <c r="S105" s="268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269"/>
      <c r="R107" s="270"/>
      <c r="S107" s="271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272"/>
      <c r="R108" s="273"/>
      <c r="S108" s="274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275"/>
      <c r="R109" s="276"/>
      <c r="S109" s="277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268"/>
      <c r="R110" s="268"/>
      <c r="S110" s="268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278"/>
      <c r="R111" s="278"/>
      <c r="S111" s="278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278"/>
      <c r="R112" s="278"/>
      <c r="S112" s="278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268"/>
      <c r="R113" s="268"/>
      <c r="S113" s="268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268"/>
      <c r="R114" s="268"/>
      <c r="S114" s="268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268"/>
      <c r="R115" s="268"/>
      <c r="S115" s="268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257"/>
      <c r="R116" s="258"/>
      <c r="S116" s="259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260"/>
      <c r="R117" s="261"/>
      <c r="S117" s="262"/>
    </row>
    <row r="118" spans="1:19" ht="17.25" thickBot="1">
      <c r="A118" s="131" t="s">
        <v>301</v>
      </c>
      <c r="B118" s="330">
        <f>$B$37</f>
        <v>150000</v>
      </c>
      <c r="C118" s="331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263"/>
      <c r="R118" s="264"/>
      <c r="S118" s="265"/>
    </row>
    <row r="120" spans="1:19" ht="17.25" thickBot="1"/>
    <row r="121" spans="1:19" ht="17.25" thickBot="1">
      <c r="A121" s="279" t="s">
        <v>288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59" t="s">
        <v>298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55555000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-3.6323266700000002E-2</v>
      </c>
      <c r="N122" s="286"/>
      <c r="O122" s="287"/>
      <c r="Q122" s="278"/>
      <c r="R122" s="278"/>
      <c r="S122" s="278"/>
    </row>
    <row r="123" spans="1:19" ht="17.25" thickBot="1">
      <c r="A123" s="332" t="s">
        <v>55</v>
      </c>
      <c r="B123" s="328" t="str">
        <f>TEXT($G$1, "[$-ko-KR]yyyy-mm-dd(ddd) ") &amp; "오전 00:00"</f>
        <v>2021-05-06(목) 오전 00:00</v>
      </c>
      <c r="C123" s="329"/>
      <c r="D123" s="292" t="str">
        <f>TEXT($G$1, "[$-ko-KR]yyyy-mm-dd(ddd) ") &amp; "오후 14:00"</f>
        <v>2021-05-06(목) 오후 14:00</v>
      </c>
      <c r="E123" s="293"/>
      <c r="F123" s="294"/>
      <c r="G123" s="292" t="str">
        <f>TEXT($G$1, "[$-ko-KR]yyyy-mm-dd(ddd) ") &amp; "오후 19:00"</f>
        <v>2021-05-06(목) 오후 19:00</v>
      </c>
      <c r="H123" s="293"/>
      <c r="I123" s="294"/>
      <c r="J123" s="292" t="str">
        <f>TEXT($G$1, "[$-ko-KR]yyyy-mm-dd(ddd) ") &amp; "오후 21:00"</f>
        <v>2021-05-06(목) 오후 21:00</v>
      </c>
      <c r="K123" s="293"/>
      <c r="L123" s="294"/>
      <c r="M123" s="292" t="str">
        <f>TEXT($G$1+1, "[$-ko-KR]yyyy-mm-dd(ddd) ") &amp; "오전 00:00"</f>
        <v>2021-05-07(금) 오전 00:00</v>
      </c>
      <c r="N123" s="293"/>
      <c r="O123" s="294"/>
      <c r="Q123" s="278"/>
      <c r="R123" s="278"/>
      <c r="S123" s="278"/>
    </row>
    <row r="124" spans="1:19" ht="17.25" thickBot="1">
      <c r="A124" s="33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8"/>
      <c r="R124" s="268"/>
      <c r="S124" s="268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278"/>
      <c r="R125" s="278"/>
      <c r="S125" s="278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278"/>
      <c r="R126" s="278"/>
      <c r="S126" s="278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268"/>
      <c r="R127" s="268"/>
      <c r="S127" s="268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268"/>
      <c r="R128" s="268"/>
      <c r="S128" s="268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268"/>
      <c r="R129" s="268"/>
      <c r="S129" s="268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268"/>
      <c r="R130" s="268"/>
      <c r="S130" s="268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268"/>
      <c r="R131" s="268"/>
      <c r="S131" s="268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268"/>
      <c r="R132" s="268"/>
      <c r="S132" s="268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269"/>
      <c r="R134" s="270"/>
      <c r="S134" s="271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272"/>
      <c r="R135" s="273"/>
      <c r="S135" s="274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275"/>
      <c r="R136" s="276"/>
      <c r="S136" s="277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268"/>
      <c r="R137" s="268"/>
      <c r="S137" s="268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278"/>
      <c r="R138" s="278"/>
      <c r="S138" s="278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278"/>
      <c r="R139" s="278"/>
      <c r="S139" s="278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268"/>
      <c r="R140" s="268"/>
      <c r="S140" s="268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68"/>
      <c r="R141" s="268"/>
      <c r="S141" s="268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268"/>
      <c r="R142" s="268"/>
      <c r="S142" s="268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57"/>
      <c r="R143" s="258"/>
      <c r="S143" s="25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0"/>
      <c r="R144" s="261"/>
      <c r="S144" s="262"/>
    </row>
    <row r="145" spans="1:19" ht="17.25" thickBot="1">
      <c r="A145" s="131" t="s">
        <v>301</v>
      </c>
      <c r="B145" s="330">
        <f>$B$37</f>
        <v>150000</v>
      </c>
      <c r="C145" s="331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263"/>
      <c r="R145" s="264"/>
      <c r="S145" s="265"/>
    </row>
    <row r="147" spans="1:19" ht="17.25" thickBot="1"/>
    <row r="148" spans="1:19" ht="17.25" thickBot="1">
      <c r="A148" s="279" t="s">
        <v>289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59" t="s">
        <v>298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55555000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-3.6323266700000002E-2</v>
      </c>
      <c r="N149" s="286"/>
      <c r="O149" s="287"/>
      <c r="Q149" s="278"/>
      <c r="R149" s="278"/>
      <c r="S149" s="278"/>
    </row>
    <row r="150" spans="1:19" ht="17.25" thickBot="1">
      <c r="A150" s="332" t="s">
        <v>55</v>
      </c>
      <c r="B150" s="328" t="str">
        <f>TEXT($G$1, "[$-ko-KR]yyyy-mm-dd(ddd) ") &amp; "오전 00:00"</f>
        <v>2021-05-06(목) 오전 00:00</v>
      </c>
      <c r="C150" s="329"/>
      <c r="D150" s="292" t="str">
        <f>TEXT($G$1, "[$-ko-KR]yyyy-mm-dd(ddd) ") &amp; "오후 14:00"</f>
        <v>2021-05-06(목) 오후 14:00</v>
      </c>
      <c r="E150" s="293"/>
      <c r="F150" s="294"/>
      <c r="G150" s="292" t="str">
        <f>TEXT($G$1, "[$-ko-KR]yyyy-mm-dd(ddd) ") &amp; "오후 19:00"</f>
        <v>2021-05-06(목) 오후 19:00</v>
      </c>
      <c r="H150" s="293"/>
      <c r="I150" s="294"/>
      <c r="J150" s="292" t="str">
        <f>TEXT($G$1, "[$-ko-KR]yyyy-mm-dd(ddd) ") &amp; "오후 21:00"</f>
        <v>2021-05-06(목) 오후 21:00</v>
      </c>
      <c r="K150" s="293"/>
      <c r="L150" s="294"/>
      <c r="M150" s="292" t="str">
        <f>TEXT($G$1+1, "[$-ko-KR]yyyy-mm-dd(ddd) ") &amp; "오전 00:00"</f>
        <v>2021-05-07(금) 오전 00:00</v>
      </c>
      <c r="N150" s="293"/>
      <c r="O150" s="294"/>
      <c r="Q150" s="278"/>
      <c r="R150" s="278"/>
      <c r="S150" s="278"/>
    </row>
    <row r="151" spans="1:19" ht="17.25" thickBot="1">
      <c r="A151" s="33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8"/>
      <c r="R151" s="268"/>
      <c r="S151" s="268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278"/>
      <c r="R152" s="278"/>
      <c r="S152" s="278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278"/>
      <c r="R153" s="278"/>
      <c r="S153" s="278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268"/>
      <c r="R154" s="268"/>
      <c r="S154" s="268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268"/>
      <c r="R155" s="268"/>
      <c r="S155" s="268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268"/>
      <c r="R156" s="268"/>
      <c r="S156" s="268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268"/>
      <c r="R157" s="268"/>
      <c r="S157" s="268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268"/>
      <c r="R158" s="268"/>
      <c r="S158" s="268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268"/>
      <c r="R159" s="268"/>
      <c r="S159" s="268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269"/>
      <c r="R161" s="270"/>
      <c r="S161" s="271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272"/>
      <c r="R162" s="273"/>
      <c r="S162" s="274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275"/>
      <c r="R163" s="276"/>
      <c r="S163" s="277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268"/>
      <c r="R164" s="268"/>
      <c r="S164" s="268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278"/>
      <c r="R165" s="278"/>
      <c r="S165" s="278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278"/>
      <c r="R166" s="278"/>
      <c r="S166" s="278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268"/>
      <c r="R167" s="268"/>
      <c r="S167" s="268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268"/>
      <c r="R168" s="268"/>
      <c r="S168" s="268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268"/>
      <c r="R169" s="268"/>
      <c r="S169" s="268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257"/>
      <c r="R170" s="258"/>
      <c r="S170" s="259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260"/>
      <c r="R171" s="261"/>
      <c r="S171" s="262"/>
    </row>
    <row r="172" spans="1:19" ht="17.25" thickBot="1">
      <c r="A172" s="131" t="s">
        <v>301</v>
      </c>
      <c r="B172" s="330">
        <f>$B$37</f>
        <v>150000</v>
      </c>
      <c r="C172" s="331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263"/>
      <c r="R172" s="264"/>
      <c r="S172" s="265"/>
    </row>
    <row r="174" spans="1:19" ht="17.25" thickBot="1"/>
    <row r="175" spans="1:19" ht="17.25" thickBot="1">
      <c r="A175" s="279" t="s">
        <v>285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59" t="s">
        <v>298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55555000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-3.6323266700000002E-2</v>
      </c>
      <c r="N176" s="286"/>
      <c r="O176" s="287"/>
      <c r="Q176" s="278"/>
      <c r="R176" s="278"/>
      <c r="S176" s="278"/>
    </row>
    <row r="177" spans="1:19" ht="17.25" thickBot="1">
      <c r="A177" s="332" t="s">
        <v>55</v>
      </c>
      <c r="B177" s="328" t="str">
        <f>TEXT($G$1, "[$-ko-KR]yyyy-mm-dd(ddd) ") &amp; "오전 00:00"</f>
        <v>2021-05-06(목) 오전 00:00</v>
      </c>
      <c r="C177" s="329"/>
      <c r="D177" s="292" t="str">
        <f>TEXT($G$1, "[$-ko-KR]yyyy-mm-dd(ddd) ") &amp; "오후 14:00"</f>
        <v>2021-05-06(목) 오후 14:00</v>
      </c>
      <c r="E177" s="293"/>
      <c r="F177" s="294"/>
      <c r="G177" s="292" t="str">
        <f>TEXT($G$1, "[$-ko-KR]yyyy-mm-dd(ddd) ") &amp; "오후 19:00"</f>
        <v>2021-05-06(목) 오후 19:00</v>
      </c>
      <c r="H177" s="293"/>
      <c r="I177" s="294"/>
      <c r="J177" s="292" t="str">
        <f>TEXT($G$1, "[$-ko-KR]yyyy-mm-dd(ddd) ") &amp; "오후 21:00"</f>
        <v>2021-05-06(목) 오후 21:00</v>
      </c>
      <c r="K177" s="293"/>
      <c r="L177" s="294"/>
      <c r="M177" s="292" t="str">
        <f>TEXT($G$1+1, "[$-ko-KR]yyyy-mm-dd(ddd) ") &amp; "오전 00:00"</f>
        <v>2021-05-07(금) 오전 00:00</v>
      </c>
      <c r="N177" s="293"/>
      <c r="O177" s="294"/>
      <c r="Q177" s="278"/>
      <c r="R177" s="278"/>
      <c r="S177" s="278"/>
    </row>
    <row r="178" spans="1:19" ht="17.25" thickBot="1">
      <c r="A178" s="33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8"/>
      <c r="R178" s="268"/>
      <c r="S178" s="268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278"/>
      <c r="R179" s="278"/>
      <c r="S179" s="278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278"/>
      <c r="R180" s="278"/>
      <c r="S180" s="278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268"/>
      <c r="R181" s="268"/>
      <c r="S181" s="268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268"/>
      <c r="R182" s="268"/>
      <c r="S182" s="268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268"/>
      <c r="R183" s="268"/>
      <c r="S183" s="268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268"/>
      <c r="R184" s="268"/>
      <c r="S184" s="268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68"/>
      <c r="R185" s="268"/>
      <c r="S185" s="268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268"/>
      <c r="R186" s="268"/>
      <c r="S186" s="268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269"/>
      <c r="R188" s="270"/>
      <c r="S188" s="271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272"/>
      <c r="R189" s="273"/>
      <c r="S189" s="274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275"/>
      <c r="R190" s="276"/>
      <c r="S190" s="277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268"/>
      <c r="R191" s="268"/>
      <c r="S191" s="268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278"/>
      <c r="R192" s="278"/>
      <c r="S192" s="278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278"/>
      <c r="R193" s="278"/>
      <c r="S193" s="278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268"/>
      <c r="R194" s="268"/>
      <c r="S194" s="268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268"/>
      <c r="R195" s="268"/>
      <c r="S195" s="268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268"/>
      <c r="R196" s="268"/>
      <c r="S196" s="268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257"/>
      <c r="R197" s="258"/>
      <c r="S197" s="259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260"/>
      <c r="R198" s="261"/>
      <c r="S198" s="262"/>
    </row>
    <row r="199" spans="1:19" ht="17.25" thickBot="1">
      <c r="A199" s="131" t="s">
        <v>301</v>
      </c>
      <c r="B199" s="330">
        <f>$B$37</f>
        <v>150000</v>
      </c>
      <c r="C199" s="331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44323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6" t="s">
        <v>3</v>
      </c>
      <c r="B2" s="313" t="s">
        <v>4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5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7" t="s">
        <v>7</v>
      </c>
      <c r="B3" s="304" t="s">
        <v>8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301"/>
      <c r="I3" s="302"/>
      <c r="J3" s="4" t="s">
        <v>7</v>
      </c>
      <c r="K3" s="304" t="s">
        <v>9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04" t="s">
        <v>12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13</v>
      </c>
      <c r="L4" s="305"/>
      <c r="M4" s="305"/>
      <c r="N4" s="305"/>
      <c r="O4" s="30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04" t="s">
        <v>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301"/>
      <c r="I5" s="302"/>
      <c r="J5" s="4" t="s">
        <v>15</v>
      </c>
      <c r="K5" s="304" t="s">
        <v>17</v>
      </c>
      <c r="L5" s="305"/>
      <c r="M5" s="305"/>
      <c r="N5" s="305"/>
      <c r="O5" s="306"/>
    </row>
    <row r="6" spans="1:19">
      <c r="A6" s="117" t="s">
        <v>18</v>
      </c>
      <c r="B6" s="304" t="s">
        <v>19</v>
      </c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20</v>
      </c>
      <c r="L6" s="305"/>
      <c r="M6" s="305"/>
      <c r="N6" s="305"/>
      <c r="O6" s="306"/>
    </row>
    <row r="7" spans="1:19" ht="17.25" thickBot="1">
      <c r="A7" s="117" t="s">
        <v>21</v>
      </c>
      <c r="B7" s="304" t="s">
        <v>22</v>
      </c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301"/>
      <c r="I7" s="302"/>
      <c r="J7" s="4" t="s">
        <v>21</v>
      </c>
      <c r="K7" s="304" t="s">
        <v>23</v>
      </c>
      <c r="L7" s="305"/>
      <c r="M7" s="305"/>
      <c r="N7" s="305"/>
      <c r="O7" s="306"/>
    </row>
    <row r="8" spans="1:19" ht="17.25" thickBot="1">
      <c r="A8" s="117" t="s">
        <v>24</v>
      </c>
      <c r="B8" s="304" t="s">
        <v>25</v>
      </c>
      <c r="C8" s="305"/>
      <c r="D8" s="305"/>
      <c r="E8" s="305"/>
      <c r="F8" s="306"/>
      <c r="G8" s="307" t="s">
        <v>285</v>
      </c>
      <c r="H8" s="308"/>
      <c r="I8" s="309"/>
      <c r="J8" s="4" t="s">
        <v>24</v>
      </c>
      <c r="K8" s="304" t="s">
        <v>26</v>
      </c>
      <c r="L8" s="305"/>
      <c r="M8" s="305"/>
      <c r="N8" s="305"/>
      <c r="O8" s="306"/>
      <c r="Q8" s="279" t="s">
        <v>27</v>
      </c>
      <c r="R8" s="281"/>
    </row>
    <row r="9" spans="1:19" ht="17.25" thickBot="1">
      <c r="A9" s="117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301"/>
      <c r="I9" s="302"/>
      <c r="J9" s="4" t="s">
        <v>28</v>
      </c>
      <c r="K9" s="304" t="s">
        <v>293</v>
      </c>
      <c r="L9" s="305"/>
      <c r="M9" s="305"/>
      <c r="N9" s="305"/>
      <c r="O9" s="306"/>
      <c r="Q9" s="2" t="s">
        <v>29</v>
      </c>
      <c r="R9" s="6">
        <v>10</v>
      </c>
    </row>
    <row r="10" spans="1:19">
      <c r="A10" s="117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/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8" t="s">
        <v>32</v>
      </c>
      <c r="B11" s="297"/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301"/>
      <c r="I11" s="302"/>
      <c r="J11" s="7" t="s">
        <v>32</v>
      </c>
      <c r="K11" s="297"/>
      <c r="L11" s="298"/>
      <c r="M11" s="298"/>
      <c r="N11" s="298"/>
      <c r="O11" s="299"/>
      <c r="Q11" s="61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63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55555000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-3.6323266700000002E-2</v>
      </c>
      <c r="N14" s="286"/>
      <c r="O14" s="287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2021-05-07(금) 오전 00:00</v>
      </c>
      <c r="C15" s="324"/>
      <c r="D15" s="292" t="str">
        <f>TEXT($G$1, "[$-ko-KR]yyyy-mm-dd(ddd) ") &amp; "오후 14:00"</f>
        <v>2021-05-07(금) 오후 14:00</v>
      </c>
      <c r="E15" s="293"/>
      <c r="F15" s="294"/>
      <c r="G15" s="292" t="str">
        <f>TEXT($G$1, "[$-ko-KR]yyyy-mm-dd(ddd) ") &amp; "오후 19:00"</f>
        <v>2021-05-07(금) 오후 19:00</v>
      </c>
      <c r="H15" s="293"/>
      <c r="I15" s="294"/>
      <c r="J15" s="292" t="str">
        <f>TEXT($G$1, "[$-ko-KR]yyyy-mm-dd(ddd) ") &amp; "오후 21:00"</f>
        <v>2021-05-07(금) 오후 21:00</v>
      </c>
      <c r="K15" s="293"/>
      <c r="L15" s="294"/>
      <c r="M15" s="292" t="str">
        <f>TEXT($G$1+1, "[$-ko-KR]yyyy-mm-dd(ddd) ") &amp; "오전 00:00"</f>
        <v>2021-05-08(토) 오전 00:00</v>
      </c>
      <c r="N15" s="293"/>
      <c r="O15" s="294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8"/>
      <c r="R16" s="268"/>
      <c r="S16" s="268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278"/>
      <c r="R17" s="278"/>
      <c r="S17" s="278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278"/>
      <c r="R18" s="278"/>
      <c r="S18" s="278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268"/>
      <c r="R19" s="268"/>
      <c r="S19" s="268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268"/>
      <c r="R20" s="268"/>
      <c r="S20" s="268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268"/>
      <c r="R21" s="268"/>
      <c r="S21" s="268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268"/>
      <c r="R22" s="268"/>
      <c r="S22" s="268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268"/>
      <c r="R23" s="268"/>
      <c r="S23" s="268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268"/>
      <c r="R24" s="268"/>
      <c r="S24" s="268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269"/>
      <c r="R26" s="270"/>
      <c r="S26" s="271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272"/>
      <c r="R27" s="273"/>
      <c r="S27" s="274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275"/>
      <c r="R28" s="276"/>
      <c r="S28" s="277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268"/>
      <c r="R29" s="268"/>
      <c r="S29" s="268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278"/>
      <c r="R30" s="278"/>
      <c r="S30" s="278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278"/>
      <c r="R31" s="278"/>
      <c r="S31" s="278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268"/>
      <c r="R32" s="268"/>
      <c r="S32" s="268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268"/>
      <c r="R33" s="268"/>
      <c r="S33" s="268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268"/>
      <c r="R34" s="268"/>
      <c r="S34" s="268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257"/>
      <c r="R35" s="258"/>
      <c r="S35" s="259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260"/>
      <c r="R36" s="261"/>
      <c r="S36" s="262"/>
    </row>
    <row r="37" spans="1:19" ht="17.25" customHeight="1" thickBot="1">
      <c r="A37" s="131" t="s">
        <v>42</v>
      </c>
      <c r="B37" s="330">
        <v>150000</v>
      </c>
      <c r="C37" s="331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63" t="s">
        <v>298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55555000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-3.6323266700000002E-2</v>
      </c>
      <c r="N41" s="286"/>
      <c r="O41" s="287"/>
      <c r="Q41" s="278"/>
      <c r="R41" s="278"/>
      <c r="S41" s="278"/>
    </row>
    <row r="42" spans="1:19" ht="17.25" customHeight="1" thickBot="1">
      <c r="A42" s="332" t="s">
        <v>55</v>
      </c>
      <c r="B42" s="328" t="str">
        <f>TEXT($G$1, "[$-ko-KR]yyyy-mm-dd(ddd) ") &amp; "오전 00:00"</f>
        <v>2021-05-07(금) 오전 00:00</v>
      </c>
      <c r="C42" s="329"/>
      <c r="D42" s="292" t="str">
        <f>TEXT($G$1, "[$-ko-KR]yyyy-mm-dd(ddd) ") &amp; "오후 14:00"</f>
        <v>2021-05-07(금) 오후 14:00</v>
      </c>
      <c r="E42" s="293"/>
      <c r="F42" s="294"/>
      <c r="G42" s="292" t="str">
        <f>TEXT($G$1, "[$-ko-KR]yyyy-mm-dd(ddd) ") &amp; "오후 19:00"</f>
        <v>2021-05-07(금) 오후 19:00</v>
      </c>
      <c r="H42" s="293"/>
      <c r="I42" s="294"/>
      <c r="J42" s="292" t="str">
        <f>TEXT($G$1, "[$-ko-KR]yyyy-mm-dd(ddd) ") &amp; "오후 21:00"</f>
        <v>2021-05-07(금) 오후 21:00</v>
      </c>
      <c r="K42" s="293"/>
      <c r="L42" s="294"/>
      <c r="M42" s="292" t="str">
        <f>TEXT($G$1+1, "[$-ko-KR]yyyy-mm-dd(ddd) ") &amp; "오전 00:00"</f>
        <v>2021-05-08(토) 오전 00:00</v>
      </c>
      <c r="N42" s="293"/>
      <c r="O42" s="294"/>
      <c r="Q42" s="278"/>
      <c r="R42" s="278"/>
      <c r="S42" s="278"/>
    </row>
    <row r="43" spans="1:19" ht="17.25" customHeight="1" thickBot="1">
      <c r="A43" s="33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8"/>
      <c r="R43" s="268"/>
      <c r="S43" s="268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278"/>
      <c r="R44" s="278"/>
      <c r="S44" s="278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278"/>
      <c r="R45" s="278"/>
      <c r="S45" s="278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268"/>
      <c r="R46" s="268"/>
      <c r="S46" s="268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268"/>
      <c r="R47" s="268"/>
      <c r="S47" s="268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268"/>
      <c r="R48" s="268"/>
      <c r="S48" s="268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268"/>
      <c r="R49" s="268"/>
      <c r="S49" s="268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268"/>
      <c r="R50" s="268"/>
      <c r="S50" s="268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268"/>
      <c r="R51" s="268"/>
      <c r="S51" s="268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269"/>
      <c r="R53" s="270"/>
      <c r="S53" s="271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272"/>
      <c r="R54" s="273"/>
      <c r="S54" s="274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275"/>
      <c r="R55" s="276"/>
      <c r="S55" s="277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268"/>
      <c r="R56" s="268"/>
      <c r="S56" s="268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278"/>
      <c r="R57" s="278"/>
      <c r="S57" s="278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278"/>
      <c r="R58" s="278"/>
      <c r="S58" s="278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268"/>
      <c r="R59" s="268"/>
      <c r="S59" s="268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268"/>
      <c r="R60" s="268"/>
      <c r="S60" s="268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268"/>
      <c r="R61" s="268"/>
      <c r="S61" s="268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257"/>
      <c r="R62" s="258"/>
      <c r="S62" s="25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0"/>
      <c r="R63" s="261"/>
      <c r="S63" s="262"/>
    </row>
    <row r="64" spans="1:19" ht="17.25" customHeight="1" thickBot="1">
      <c r="A64" s="131" t="s">
        <v>301</v>
      </c>
      <c r="B64" s="330">
        <f>$B$37</f>
        <v>150000</v>
      </c>
      <c r="C64" s="331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63" t="s">
        <v>298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55555000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-3.6323266700000002E-2</v>
      </c>
      <c r="N68" s="286"/>
      <c r="O68" s="287"/>
      <c r="Q68" s="278"/>
      <c r="R68" s="278"/>
      <c r="S68" s="278"/>
    </row>
    <row r="69" spans="1:19" ht="17.25" thickBot="1">
      <c r="A69" s="332" t="s">
        <v>55</v>
      </c>
      <c r="B69" s="328" t="str">
        <f>TEXT($G$1, "[$-ko-KR]yyyy-mm-dd(ddd) ") &amp; "오전 00:00"</f>
        <v>2021-05-07(금) 오전 00:00</v>
      </c>
      <c r="C69" s="329"/>
      <c r="D69" s="292" t="str">
        <f>TEXT($G$1, "[$-ko-KR]yyyy-mm-dd(ddd) ") &amp; "오후 14:00"</f>
        <v>2021-05-07(금) 오후 14:00</v>
      </c>
      <c r="E69" s="293"/>
      <c r="F69" s="294"/>
      <c r="G69" s="292" t="str">
        <f>TEXT($G$1, "[$-ko-KR]yyyy-mm-dd(ddd) ") &amp; "오후 19:00"</f>
        <v>2021-05-07(금) 오후 19:00</v>
      </c>
      <c r="H69" s="293"/>
      <c r="I69" s="294"/>
      <c r="J69" s="292" t="str">
        <f>TEXT($G$1, "[$-ko-KR]yyyy-mm-dd(ddd) ") &amp; "오후 21:00"</f>
        <v>2021-05-07(금) 오후 21:00</v>
      </c>
      <c r="K69" s="293"/>
      <c r="L69" s="294"/>
      <c r="M69" s="292" t="str">
        <f>TEXT($G$1+1, "[$-ko-KR]yyyy-mm-dd(ddd) ") &amp; "오전 00:00"</f>
        <v>2021-05-08(토) 오전 00:00</v>
      </c>
      <c r="N69" s="293"/>
      <c r="O69" s="294"/>
      <c r="Q69" s="278"/>
      <c r="R69" s="278"/>
      <c r="S69" s="278"/>
    </row>
    <row r="70" spans="1:19" ht="17.25" thickBot="1">
      <c r="A70" s="33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8"/>
      <c r="R70" s="268"/>
      <c r="S70" s="268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278"/>
      <c r="R71" s="278"/>
      <c r="S71" s="278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278"/>
      <c r="R72" s="278"/>
      <c r="S72" s="278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268"/>
      <c r="R73" s="268"/>
      <c r="S73" s="268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268"/>
      <c r="R74" s="268"/>
      <c r="S74" s="268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268"/>
      <c r="R75" s="268"/>
      <c r="S75" s="268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268"/>
      <c r="R76" s="268"/>
      <c r="S76" s="268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268"/>
      <c r="R77" s="268"/>
      <c r="S77" s="268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268"/>
      <c r="R78" s="268"/>
      <c r="S78" s="268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269"/>
      <c r="R80" s="270"/>
      <c r="S80" s="271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272"/>
      <c r="R81" s="273"/>
      <c r="S81" s="274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275"/>
      <c r="R82" s="276"/>
      <c r="S82" s="277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268"/>
      <c r="R83" s="268"/>
      <c r="S83" s="268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278"/>
      <c r="R84" s="278"/>
      <c r="S84" s="278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278"/>
      <c r="R85" s="278"/>
      <c r="S85" s="278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268"/>
      <c r="R86" s="268"/>
      <c r="S86" s="268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268"/>
      <c r="R87" s="268"/>
      <c r="S87" s="268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268"/>
      <c r="R88" s="268"/>
      <c r="S88" s="268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257"/>
      <c r="R89" s="258"/>
      <c r="S89" s="259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260"/>
      <c r="R90" s="261"/>
      <c r="S90" s="262"/>
    </row>
    <row r="91" spans="1:19" ht="17.25" thickBot="1">
      <c r="A91" s="131" t="s">
        <v>301</v>
      </c>
      <c r="B91" s="330">
        <f>$B$37</f>
        <v>150000</v>
      </c>
      <c r="C91" s="331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63" t="s">
        <v>298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55555000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-3.6323266700000002E-2</v>
      </c>
      <c r="N95" s="286"/>
      <c r="O95" s="287"/>
      <c r="Q95" s="278"/>
      <c r="R95" s="278"/>
      <c r="S95" s="278"/>
    </row>
    <row r="96" spans="1:19" ht="17.25" thickBot="1">
      <c r="A96" s="332" t="s">
        <v>55</v>
      </c>
      <c r="B96" s="328" t="str">
        <f>TEXT($G$1, "[$-ko-KR]yyyy-mm-dd(ddd) ") &amp; "오전 00:00"</f>
        <v>2021-05-07(금) 오전 00:00</v>
      </c>
      <c r="C96" s="329"/>
      <c r="D96" s="292" t="str">
        <f>TEXT($G$1, "[$-ko-KR]yyyy-mm-dd(ddd) ") &amp; "오후 14:00"</f>
        <v>2021-05-07(금) 오후 14:00</v>
      </c>
      <c r="E96" s="293"/>
      <c r="F96" s="294"/>
      <c r="G96" s="292" t="str">
        <f>TEXT($G$1, "[$-ko-KR]yyyy-mm-dd(ddd) ") &amp; "오후 19:00"</f>
        <v>2021-05-07(금) 오후 19:00</v>
      </c>
      <c r="H96" s="293"/>
      <c r="I96" s="294"/>
      <c r="J96" s="292" t="str">
        <f>TEXT($G$1, "[$-ko-KR]yyyy-mm-dd(ddd) ") &amp; "오후 21:00"</f>
        <v>2021-05-07(금) 오후 21:00</v>
      </c>
      <c r="K96" s="293"/>
      <c r="L96" s="294"/>
      <c r="M96" s="292" t="str">
        <f>TEXT($G$1+1, "[$-ko-KR]yyyy-mm-dd(ddd) ") &amp; "오전 00:00"</f>
        <v>2021-05-08(토) 오전 00:00</v>
      </c>
      <c r="N96" s="293"/>
      <c r="O96" s="294"/>
      <c r="Q96" s="278"/>
      <c r="R96" s="278"/>
      <c r="S96" s="278"/>
    </row>
    <row r="97" spans="1:19" ht="17.25" thickBot="1">
      <c r="A97" s="33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8"/>
      <c r="R97" s="268"/>
      <c r="S97" s="268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278"/>
      <c r="R98" s="278"/>
      <c r="S98" s="278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278"/>
      <c r="R99" s="278"/>
      <c r="S99" s="278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268"/>
      <c r="R100" s="268"/>
      <c r="S100" s="268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268"/>
      <c r="R101" s="268"/>
      <c r="S101" s="268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268"/>
      <c r="R102" s="268"/>
      <c r="S102" s="268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268"/>
      <c r="R103" s="268"/>
      <c r="S103" s="268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268"/>
      <c r="R104" s="268"/>
      <c r="S104" s="268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268"/>
      <c r="R105" s="268"/>
      <c r="S105" s="268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269"/>
      <c r="R107" s="270"/>
      <c r="S107" s="271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272"/>
      <c r="R108" s="273"/>
      <c r="S108" s="274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275"/>
      <c r="R109" s="276"/>
      <c r="S109" s="277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268"/>
      <c r="R110" s="268"/>
      <c r="S110" s="268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278"/>
      <c r="R111" s="278"/>
      <c r="S111" s="278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278"/>
      <c r="R112" s="278"/>
      <c r="S112" s="278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268"/>
      <c r="R113" s="268"/>
      <c r="S113" s="268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268"/>
      <c r="R114" s="268"/>
      <c r="S114" s="268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268"/>
      <c r="R115" s="268"/>
      <c r="S115" s="268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257"/>
      <c r="R116" s="258"/>
      <c r="S116" s="259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260"/>
      <c r="R117" s="261"/>
      <c r="S117" s="262"/>
    </row>
    <row r="118" spans="1:19" ht="17.25" thickBot="1">
      <c r="A118" s="131" t="s">
        <v>301</v>
      </c>
      <c r="B118" s="330">
        <f>$B$37</f>
        <v>150000</v>
      </c>
      <c r="C118" s="331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263"/>
      <c r="R118" s="264"/>
      <c r="S118" s="265"/>
    </row>
    <row r="120" spans="1:19" ht="17.25" thickBot="1"/>
    <row r="121" spans="1:19" ht="17.25" thickBot="1">
      <c r="A121" s="279" t="s">
        <v>288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63" t="s">
        <v>298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55555000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-3.6323266700000002E-2</v>
      </c>
      <c r="N122" s="286"/>
      <c r="O122" s="287"/>
      <c r="Q122" s="278"/>
      <c r="R122" s="278"/>
      <c r="S122" s="278"/>
    </row>
    <row r="123" spans="1:19" ht="17.25" thickBot="1">
      <c r="A123" s="332" t="s">
        <v>55</v>
      </c>
      <c r="B123" s="328" t="str">
        <f>TEXT($G$1, "[$-ko-KR]yyyy-mm-dd(ddd) ") &amp; "오전 00:00"</f>
        <v>2021-05-07(금) 오전 00:00</v>
      </c>
      <c r="C123" s="329"/>
      <c r="D123" s="292" t="str">
        <f>TEXT($G$1, "[$-ko-KR]yyyy-mm-dd(ddd) ") &amp; "오후 14:00"</f>
        <v>2021-05-07(금) 오후 14:00</v>
      </c>
      <c r="E123" s="293"/>
      <c r="F123" s="294"/>
      <c r="G123" s="292" t="str">
        <f>TEXT($G$1, "[$-ko-KR]yyyy-mm-dd(ddd) ") &amp; "오후 19:00"</f>
        <v>2021-05-07(금) 오후 19:00</v>
      </c>
      <c r="H123" s="293"/>
      <c r="I123" s="294"/>
      <c r="J123" s="292" t="str">
        <f>TEXT($G$1, "[$-ko-KR]yyyy-mm-dd(ddd) ") &amp; "오후 21:00"</f>
        <v>2021-05-07(금) 오후 21:00</v>
      </c>
      <c r="K123" s="293"/>
      <c r="L123" s="294"/>
      <c r="M123" s="292" t="str">
        <f>TEXT($G$1+1, "[$-ko-KR]yyyy-mm-dd(ddd) ") &amp; "오전 00:00"</f>
        <v>2021-05-08(토) 오전 00:00</v>
      </c>
      <c r="N123" s="293"/>
      <c r="O123" s="294"/>
      <c r="Q123" s="278"/>
      <c r="R123" s="278"/>
      <c r="S123" s="278"/>
    </row>
    <row r="124" spans="1:19" ht="17.25" thickBot="1">
      <c r="A124" s="33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8"/>
      <c r="R124" s="268"/>
      <c r="S124" s="268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278"/>
      <c r="R125" s="278"/>
      <c r="S125" s="278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278"/>
      <c r="R126" s="278"/>
      <c r="S126" s="278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268"/>
      <c r="R127" s="268"/>
      <c r="S127" s="268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268"/>
      <c r="R128" s="268"/>
      <c r="S128" s="268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268"/>
      <c r="R129" s="268"/>
      <c r="S129" s="268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268"/>
      <c r="R130" s="268"/>
      <c r="S130" s="268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268"/>
      <c r="R131" s="268"/>
      <c r="S131" s="268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268"/>
      <c r="R132" s="268"/>
      <c r="S132" s="268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269"/>
      <c r="R134" s="270"/>
      <c r="S134" s="271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272"/>
      <c r="R135" s="273"/>
      <c r="S135" s="274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275"/>
      <c r="R136" s="276"/>
      <c r="S136" s="277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268"/>
      <c r="R137" s="268"/>
      <c r="S137" s="268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278"/>
      <c r="R138" s="278"/>
      <c r="S138" s="278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278"/>
      <c r="R139" s="278"/>
      <c r="S139" s="278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268"/>
      <c r="R140" s="268"/>
      <c r="S140" s="268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268"/>
      <c r="R141" s="268"/>
      <c r="S141" s="268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268"/>
      <c r="R142" s="268"/>
      <c r="S142" s="268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257"/>
      <c r="R143" s="258"/>
      <c r="S143" s="25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0"/>
      <c r="R144" s="261"/>
      <c r="S144" s="262"/>
    </row>
    <row r="145" spans="1:19" ht="17.25" thickBot="1">
      <c r="A145" s="131" t="s">
        <v>301</v>
      </c>
      <c r="B145" s="330">
        <f>$B$37</f>
        <v>150000</v>
      </c>
      <c r="C145" s="331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263"/>
      <c r="R145" s="264"/>
      <c r="S145" s="265"/>
    </row>
    <row r="147" spans="1:19" ht="17.25" thickBot="1"/>
    <row r="148" spans="1:19" ht="17.25" thickBot="1">
      <c r="A148" s="279" t="s">
        <v>289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63" t="s">
        <v>298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55555000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-3.6323266700000002E-2</v>
      </c>
      <c r="N149" s="286"/>
      <c r="O149" s="287"/>
      <c r="Q149" s="278"/>
      <c r="R149" s="278"/>
      <c r="S149" s="278"/>
    </row>
    <row r="150" spans="1:19" ht="17.25" thickBot="1">
      <c r="A150" s="332" t="s">
        <v>55</v>
      </c>
      <c r="B150" s="328" t="str">
        <f>TEXT($G$1, "[$-ko-KR]yyyy-mm-dd(ddd) ") &amp; "오전 00:00"</f>
        <v>2021-05-07(금) 오전 00:00</v>
      </c>
      <c r="C150" s="329"/>
      <c r="D150" s="292" t="str">
        <f>TEXT($G$1, "[$-ko-KR]yyyy-mm-dd(ddd) ") &amp; "오후 14:00"</f>
        <v>2021-05-07(금) 오후 14:00</v>
      </c>
      <c r="E150" s="293"/>
      <c r="F150" s="294"/>
      <c r="G150" s="292" t="str">
        <f>TEXT($G$1, "[$-ko-KR]yyyy-mm-dd(ddd) ") &amp; "오후 19:00"</f>
        <v>2021-05-07(금) 오후 19:00</v>
      </c>
      <c r="H150" s="293"/>
      <c r="I150" s="294"/>
      <c r="J150" s="292" t="str">
        <f>TEXT($G$1, "[$-ko-KR]yyyy-mm-dd(ddd) ") &amp; "오후 21:00"</f>
        <v>2021-05-07(금) 오후 21:00</v>
      </c>
      <c r="K150" s="293"/>
      <c r="L150" s="294"/>
      <c r="M150" s="292" t="str">
        <f>TEXT($G$1+1, "[$-ko-KR]yyyy-mm-dd(ddd) ") &amp; "오전 00:00"</f>
        <v>2021-05-08(토) 오전 00:00</v>
      </c>
      <c r="N150" s="293"/>
      <c r="O150" s="294"/>
      <c r="Q150" s="278"/>
      <c r="R150" s="278"/>
      <c r="S150" s="278"/>
    </row>
    <row r="151" spans="1:19" ht="17.25" thickBot="1">
      <c r="A151" s="33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8"/>
      <c r="R151" s="268"/>
      <c r="S151" s="268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278"/>
      <c r="R152" s="278"/>
      <c r="S152" s="278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278"/>
      <c r="R153" s="278"/>
      <c r="S153" s="278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268"/>
      <c r="R154" s="268"/>
      <c r="S154" s="268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268"/>
      <c r="R155" s="268"/>
      <c r="S155" s="268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268"/>
      <c r="R156" s="268"/>
      <c r="S156" s="268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268"/>
      <c r="R157" s="268"/>
      <c r="S157" s="268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268"/>
      <c r="R158" s="268"/>
      <c r="S158" s="268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268"/>
      <c r="R159" s="268"/>
      <c r="S159" s="268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269"/>
      <c r="R161" s="270"/>
      <c r="S161" s="271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272"/>
      <c r="R162" s="273"/>
      <c r="S162" s="274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275"/>
      <c r="R163" s="276"/>
      <c r="S163" s="277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268"/>
      <c r="R164" s="268"/>
      <c r="S164" s="268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278"/>
      <c r="R165" s="278"/>
      <c r="S165" s="278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278"/>
      <c r="R166" s="278"/>
      <c r="S166" s="278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268"/>
      <c r="R167" s="268"/>
      <c r="S167" s="268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268"/>
      <c r="R168" s="268"/>
      <c r="S168" s="268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268"/>
      <c r="R169" s="268"/>
      <c r="S169" s="268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257"/>
      <c r="R170" s="258"/>
      <c r="S170" s="259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260"/>
      <c r="R171" s="261"/>
      <c r="S171" s="262"/>
    </row>
    <row r="172" spans="1:19" ht="17.25" thickBot="1">
      <c r="A172" s="131" t="s">
        <v>301</v>
      </c>
      <c r="B172" s="330">
        <f>$B$37</f>
        <v>150000</v>
      </c>
      <c r="C172" s="331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263"/>
      <c r="R172" s="264"/>
      <c r="S172" s="265"/>
    </row>
    <row r="174" spans="1:19" ht="17.25" thickBot="1"/>
    <row r="175" spans="1:19" ht="17.25" thickBot="1">
      <c r="A175" s="279" t="s">
        <v>285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63" t="s">
        <v>298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55555000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-3.6323266700000002E-2</v>
      </c>
      <c r="N176" s="286"/>
      <c r="O176" s="287"/>
      <c r="Q176" s="278"/>
      <c r="R176" s="278"/>
      <c r="S176" s="278"/>
    </row>
    <row r="177" spans="1:19" ht="17.25" thickBot="1">
      <c r="A177" s="332" t="s">
        <v>55</v>
      </c>
      <c r="B177" s="328" t="str">
        <f>TEXT($G$1, "[$-ko-KR]yyyy-mm-dd(ddd) ") &amp; "오전 00:00"</f>
        <v>2021-05-07(금) 오전 00:00</v>
      </c>
      <c r="C177" s="329"/>
      <c r="D177" s="292" t="str">
        <f>TEXT($G$1, "[$-ko-KR]yyyy-mm-dd(ddd) ") &amp; "오후 14:00"</f>
        <v>2021-05-07(금) 오후 14:00</v>
      </c>
      <c r="E177" s="293"/>
      <c r="F177" s="294"/>
      <c r="G177" s="292" t="str">
        <f>TEXT($G$1, "[$-ko-KR]yyyy-mm-dd(ddd) ") &amp; "오후 19:00"</f>
        <v>2021-05-07(금) 오후 19:00</v>
      </c>
      <c r="H177" s="293"/>
      <c r="I177" s="294"/>
      <c r="J177" s="292" t="str">
        <f>TEXT($G$1, "[$-ko-KR]yyyy-mm-dd(ddd) ") &amp; "오후 21:00"</f>
        <v>2021-05-07(금) 오후 21:00</v>
      </c>
      <c r="K177" s="293"/>
      <c r="L177" s="294"/>
      <c r="M177" s="292" t="str">
        <f>TEXT($G$1+1, "[$-ko-KR]yyyy-mm-dd(ddd) ") &amp; "오전 00:00"</f>
        <v>2021-05-08(토) 오전 00:00</v>
      </c>
      <c r="N177" s="293"/>
      <c r="O177" s="294"/>
      <c r="Q177" s="278"/>
      <c r="R177" s="278"/>
      <c r="S177" s="278"/>
    </row>
    <row r="178" spans="1:19" ht="17.25" thickBot="1">
      <c r="A178" s="33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8"/>
      <c r="R178" s="268"/>
      <c r="S178" s="268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278"/>
      <c r="R179" s="278"/>
      <c r="S179" s="278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278"/>
      <c r="R180" s="278"/>
      <c r="S180" s="278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268"/>
      <c r="R181" s="268"/>
      <c r="S181" s="268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268"/>
      <c r="R182" s="268"/>
      <c r="S182" s="268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268"/>
      <c r="R183" s="268"/>
      <c r="S183" s="268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268"/>
      <c r="R184" s="268"/>
      <c r="S184" s="268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68"/>
      <c r="R185" s="268"/>
      <c r="S185" s="268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268"/>
      <c r="R186" s="268"/>
      <c r="S186" s="268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269"/>
      <c r="R188" s="270"/>
      <c r="S188" s="271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272"/>
      <c r="R189" s="273"/>
      <c r="S189" s="274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275"/>
      <c r="R190" s="276"/>
      <c r="S190" s="277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268"/>
      <c r="R191" s="268"/>
      <c r="S191" s="268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278"/>
      <c r="R192" s="278"/>
      <c r="S192" s="278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278"/>
      <c r="R193" s="278"/>
      <c r="S193" s="278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268"/>
      <c r="R194" s="268"/>
      <c r="S194" s="268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268"/>
      <c r="R195" s="268"/>
      <c r="S195" s="268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268"/>
      <c r="R196" s="268"/>
      <c r="S196" s="268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257"/>
      <c r="R197" s="258"/>
      <c r="S197" s="259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260"/>
      <c r="R198" s="261"/>
      <c r="S198" s="262"/>
    </row>
    <row r="199" spans="1:19" ht="17.25" thickBot="1">
      <c r="A199" s="131" t="s">
        <v>301</v>
      </c>
      <c r="B199" s="330">
        <f>$B$37</f>
        <v>150000</v>
      </c>
      <c r="C199" s="331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44324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6" t="s">
        <v>3</v>
      </c>
      <c r="B2" s="313" t="s">
        <v>4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5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7" t="s">
        <v>7</v>
      </c>
      <c r="B3" s="304" t="s">
        <v>8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301"/>
      <c r="I3" s="302"/>
      <c r="J3" s="4" t="s">
        <v>7</v>
      </c>
      <c r="K3" s="304" t="s">
        <v>9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04" t="s">
        <v>12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13</v>
      </c>
      <c r="L4" s="305"/>
      <c r="M4" s="305"/>
      <c r="N4" s="305"/>
      <c r="O4" s="30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04" t="s">
        <v>16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301"/>
      <c r="I5" s="302"/>
      <c r="J5" s="4" t="s">
        <v>15</v>
      </c>
      <c r="K5" s="304" t="s">
        <v>17</v>
      </c>
      <c r="L5" s="305"/>
      <c r="M5" s="305"/>
      <c r="N5" s="305"/>
      <c r="O5" s="306"/>
    </row>
    <row r="6" spans="1:19">
      <c r="A6" s="117" t="s">
        <v>18</v>
      </c>
      <c r="B6" s="304" t="s">
        <v>19</v>
      </c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20</v>
      </c>
      <c r="L6" s="305"/>
      <c r="M6" s="305"/>
      <c r="N6" s="305"/>
      <c r="O6" s="306"/>
    </row>
    <row r="7" spans="1:19" ht="17.25" thickBot="1">
      <c r="A7" s="117" t="s">
        <v>21</v>
      </c>
      <c r="B7" s="304" t="s">
        <v>22</v>
      </c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301"/>
      <c r="I7" s="302"/>
      <c r="J7" s="4" t="s">
        <v>21</v>
      </c>
      <c r="K7" s="304" t="s">
        <v>375</v>
      </c>
      <c r="L7" s="305"/>
      <c r="M7" s="305"/>
      <c r="N7" s="305"/>
      <c r="O7" s="306"/>
    </row>
    <row r="8" spans="1:19" ht="17.25" thickBot="1">
      <c r="A8" s="117" t="s">
        <v>24</v>
      </c>
      <c r="B8" s="304" t="s">
        <v>25</v>
      </c>
      <c r="C8" s="305"/>
      <c r="D8" s="305"/>
      <c r="E8" s="305"/>
      <c r="F8" s="306"/>
      <c r="G8" s="307" t="s">
        <v>285</v>
      </c>
      <c r="H8" s="308"/>
      <c r="I8" s="309"/>
      <c r="J8" s="4" t="s">
        <v>24</v>
      </c>
      <c r="K8" s="304" t="s">
        <v>26</v>
      </c>
      <c r="L8" s="305"/>
      <c r="M8" s="305"/>
      <c r="N8" s="305"/>
      <c r="O8" s="306"/>
      <c r="Q8" s="279" t="s">
        <v>27</v>
      </c>
      <c r="R8" s="281"/>
    </row>
    <row r="9" spans="1:19" ht="17.25" thickBot="1">
      <c r="A9" s="117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301"/>
      <c r="I9" s="302"/>
      <c r="J9" s="4" t="s">
        <v>28</v>
      </c>
      <c r="K9" s="304" t="s">
        <v>293</v>
      </c>
      <c r="L9" s="305"/>
      <c r="M9" s="305"/>
      <c r="N9" s="305"/>
      <c r="O9" s="306"/>
      <c r="Q9" s="2" t="s">
        <v>29</v>
      </c>
      <c r="R9" s="6">
        <v>10</v>
      </c>
    </row>
    <row r="10" spans="1:19">
      <c r="A10" s="117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/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8" t="s">
        <v>32</v>
      </c>
      <c r="B11" s="297"/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301"/>
      <c r="I11" s="302"/>
      <c r="J11" s="7" t="s">
        <v>32</v>
      </c>
      <c r="K11" s="297"/>
      <c r="L11" s="298"/>
      <c r="M11" s="298"/>
      <c r="N11" s="298"/>
      <c r="O11" s="299"/>
      <c r="Q11" s="61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67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55555000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-3.6323266700000002E-2</v>
      </c>
      <c r="N14" s="286"/>
      <c r="O14" s="287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2021-05-08(토) 오전 00:00</v>
      </c>
      <c r="C15" s="324"/>
      <c r="D15" s="292" t="str">
        <f>TEXT($G$1, "[$-ko-KR]yyyy-mm-dd(ddd) ") &amp; "오후 14:00"</f>
        <v>2021-05-08(토) 오후 14:00</v>
      </c>
      <c r="E15" s="293"/>
      <c r="F15" s="294"/>
      <c r="G15" s="292" t="str">
        <f>TEXT($G$1, "[$-ko-KR]yyyy-mm-dd(ddd) ") &amp; "오후 19:00"</f>
        <v>2021-05-08(토) 오후 19:00</v>
      </c>
      <c r="H15" s="293"/>
      <c r="I15" s="294"/>
      <c r="J15" s="292" t="str">
        <f>TEXT($G$1, "[$-ko-KR]yyyy-mm-dd(ddd) ") &amp; "오후 21:00"</f>
        <v>2021-05-08(토) 오후 21:00</v>
      </c>
      <c r="K15" s="293"/>
      <c r="L15" s="294"/>
      <c r="M15" s="292" t="str">
        <f>TEXT($G$1+1, "[$-ko-KR]yyyy-mm-dd(ddd) ") &amp; "오전 00:00"</f>
        <v>2021-05-09(일) 오전 00:00</v>
      </c>
      <c r="N15" s="293"/>
      <c r="O15" s="294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8"/>
      <c r="R16" s="268"/>
      <c r="S16" s="268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278"/>
      <c r="R17" s="278"/>
      <c r="S17" s="278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278"/>
      <c r="R18" s="278"/>
      <c r="S18" s="278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268"/>
      <c r="R19" s="268"/>
      <c r="S19" s="268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268"/>
      <c r="R20" s="268"/>
      <c r="S20" s="268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268"/>
      <c r="R21" s="268"/>
      <c r="S21" s="268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268"/>
      <c r="R22" s="268"/>
      <c r="S22" s="268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268"/>
      <c r="R23" s="268"/>
      <c r="S23" s="268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268"/>
      <c r="R24" s="268"/>
      <c r="S24" s="268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269"/>
      <c r="R26" s="270"/>
      <c r="S26" s="271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272"/>
      <c r="R27" s="273"/>
      <c r="S27" s="274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275"/>
      <c r="R28" s="276"/>
      <c r="S28" s="277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268"/>
      <c r="R29" s="268"/>
      <c r="S29" s="268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278"/>
      <c r="R30" s="278"/>
      <c r="S30" s="278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278"/>
      <c r="R31" s="278"/>
      <c r="S31" s="278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268"/>
      <c r="R32" s="268"/>
      <c r="S32" s="268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268"/>
      <c r="R33" s="268"/>
      <c r="S33" s="268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268"/>
      <c r="R34" s="268"/>
      <c r="S34" s="268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257"/>
      <c r="R35" s="258"/>
      <c r="S35" s="259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260"/>
      <c r="R36" s="261"/>
      <c r="S36" s="262"/>
    </row>
    <row r="37" spans="1:19" ht="17.25" customHeight="1" thickBot="1">
      <c r="A37" s="131" t="s">
        <v>42</v>
      </c>
      <c r="B37" s="330">
        <v>150000</v>
      </c>
      <c r="C37" s="331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67" t="s">
        <v>298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55555000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-3.6323266700000002E-2</v>
      </c>
      <c r="N41" s="286"/>
      <c r="O41" s="287"/>
      <c r="Q41" s="278"/>
      <c r="R41" s="278"/>
      <c r="S41" s="278"/>
    </row>
    <row r="42" spans="1:19" ht="17.25" customHeight="1" thickBot="1">
      <c r="A42" s="332" t="s">
        <v>55</v>
      </c>
      <c r="B42" s="328" t="str">
        <f>TEXT($G$1, "[$-ko-KR]yyyy-mm-dd(ddd) ") &amp; "오전 00:00"</f>
        <v>2021-05-08(토) 오전 00:00</v>
      </c>
      <c r="C42" s="329"/>
      <c r="D42" s="292" t="str">
        <f>TEXT($G$1, "[$-ko-KR]yyyy-mm-dd(ddd) ") &amp; "오후 14:00"</f>
        <v>2021-05-08(토) 오후 14:00</v>
      </c>
      <c r="E42" s="293"/>
      <c r="F42" s="294"/>
      <c r="G42" s="292" t="str">
        <f>TEXT($G$1, "[$-ko-KR]yyyy-mm-dd(ddd) ") &amp; "오후 19:00"</f>
        <v>2021-05-08(토) 오후 19:00</v>
      </c>
      <c r="H42" s="293"/>
      <c r="I42" s="294"/>
      <c r="J42" s="292" t="str">
        <f>TEXT($G$1, "[$-ko-KR]yyyy-mm-dd(ddd) ") &amp; "오후 21:00"</f>
        <v>2021-05-08(토) 오후 21:00</v>
      </c>
      <c r="K42" s="293"/>
      <c r="L42" s="294"/>
      <c r="M42" s="292" t="str">
        <f>TEXT($G$1+1, "[$-ko-KR]yyyy-mm-dd(ddd) ") &amp; "오전 00:00"</f>
        <v>2021-05-09(일) 오전 00:00</v>
      </c>
      <c r="N42" s="293"/>
      <c r="O42" s="294"/>
      <c r="Q42" s="278"/>
      <c r="R42" s="278"/>
      <c r="S42" s="278"/>
    </row>
    <row r="43" spans="1:19" ht="17.25" customHeight="1" thickBot="1">
      <c r="A43" s="33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8"/>
      <c r="R43" s="268"/>
      <c r="S43" s="268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278"/>
      <c r="R44" s="278"/>
      <c r="S44" s="278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278"/>
      <c r="R45" s="278"/>
      <c r="S45" s="278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268"/>
      <c r="R46" s="268"/>
      <c r="S46" s="268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268"/>
      <c r="R47" s="268"/>
      <c r="S47" s="268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268"/>
      <c r="R48" s="268"/>
      <c r="S48" s="268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268"/>
      <c r="R49" s="268"/>
      <c r="S49" s="268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268"/>
      <c r="R50" s="268"/>
      <c r="S50" s="268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268"/>
      <c r="R51" s="268"/>
      <c r="S51" s="268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269"/>
      <c r="R53" s="270"/>
      <c r="S53" s="271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272"/>
      <c r="R54" s="273"/>
      <c r="S54" s="274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275"/>
      <c r="R55" s="276"/>
      <c r="S55" s="277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268"/>
      <c r="R56" s="268"/>
      <c r="S56" s="268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278"/>
      <c r="R57" s="278"/>
      <c r="S57" s="278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278"/>
      <c r="R58" s="278"/>
      <c r="S58" s="278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268"/>
      <c r="R59" s="268"/>
      <c r="S59" s="268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268"/>
      <c r="R60" s="268"/>
      <c r="S60" s="268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268"/>
      <c r="R61" s="268"/>
      <c r="S61" s="268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257"/>
      <c r="R62" s="258"/>
      <c r="S62" s="25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0"/>
      <c r="R63" s="261"/>
      <c r="S63" s="262"/>
    </row>
    <row r="64" spans="1:19" ht="17.25" customHeight="1" thickBot="1">
      <c r="A64" s="131" t="s">
        <v>301</v>
      </c>
      <c r="B64" s="330">
        <f>$B$37</f>
        <v>150000</v>
      </c>
      <c r="C64" s="331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67" t="s">
        <v>298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55555000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-3.6323266700000002E-2</v>
      </c>
      <c r="N68" s="286"/>
      <c r="O68" s="287"/>
      <c r="Q68" s="278"/>
      <c r="R68" s="278"/>
      <c r="S68" s="278"/>
    </row>
    <row r="69" spans="1:19" ht="17.25" thickBot="1">
      <c r="A69" s="332" t="s">
        <v>55</v>
      </c>
      <c r="B69" s="328" t="str">
        <f>TEXT($G$1, "[$-ko-KR]yyyy-mm-dd(ddd) ") &amp; "오전 00:00"</f>
        <v>2021-05-08(토) 오전 00:00</v>
      </c>
      <c r="C69" s="329"/>
      <c r="D69" s="292" t="str">
        <f>TEXT($G$1, "[$-ko-KR]yyyy-mm-dd(ddd) ") &amp; "오후 14:00"</f>
        <v>2021-05-08(토) 오후 14:00</v>
      </c>
      <c r="E69" s="293"/>
      <c r="F69" s="294"/>
      <c r="G69" s="292" t="str">
        <f>TEXT($G$1, "[$-ko-KR]yyyy-mm-dd(ddd) ") &amp; "오후 19:00"</f>
        <v>2021-05-08(토) 오후 19:00</v>
      </c>
      <c r="H69" s="293"/>
      <c r="I69" s="294"/>
      <c r="J69" s="292" t="str">
        <f>TEXT($G$1, "[$-ko-KR]yyyy-mm-dd(ddd) ") &amp; "오후 21:00"</f>
        <v>2021-05-08(토) 오후 21:00</v>
      </c>
      <c r="K69" s="293"/>
      <c r="L69" s="294"/>
      <c r="M69" s="292" t="str">
        <f>TEXT($G$1+1, "[$-ko-KR]yyyy-mm-dd(ddd) ") &amp; "오전 00:00"</f>
        <v>2021-05-09(일) 오전 00:00</v>
      </c>
      <c r="N69" s="293"/>
      <c r="O69" s="294"/>
      <c r="Q69" s="278"/>
      <c r="R69" s="278"/>
      <c r="S69" s="278"/>
    </row>
    <row r="70" spans="1:19" ht="17.25" thickBot="1">
      <c r="A70" s="33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8"/>
      <c r="R70" s="268"/>
      <c r="S70" s="268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278"/>
      <c r="R71" s="278"/>
      <c r="S71" s="278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278"/>
      <c r="R72" s="278"/>
      <c r="S72" s="278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268"/>
      <c r="R73" s="268"/>
      <c r="S73" s="268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268"/>
      <c r="R74" s="268"/>
      <c r="S74" s="268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268"/>
      <c r="R75" s="268"/>
      <c r="S75" s="268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268"/>
      <c r="R76" s="268"/>
      <c r="S76" s="268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268"/>
      <c r="R77" s="268"/>
      <c r="S77" s="268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268"/>
      <c r="R78" s="268"/>
      <c r="S78" s="268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269"/>
      <c r="R80" s="270"/>
      <c r="S80" s="271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272"/>
      <c r="R81" s="273"/>
      <c r="S81" s="274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275"/>
      <c r="R82" s="276"/>
      <c r="S82" s="277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268"/>
      <c r="R83" s="268"/>
      <c r="S83" s="268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278"/>
      <c r="R84" s="278"/>
      <c r="S84" s="278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278"/>
      <c r="R85" s="278"/>
      <c r="S85" s="278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268"/>
      <c r="R86" s="268"/>
      <c r="S86" s="268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268"/>
      <c r="R87" s="268"/>
      <c r="S87" s="268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268"/>
      <c r="R88" s="268"/>
      <c r="S88" s="268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257"/>
      <c r="R89" s="258"/>
      <c r="S89" s="259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260"/>
      <c r="R90" s="261"/>
      <c r="S90" s="262"/>
    </row>
    <row r="91" spans="1:19" ht="17.25" thickBot="1">
      <c r="A91" s="131" t="s">
        <v>301</v>
      </c>
      <c r="B91" s="330">
        <f>$B$37</f>
        <v>150000</v>
      </c>
      <c r="C91" s="331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67" t="s">
        <v>298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55555000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-3.6323266700000002E-2</v>
      </c>
      <c r="N95" s="286"/>
      <c r="O95" s="287"/>
      <c r="Q95" s="278"/>
      <c r="R95" s="278"/>
      <c r="S95" s="278"/>
    </row>
    <row r="96" spans="1:19" ht="17.25" thickBot="1">
      <c r="A96" s="332" t="s">
        <v>55</v>
      </c>
      <c r="B96" s="328" t="str">
        <f>TEXT($G$1, "[$-ko-KR]yyyy-mm-dd(ddd) ") &amp; "오전 00:00"</f>
        <v>2021-05-08(토) 오전 00:00</v>
      </c>
      <c r="C96" s="329"/>
      <c r="D96" s="292" t="str">
        <f>TEXT($G$1, "[$-ko-KR]yyyy-mm-dd(ddd) ") &amp; "오후 14:00"</f>
        <v>2021-05-08(토) 오후 14:00</v>
      </c>
      <c r="E96" s="293"/>
      <c r="F96" s="294"/>
      <c r="G96" s="292" t="str">
        <f>TEXT($G$1, "[$-ko-KR]yyyy-mm-dd(ddd) ") &amp; "오후 19:00"</f>
        <v>2021-05-08(토) 오후 19:00</v>
      </c>
      <c r="H96" s="293"/>
      <c r="I96" s="294"/>
      <c r="J96" s="292" t="str">
        <f>TEXT($G$1, "[$-ko-KR]yyyy-mm-dd(ddd) ") &amp; "오후 21:00"</f>
        <v>2021-05-08(토) 오후 21:00</v>
      </c>
      <c r="K96" s="293"/>
      <c r="L96" s="294"/>
      <c r="M96" s="292" t="str">
        <f>TEXT($G$1+1, "[$-ko-KR]yyyy-mm-dd(ddd) ") &amp; "오전 00:00"</f>
        <v>2021-05-09(일) 오전 00:00</v>
      </c>
      <c r="N96" s="293"/>
      <c r="O96" s="294"/>
      <c r="Q96" s="278"/>
      <c r="R96" s="278"/>
      <c r="S96" s="278"/>
    </row>
    <row r="97" spans="1:19" ht="17.25" thickBot="1">
      <c r="A97" s="33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8"/>
      <c r="R97" s="268"/>
      <c r="S97" s="268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278"/>
      <c r="R98" s="278"/>
      <c r="S98" s="278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278"/>
      <c r="R99" s="278"/>
      <c r="S99" s="278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268"/>
      <c r="R100" s="268"/>
      <c r="S100" s="268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268"/>
      <c r="R101" s="268"/>
      <c r="S101" s="268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268"/>
      <c r="R102" s="268"/>
      <c r="S102" s="268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268"/>
      <c r="R103" s="268"/>
      <c r="S103" s="268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268"/>
      <c r="R104" s="268"/>
      <c r="S104" s="268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268"/>
      <c r="R105" s="268"/>
      <c r="S105" s="268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269"/>
      <c r="R107" s="270"/>
      <c r="S107" s="271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272"/>
      <c r="R108" s="273"/>
      <c r="S108" s="274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275"/>
      <c r="R109" s="276"/>
      <c r="S109" s="277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268"/>
      <c r="R110" s="268"/>
      <c r="S110" s="268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278"/>
      <c r="R111" s="278"/>
      <c r="S111" s="278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278"/>
      <c r="R112" s="278"/>
      <c r="S112" s="278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268"/>
      <c r="R113" s="268"/>
      <c r="S113" s="268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268"/>
      <c r="R114" s="268"/>
      <c r="S114" s="268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268"/>
      <c r="R115" s="268"/>
      <c r="S115" s="268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257"/>
      <c r="R116" s="258"/>
      <c r="S116" s="259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260"/>
      <c r="R117" s="261"/>
      <c r="S117" s="262"/>
    </row>
    <row r="118" spans="1:19" ht="17.25" thickBot="1">
      <c r="A118" s="131" t="s">
        <v>301</v>
      </c>
      <c r="B118" s="330">
        <f>$B$37</f>
        <v>150000</v>
      </c>
      <c r="C118" s="331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263"/>
      <c r="R118" s="264"/>
      <c r="S118" s="265"/>
    </row>
    <row r="120" spans="1:19" ht="17.25" thickBot="1"/>
    <row r="121" spans="1:19" ht="17.25" thickBot="1">
      <c r="A121" s="279" t="s">
        <v>288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67" t="s">
        <v>298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55555000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-3.6323266700000002E-2</v>
      </c>
      <c r="N122" s="286"/>
      <c r="O122" s="287"/>
      <c r="Q122" s="278"/>
      <c r="R122" s="278"/>
      <c r="S122" s="278"/>
    </row>
    <row r="123" spans="1:19" ht="17.25" thickBot="1">
      <c r="A123" s="332" t="s">
        <v>55</v>
      </c>
      <c r="B123" s="328" t="str">
        <f>TEXT($G$1, "[$-ko-KR]yyyy-mm-dd(ddd) ") &amp; "오전 00:00"</f>
        <v>2021-05-08(토) 오전 00:00</v>
      </c>
      <c r="C123" s="329"/>
      <c r="D123" s="292" t="str">
        <f>TEXT($G$1, "[$-ko-KR]yyyy-mm-dd(ddd) ") &amp; "오후 14:00"</f>
        <v>2021-05-08(토) 오후 14:00</v>
      </c>
      <c r="E123" s="293"/>
      <c r="F123" s="294"/>
      <c r="G123" s="292" t="str">
        <f>TEXT($G$1, "[$-ko-KR]yyyy-mm-dd(ddd) ") &amp; "오후 19:00"</f>
        <v>2021-05-08(토) 오후 19:00</v>
      </c>
      <c r="H123" s="293"/>
      <c r="I123" s="294"/>
      <c r="J123" s="292" t="str">
        <f>TEXT($G$1, "[$-ko-KR]yyyy-mm-dd(ddd) ") &amp; "오후 21:00"</f>
        <v>2021-05-08(토) 오후 21:00</v>
      </c>
      <c r="K123" s="293"/>
      <c r="L123" s="294"/>
      <c r="M123" s="292" t="str">
        <f>TEXT($G$1+1, "[$-ko-KR]yyyy-mm-dd(ddd) ") &amp; "오전 00:00"</f>
        <v>2021-05-09(일) 오전 00:00</v>
      </c>
      <c r="N123" s="293"/>
      <c r="O123" s="294"/>
      <c r="Q123" s="278"/>
      <c r="R123" s="278"/>
      <c r="S123" s="278"/>
    </row>
    <row r="124" spans="1:19" ht="17.25" thickBot="1">
      <c r="A124" s="33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8"/>
      <c r="R124" s="268"/>
      <c r="S124" s="268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278"/>
      <c r="R125" s="278"/>
      <c r="S125" s="278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278"/>
      <c r="R126" s="278"/>
      <c r="S126" s="278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268"/>
      <c r="R127" s="268"/>
      <c r="S127" s="268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268"/>
      <c r="R128" s="268"/>
      <c r="S128" s="268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268"/>
      <c r="R129" s="268"/>
      <c r="S129" s="268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268"/>
      <c r="R130" s="268"/>
      <c r="S130" s="268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268"/>
      <c r="R131" s="268"/>
      <c r="S131" s="268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268"/>
      <c r="R132" s="268"/>
      <c r="S132" s="268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269"/>
      <c r="R134" s="270"/>
      <c r="S134" s="271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272"/>
      <c r="R135" s="273"/>
      <c r="S135" s="274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275"/>
      <c r="R136" s="276"/>
      <c r="S136" s="277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268"/>
      <c r="R137" s="268"/>
      <c r="S137" s="268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278"/>
      <c r="R138" s="278"/>
      <c r="S138" s="278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278"/>
      <c r="R139" s="278"/>
      <c r="S139" s="278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268"/>
      <c r="R140" s="268"/>
      <c r="S140" s="268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268"/>
      <c r="R141" s="268"/>
      <c r="S141" s="268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268"/>
      <c r="R142" s="268"/>
      <c r="S142" s="268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257"/>
      <c r="R143" s="258"/>
      <c r="S143" s="25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0"/>
      <c r="R144" s="261"/>
      <c r="S144" s="262"/>
    </row>
    <row r="145" spans="1:19" ht="17.25" thickBot="1">
      <c r="A145" s="131" t="s">
        <v>301</v>
      </c>
      <c r="B145" s="330">
        <f>$B$37</f>
        <v>150000</v>
      </c>
      <c r="C145" s="331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263"/>
      <c r="R145" s="264"/>
      <c r="S145" s="265"/>
    </row>
    <row r="147" spans="1:19" ht="17.25" thickBot="1"/>
    <row r="148" spans="1:19" ht="17.25" thickBot="1">
      <c r="A148" s="279" t="s">
        <v>289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67" t="s">
        <v>298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55555000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-3.6323266700000002E-2</v>
      </c>
      <c r="N149" s="286"/>
      <c r="O149" s="287"/>
      <c r="Q149" s="278"/>
      <c r="R149" s="278"/>
      <c r="S149" s="278"/>
    </row>
    <row r="150" spans="1:19" ht="17.25" thickBot="1">
      <c r="A150" s="332" t="s">
        <v>55</v>
      </c>
      <c r="B150" s="328" t="str">
        <f>TEXT($G$1, "[$-ko-KR]yyyy-mm-dd(ddd) ") &amp; "오전 00:00"</f>
        <v>2021-05-08(토) 오전 00:00</v>
      </c>
      <c r="C150" s="329"/>
      <c r="D150" s="292" t="str">
        <f>TEXT($G$1, "[$-ko-KR]yyyy-mm-dd(ddd) ") &amp; "오후 14:00"</f>
        <v>2021-05-08(토) 오후 14:00</v>
      </c>
      <c r="E150" s="293"/>
      <c r="F150" s="294"/>
      <c r="G150" s="292" t="str">
        <f>TEXT($G$1, "[$-ko-KR]yyyy-mm-dd(ddd) ") &amp; "오후 19:00"</f>
        <v>2021-05-08(토) 오후 19:00</v>
      </c>
      <c r="H150" s="293"/>
      <c r="I150" s="294"/>
      <c r="J150" s="292" t="str">
        <f>TEXT($G$1, "[$-ko-KR]yyyy-mm-dd(ddd) ") &amp; "오후 21:00"</f>
        <v>2021-05-08(토) 오후 21:00</v>
      </c>
      <c r="K150" s="293"/>
      <c r="L150" s="294"/>
      <c r="M150" s="292" t="str">
        <f>TEXT($G$1+1, "[$-ko-KR]yyyy-mm-dd(ddd) ") &amp; "오전 00:00"</f>
        <v>2021-05-09(일) 오전 00:00</v>
      </c>
      <c r="N150" s="293"/>
      <c r="O150" s="294"/>
      <c r="Q150" s="278"/>
      <c r="R150" s="278"/>
      <c r="S150" s="278"/>
    </row>
    <row r="151" spans="1:19" ht="17.25" thickBot="1">
      <c r="A151" s="33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8"/>
      <c r="R151" s="268"/>
      <c r="S151" s="268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278"/>
      <c r="R152" s="278"/>
      <c r="S152" s="278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278"/>
      <c r="R153" s="278"/>
      <c r="S153" s="278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268"/>
      <c r="R154" s="268"/>
      <c r="S154" s="268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268"/>
      <c r="R155" s="268"/>
      <c r="S155" s="268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268"/>
      <c r="R156" s="268"/>
      <c r="S156" s="268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268"/>
      <c r="R157" s="268"/>
      <c r="S157" s="268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268"/>
      <c r="R158" s="268"/>
      <c r="S158" s="268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268"/>
      <c r="R159" s="268"/>
      <c r="S159" s="268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269"/>
      <c r="R161" s="270"/>
      <c r="S161" s="271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272"/>
      <c r="R162" s="273"/>
      <c r="S162" s="274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275"/>
      <c r="R163" s="276"/>
      <c r="S163" s="277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268"/>
      <c r="R164" s="268"/>
      <c r="S164" s="268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278"/>
      <c r="R165" s="278"/>
      <c r="S165" s="278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278"/>
      <c r="R166" s="278"/>
      <c r="S166" s="278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268"/>
      <c r="R167" s="268"/>
      <c r="S167" s="268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268"/>
      <c r="R168" s="268"/>
      <c r="S168" s="268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268"/>
      <c r="R169" s="268"/>
      <c r="S169" s="268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257"/>
      <c r="R170" s="258"/>
      <c r="S170" s="259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260"/>
      <c r="R171" s="261"/>
      <c r="S171" s="262"/>
    </row>
    <row r="172" spans="1:19" ht="17.25" thickBot="1">
      <c r="A172" s="131" t="s">
        <v>301</v>
      </c>
      <c r="B172" s="330">
        <f>$B$37</f>
        <v>150000</v>
      </c>
      <c r="C172" s="331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263"/>
      <c r="R172" s="264"/>
      <c r="S172" s="265"/>
    </row>
    <row r="174" spans="1:19" ht="17.25" thickBot="1"/>
    <row r="175" spans="1:19" ht="17.25" thickBot="1">
      <c r="A175" s="279" t="s">
        <v>285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67" t="s">
        <v>298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55555000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-3.6323266700000002E-2</v>
      </c>
      <c r="N176" s="286"/>
      <c r="O176" s="287"/>
      <c r="Q176" s="278"/>
      <c r="R176" s="278"/>
      <c r="S176" s="278"/>
    </row>
    <row r="177" spans="1:19" ht="17.25" thickBot="1">
      <c r="A177" s="332" t="s">
        <v>55</v>
      </c>
      <c r="B177" s="328" t="str">
        <f>TEXT($G$1, "[$-ko-KR]yyyy-mm-dd(ddd) ") &amp; "오전 00:00"</f>
        <v>2021-05-08(토) 오전 00:00</v>
      </c>
      <c r="C177" s="329"/>
      <c r="D177" s="292" t="str">
        <f>TEXT($G$1, "[$-ko-KR]yyyy-mm-dd(ddd) ") &amp; "오후 14:00"</f>
        <v>2021-05-08(토) 오후 14:00</v>
      </c>
      <c r="E177" s="293"/>
      <c r="F177" s="294"/>
      <c r="G177" s="292" t="str">
        <f>TEXT($G$1, "[$-ko-KR]yyyy-mm-dd(ddd) ") &amp; "오후 19:00"</f>
        <v>2021-05-08(토) 오후 19:00</v>
      </c>
      <c r="H177" s="293"/>
      <c r="I177" s="294"/>
      <c r="J177" s="292" t="str">
        <f>TEXT($G$1, "[$-ko-KR]yyyy-mm-dd(ddd) ") &amp; "오후 21:00"</f>
        <v>2021-05-08(토) 오후 21:00</v>
      </c>
      <c r="K177" s="293"/>
      <c r="L177" s="294"/>
      <c r="M177" s="292" t="str">
        <f>TEXT($G$1+1, "[$-ko-KR]yyyy-mm-dd(ddd) ") &amp; "오전 00:00"</f>
        <v>2021-05-09(일) 오전 00:00</v>
      </c>
      <c r="N177" s="293"/>
      <c r="O177" s="294"/>
      <c r="Q177" s="278"/>
      <c r="R177" s="278"/>
      <c r="S177" s="278"/>
    </row>
    <row r="178" spans="1:19" ht="17.25" thickBot="1">
      <c r="A178" s="33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8"/>
      <c r="R178" s="268"/>
      <c r="S178" s="268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278"/>
      <c r="R179" s="278"/>
      <c r="S179" s="278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278"/>
      <c r="R180" s="278"/>
      <c r="S180" s="278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268"/>
      <c r="R181" s="268"/>
      <c r="S181" s="268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268"/>
      <c r="R182" s="268"/>
      <c r="S182" s="268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268"/>
      <c r="R183" s="268"/>
      <c r="S183" s="268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268"/>
      <c r="R184" s="268"/>
      <c r="S184" s="268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268"/>
      <c r="R185" s="268"/>
      <c r="S185" s="268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268"/>
      <c r="R186" s="268"/>
      <c r="S186" s="268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269"/>
      <c r="R188" s="270"/>
      <c r="S188" s="271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272"/>
      <c r="R189" s="273"/>
      <c r="S189" s="274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275"/>
      <c r="R190" s="276"/>
      <c r="S190" s="277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268"/>
      <c r="R191" s="268"/>
      <c r="S191" s="268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278"/>
      <c r="R192" s="278"/>
      <c r="S192" s="278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278"/>
      <c r="R193" s="278"/>
      <c r="S193" s="278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268"/>
      <c r="R194" s="268"/>
      <c r="S194" s="268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268"/>
      <c r="R195" s="268"/>
      <c r="S195" s="268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268"/>
      <c r="R196" s="268"/>
      <c r="S196" s="268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257"/>
      <c r="R197" s="258"/>
      <c r="S197" s="259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260"/>
      <c r="R198" s="261"/>
      <c r="S198" s="262"/>
    </row>
    <row r="199" spans="1:19" ht="17.25" thickBot="1">
      <c r="A199" s="131" t="s">
        <v>301</v>
      </c>
      <c r="B199" s="330">
        <f>$B$37</f>
        <v>150000</v>
      </c>
      <c r="C199" s="331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44325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6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376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7" t="s">
        <v>7</v>
      </c>
      <c r="B3" s="304" t="s">
        <v>384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301"/>
      <c r="I3" s="302"/>
      <c r="J3" s="4" t="s">
        <v>7</v>
      </c>
      <c r="K3" s="304" t="s">
        <v>377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378</v>
      </c>
      <c r="L4" s="305"/>
      <c r="M4" s="305"/>
      <c r="N4" s="305"/>
      <c r="O4" s="30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04" t="s">
        <v>374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301"/>
      <c r="I5" s="302"/>
      <c r="J5" s="4" t="s">
        <v>15</v>
      </c>
      <c r="K5" s="304" t="s">
        <v>379</v>
      </c>
      <c r="L5" s="305"/>
      <c r="M5" s="305"/>
      <c r="N5" s="305"/>
      <c r="O5" s="306"/>
    </row>
    <row r="6" spans="1:19">
      <c r="A6" s="117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380</v>
      </c>
      <c r="L6" s="305"/>
      <c r="M6" s="305"/>
      <c r="N6" s="305"/>
      <c r="O6" s="306"/>
    </row>
    <row r="7" spans="1:19" ht="17.25" thickBot="1">
      <c r="A7" s="117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301"/>
      <c r="I7" s="302"/>
      <c r="J7" s="4" t="s">
        <v>21</v>
      </c>
      <c r="K7" s="304" t="s">
        <v>381</v>
      </c>
      <c r="L7" s="305"/>
      <c r="M7" s="305"/>
      <c r="N7" s="305"/>
      <c r="O7" s="306"/>
    </row>
    <row r="8" spans="1:19" ht="17.25" thickBot="1">
      <c r="A8" s="117" t="s">
        <v>24</v>
      </c>
      <c r="B8" s="304"/>
      <c r="C8" s="305"/>
      <c r="D8" s="305"/>
      <c r="E8" s="305"/>
      <c r="F8" s="306"/>
      <c r="G8" s="307" t="s">
        <v>285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7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7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382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8" t="s">
        <v>32</v>
      </c>
      <c r="B11" s="297" t="s">
        <v>383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301"/>
      <c r="I11" s="302"/>
      <c r="J11" s="7" t="s">
        <v>32</v>
      </c>
      <c r="K11" s="297" t="s">
        <v>373</v>
      </c>
      <c r="L11" s="298"/>
      <c r="M11" s="298"/>
      <c r="N11" s="298"/>
      <c r="O11" s="299"/>
      <c r="Q11" s="61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71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55555000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-3.6323266700000002E-2</v>
      </c>
      <c r="N14" s="286"/>
      <c r="O14" s="287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2021-05-09(일) 오전 00:00</v>
      </c>
      <c r="C15" s="324"/>
      <c r="D15" s="292" t="str">
        <f>TEXT($G$1, "[$-ko-KR]yyyy-mm-dd(ddd) ") &amp; "오후 14:00"</f>
        <v>2021-05-09(일) 오후 14:00</v>
      </c>
      <c r="E15" s="293"/>
      <c r="F15" s="294"/>
      <c r="G15" s="292" t="str">
        <f>TEXT($G$1, "[$-ko-KR]yyyy-mm-dd(ddd) ") &amp; "오후 19:00"</f>
        <v>2021-05-09(일) 오후 19:00</v>
      </c>
      <c r="H15" s="293"/>
      <c r="I15" s="294"/>
      <c r="J15" s="292" t="str">
        <f>TEXT($G$1, "[$-ko-KR]yyyy-mm-dd(ddd) ") &amp; "오후 21:00"</f>
        <v>2021-05-09(일) 오후 21:00</v>
      </c>
      <c r="K15" s="293"/>
      <c r="L15" s="294"/>
      <c r="M15" s="292" t="str">
        <f>TEXT($G$1+1, "[$-ko-KR]yyyy-mm-dd(ddd) ") &amp; "오전 00:00"</f>
        <v>2021-05-10(월) 오전 00:00</v>
      </c>
      <c r="N15" s="293"/>
      <c r="O15" s="294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8"/>
      <c r="R16" s="268"/>
      <c r="S16" s="268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278"/>
      <c r="R17" s="278"/>
      <c r="S17" s="278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278"/>
      <c r="R18" s="278"/>
      <c r="S18" s="278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268"/>
      <c r="R19" s="268"/>
      <c r="S19" s="268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268"/>
      <c r="R20" s="268"/>
      <c r="S20" s="268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268"/>
      <c r="R21" s="268"/>
      <c r="S21" s="268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268"/>
      <c r="R22" s="268"/>
      <c r="S22" s="268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268"/>
      <c r="R23" s="268"/>
      <c r="S23" s="268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268"/>
      <c r="R24" s="268"/>
      <c r="S24" s="268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269"/>
      <c r="R26" s="270"/>
      <c r="S26" s="271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272"/>
      <c r="R27" s="273"/>
      <c r="S27" s="274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275"/>
      <c r="R28" s="276"/>
      <c r="S28" s="277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268"/>
      <c r="R29" s="268"/>
      <c r="S29" s="268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278"/>
      <c r="R30" s="278"/>
      <c r="S30" s="278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278"/>
      <c r="R31" s="278"/>
      <c r="S31" s="278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268"/>
      <c r="R32" s="268"/>
      <c r="S32" s="268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268"/>
      <c r="R33" s="268"/>
      <c r="S33" s="268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268"/>
      <c r="R34" s="268"/>
      <c r="S34" s="268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257"/>
      <c r="R35" s="258"/>
      <c r="S35" s="259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260"/>
      <c r="R36" s="261"/>
      <c r="S36" s="262"/>
    </row>
    <row r="37" spans="1:19" ht="17.25" customHeight="1" thickBot="1">
      <c r="A37" s="131" t="s">
        <v>42</v>
      </c>
      <c r="B37" s="330">
        <v>150000</v>
      </c>
      <c r="C37" s="331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71" t="s">
        <v>298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55555000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-3.6323266700000002E-2</v>
      </c>
      <c r="N41" s="286"/>
      <c r="O41" s="287"/>
      <c r="Q41" s="278"/>
      <c r="R41" s="278"/>
      <c r="S41" s="278"/>
    </row>
    <row r="42" spans="1:19" ht="17.25" customHeight="1" thickBot="1">
      <c r="A42" s="332" t="s">
        <v>55</v>
      </c>
      <c r="B42" s="328" t="str">
        <f>TEXT($G$1, "[$-ko-KR]yyyy-mm-dd(ddd) ") &amp; "오전 00:00"</f>
        <v>2021-05-09(일) 오전 00:00</v>
      </c>
      <c r="C42" s="329"/>
      <c r="D42" s="292" t="str">
        <f>TEXT($G$1, "[$-ko-KR]yyyy-mm-dd(ddd) ") &amp; "오후 14:00"</f>
        <v>2021-05-09(일) 오후 14:00</v>
      </c>
      <c r="E42" s="293"/>
      <c r="F42" s="294"/>
      <c r="G42" s="292" t="str">
        <f>TEXT($G$1, "[$-ko-KR]yyyy-mm-dd(ddd) ") &amp; "오후 19:00"</f>
        <v>2021-05-09(일) 오후 19:00</v>
      </c>
      <c r="H42" s="293"/>
      <c r="I42" s="294"/>
      <c r="J42" s="292" t="str">
        <f>TEXT($G$1, "[$-ko-KR]yyyy-mm-dd(ddd) ") &amp; "오후 21:00"</f>
        <v>2021-05-09(일) 오후 21:00</v>
      </c>
      <c r="K42" s="293"/>
      <c r="L42" s="294"/>
      <c r="M42" s="292" t="str">
        <f>TEXT($G$1+1, "[$-ko-KR]yyyy-mm-dd(ddd) ") &amp; "오전 00:00"</f>
        <v>2021-05-10(월) 오전 00:00</v>
      </c>
      <c r="N42" s="293"/>
      <c r="O42" s="294"/>
      <c r="Q42" s="278"/>
      <c r="R42" s="278"/>
      <c r="S42" s="278"/>
    </row>
    <row r="43" spans="1:19" ht="17.25" customHeight="1" thickBot="1">
      <c r="A43" s="33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8"/>
      <c r="R43" s="268"/>
      <c r="S43" s="268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278"/>
      <c r="R44" s="278"/>
      <c r="S44" s="278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278"/>
      <c r="R45" s="278"/>
      <c r="S45" s="278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268"/>
      <c r="R46" s="268"/>
      <c r="S46" s="268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268"/>
      <c r="R47" s="268"/>
      <c r="S47" s="268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268"/>
      <c r="R48" s="268"/>
      <c r="S48" s="268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268"/>
      <c r="R49" s="268"/>
      <c r="S49" s="268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268"/>
      <c r="R50" s="268"/>
      <c r="S50" s="268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268"/>
      <c r="R51" s="268"/>
      <c r="S51" s="268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269"/>
      <c r="R53" s="270"/>
      <c r="S53" s="271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272"/>
      <c r="R54" s="273"/>
      <c r="S54" s="274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275"/>
      <c r="R55" s="276"/>
      <c r="S55" s="277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268"/>
      <c r="R56" s="268"/>
      <c r="S56" s="268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278"/>
      <c r="R57" s="278"/>
      <c r="S57" s="278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278"/>
      <c r="R58" s="278"/>
      <c r="S58" s="278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268"/>
      <c r="R59" s="268"/>
      <c r="S59" s="268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268"/>
      <c r="R60" s="268"/>
      <c r="S60" s="268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268"/>
      <c r="R61" s="268"/>
      <c r="S61" s="268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257"/>
      <c r="R62" s="258"/>
      <c r="S62" s="25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0"/>
      <c r="R63" s="261"/>
      <c r="S63" s="262"/>
    </row>
    <row r="64" spans="1:19" ht="17.25" customHeight="1" thickBot="1">
      <c r="A64" s="131" t="s">
        <v>301</v>
      </c>
      <c r="B64" s="330">
        <f>$B$37</f>
        <v>150000</v>
      </c>
      <c r="C64" s="331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71" t="s">
        <v>298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55555000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-3.6323266700000002E-2</v>
      </c>
      <c r="N68" s="286"/>
      <c r="O68" s="287"/>
      <c r="Q68" s="278"/>
      <c r="R68" s="278"/>
      <c r="S68" s="278"/>
    </row>
    <row r="69" spans="1:19" ht="17.25" thickBot="1">
      <c r="A69" s="332" t="s">
        <v>55</v>
      </c>
      <c r="B69" s="328" t="str">
        <f>TEXT($G$1, "[$-ko-KR]yyyy-mm-dd(ddd) ") &amp; "오전 00:00"</f>
        <v>2021-05-09(일) 오전 00:00</v>
      </c>
      <c r="C69" s="329"/>
      <c r="D69" s="292" t="str">
        <f>TEXT($G$1, "[$-ko-KR]yyyy-mm-dd(ddd) ") &amp; "오후 14:00"</f>
        <v>2021-05-09(일) 오후 14:00</v>
      </c>
      <c r="E69" s="293"/>
      <c r="F69" s="294"/>
      <c r="G69" s="292" t="str">
        <f>TEXT($G$1, "[$-ko-KR]yyyy-mm-dd(ddd) ") &amp; "오후 19:00"</f>
        <v>2021-05-09(일) 오후 19:00</v>
      </c>
      <c r="H69" s="293"/>
      <c r="I69" s="294"/>
      <c r="J69" s="292" t="str">
        <f>TEXT($G$1, "[$-ko-KR]yyyy-mm-dd(ddd) ") &amp; "오후 21:00"</f>
        <v>2021-05-09(일) 오후 21:00</v>
      </c>
      <c r="K69" s="293"/>
      <c r="L69" s="294"/>
      <c r="M69" s="292" t="str">
        <f>TEXT($G$1+1, "[$-ko-KR]yyyy-mm-dd(ddd) ") &amp; "오전 00:00"</f>
        <v>2021-05-10(월) 오전 00:00</v>
      </c>
      <c r="N69" s="293"/>
      <c r="O69" s="294"/>
      <c r="Q69" s="278"/>
      <c r="R69" s="278"/>
      <c r="S69" s="278"/>
    </row>
    <row r="70" spans="1:19" ht="17.25" thickBot="1">
      <c r="A70" s="33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8"/>
      <c r="R70" s="268"/>
      <c r="S70" s="268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278"/>
      <c r="R71" s="278"/>
      <c r="S71" s="278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278"/>
      <c r="R72" s="278"/>
      <c r="S72" s="278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268"/>
      <c r="R73" s="268"/>
      <c r="S73" s="268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268"/>
      <c r="R74" s="268"/>
      <c r="S74" s="268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268"/>
      <c r="R75" s="268"/>
      <c r="S75" s="268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268"/>
      <c r="R76" s="268"/>
      <c r="S76" s="268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268"/>
      <c r="R77" s="268"/>
      <c r="S77" s="268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268"/>
      <c r="R78" s="268"/>
      <c r="S78" s="268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269"/>
      <c r="R80" s="270"/>
      <c r="S80" s="271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272"/>
      <c r="R81" s="273"/>
      <c r="S81" s="274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275"/>
      <c r="R82" s="276"/>
      <c r="S82" s="277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268"/>
      <c r="R83" s="268"/>
      <c r="S83" s="268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278"/>
      <c r="R84" s="278"/>
      <c r="S84" s="278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278"/>
      <c r="R85" s="278"/>
      <c r="S85" s="278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268"/>
      <c r="R86" s="268"/>
      <c r="S86" s="268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268"/>
      <c r="R87" s="268"/>
      <c r="S87" s="268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268"/>
      <c r="R88" s="268"/>
      <c r="S88" s="268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257"/>
      <c r="R89" s="258"/>
      <c r="S89" s="259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260"/>
      <c r="R90" s="261"/>
      <c r="S90" s="262"/>
    </row>
    <row r="91" spans="1:19" ht="17.25" thickBot="1">
      <c r="A91" s="131" t="s">
        <v>301</v>
      </c>
      <c r="B91" s="330">
        <f>$B$37</f>
        <v>150000</v>
      </c>
      <c r="C91" s="331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71" t="s">
        <v>298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55555000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-3.6323266700000002E-2</v>
      </c>
      <c r="N95" s="286"/>
      <c r="O95" s="287"/>
      <c r="Q95" s="278"/>
      <c r="R95" s="278"/>
      <c r="S95" s="278"/>
    </row>
    <row r="96" spans="1:19" ht="17.25" thickBot="1">
      <c r="A96" s="332" t="s">
        <v>55</v>
      </c>
      <c r="B96" s="328" t="str">
        <f>TEXT($G$1, "[$-ko-KR]yyyy-mm-dd(ddd) ") &amp; "오전 00:00"</f>
        <v>2021-05-09(일) 오전 00:00</v>
      </c>
      <c r="C96" s="329"/>
      <c r="D96" s="292" t="str">
        <f>TEXT($G$1, "[$-ko-KR]yyyy-mm-dd(ddd) ") &amp; "오후 14:00"</f>
        <v>2021-05-09(일) 오후 14:00</v>
      </c>
      <c r="E96" s="293"/>
      <c r="F96" s="294"/>
      <c r="G96" s="292" t="str">
        <f>TEXT($G$1, "[$-ko-KR]yyyy-mm-dd(ddd) ") &amp; "오후 19:00"</f>
        <v>2021-05-09(일) 오후 19:00</v>
      </c>
      <c r="H96" s="293"/>
      <c r="I96" s="294"/>
      <c r="J96" s="292" t="str">
        <f>TEXT($G$1, "[$-ko-KR]yyyy-mm-dd(ddd) ") &amp; "오후 21:00"</f>
        <v>2021-05-09(일) 오후 21:00</v>
      </c>
      <c r="K96" s="293"/>
      <c r="L96" s="294"/>
      <c r="M96" s="292" t="str">
        <f>TEXT($G$1+1, "[$-ko-KR]yyyy-mm-dd(ddd) ") &amp; "오전 00:00"</f>
        <v>2021-05-10(월) 오전 00:00</v>
      </c>
      <c r="N96" s="293"/>
      <c r="O96" s="294"/>
      <c r="Q96" s="278"/>
      <c r="R96" s="278"/>
      <c r="S96" s="278"/>
    </row>
    <row r="97" spans="1:19" ht="17.25" thickBot="1">
      <c r="A97" s="33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8"/>
      <c r="R97" s="268"/>
      <c r="S97" s="268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278"/>
      <c r="R98" s="278"/>
      <c r="S98" s="278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278"/>
      <c r="R99" s="278"/>
      <c r="S99" s="278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268"/>
      <c r="R100" s="268"/>
      <c r="S100" s="268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268"/>
      <c r="R101" s="268"/>
      <c r="S101" s="268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268"/>
      <c r="R102" s="268"/>
      <c r="S102" s="268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268"/>
      <c r="R103" s="268"/>
      <c r="S103" s="268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268"/>
      <c r="R104" s="268"/>
      <c r="S104" s="268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268"/>
      <c r="R105" s="268"/>
      <c r="S105" s="268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269"/>
      <c r="R107" s="270"/>
      <c r="S107" s="271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272"/>
      <c r="R108" s="273"/>
      <c r="S108" s="274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275"/>
      <c r="R109" s="276"/>
      <c r="S109" s="277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268"/>
      <c r="R110" s="268"/>
      <c r="S110" s="268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278"/>
      <c r="R111" s="278"/>
      <c r="S111" s="278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278"/>
      <c r="R112" s="278"/>
      <c r="S112" s="278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268"/>
      <c r="R113" s="268"/>
      <c r="S113" s="268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268"/>
      <c r="R114" s="268"/>
      <c r="S114" s="268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268"/>
      <c r="R115" s="268"/>
      <c r="S115" s="268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257"/>
      <c r="R116" s="258"/>
      <c r="S116" s="259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260"/>
      <c r="R117" s="261"/>
      <c r="S117" s="262"/>
    </row>
    <row r="118" spans="1:19" ht="17.25" thickBot="1">
      <c r="A118" s="131" t="s">
        <v>301</v>
      </c>
      <c r="B118" s="330">
        <f>$B$37</f>
        <v>150000</v>
      </c>
      <c r="C118" s="331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263"/>
      <c r="R118" s="264"/>
      <c r="S118" s="265"/>
    </row>
    <row r="120" spans="1:19" ht="17.25" thickBot="1"/>
    <row r="121" spans="1:19" ht="17.25" thickBot="1">
      <c r="A121" s="279" t="s">
        <v>288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71" t="s">
        <v>298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55555000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-3.6323266700000002E-2</v>
      </c>
      <c r="N122" s="286"/>
      <c r="O122" s="287"/>
      <c r="Q122" s="278"/>
      <c r="R122" s="278"/>
      <c r="S122" s="278"/>
    </row>
    <row r="123" spans="1:19" ht="17.25" thickBot="1">
      <c r="A123" s="332" t="s">
        <v>55</v>
      </c>
      <c r="B123" s="328" t="str">
        <f>TEXT($G$1, "[$-ko-KR]yyyy-mm-dd(ddd) ") &amp; "오전 00:00"</f>
        <v>2021-05-09(일) 오전 00:00</v>
      </c>
      <c r="C123" s="329"/>
      <c r="D123" s="292" t="str">
        <f>TEXT($G$1, "[$-ko-KR]yyyy-mm-dd(ddd) ") &amp; "오후 14:00"</f>
        <v>2021-05-09(일) 오후 14:00</v>
      </c>
      <c r="E123" s="293"/>
      <c r="F123" s="294"/>
      <c r="G123" s="292" t="str">
        <f>TEXT($G$1, "[$-ko-KR]yyyy-mm-dd(ddd) ") &amp; "오후 19:00"</f>
        <v>2021-05-09(일) 오후 19:00</v>
      </c>
      <c r="H123" s="293"/>
      <c r="I123" s="294"/>
      <c r="J123" s="292" t="str">
        <f>TEXT($G$1, "[$-ko-KR]yyyy-mm-dd(ddd) ") &amp; "오후 21:00"</f>
        <v>2021-05-09(일) 오후 21:00</v>
      </c>
      <c r="K123" s="293"/>
      <c r="L123" s="294"/>
      <c r="M123" s="292" t="str">
        <f>TEXT($G$1+1, "[$-ko-KR]yyyy-mm-dd(ddd) ") &amp; "오전 00:00"</f>
        <v>2021-05-10(월) 오전 00:00</v>
      </c>
      <c r="N123" s="293"/>
      <c r="O123" s="294"/>
      <c r="Q123" s="278"/>
      <c r="R123" s="278"/>
      <c r="S123" s="278"/>
    </row>
    <row r="124" spans="1:19" ht="17.25" thickBot="1">
      <c r="A124" s="33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8"/>
      <c r="R124" s="268"/>
      <c r="S124" s="268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278"/>
      <c r="R125" s="278"/>
      <c r="S125" s="278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278"/>
      <c r="R126" s="278"/>
      <c r="S126" s="278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268"/>
      <c r="R127" s="268"/>
      <c r="S127" s="268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268"/>
      <c r="R128" s="268"/>
      <c r="S128" s="268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268"/>
      <c r="R129" s="268"/>
      <c r="S129" s="268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268"/>
      <c r="R130" s="268"/>
      <c r="S130" s="268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268"/>
      <c r="R131" s="268"/>
      <c r="S131" s="268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268"/>
      <c r="R132" s="268"/>
      <c r="S132" s="268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269"/>
      <c r="R134" s="270"/>
      <c r="S134" s="271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272"/>
      <c r="R135" s="273"/>
      <c r="S135" s="274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275"/>
      <c r="R136" s="276"/>
      <c r="S136" s="277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268"/>
      <c r="R137" s="268"/>
      <c r="S137" s="268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278"/>
      <c r="R138" s="278"/>
      <c r="S138" s="278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278"/>
      <c r="R139" s="278"/>
      <c r="S139" s="278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268"/>
      <c r="R140" s="268"/>
      <c r="S140" s="268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268"/>
      <c r="R141" s="268"/>
      <c r="S141" s="268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268"/>
      <c r="R142" s="268"/>
      <c r="S142" s="268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257"/>
      <c r="R143" s="258"/>
      <c r="S143" s="25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0"/>
      <c r="R144" s="261"/>
      <c r="S144" s="262"/>
    </row>
    <row r="145" spans="1:19" ht="17.25" thickBot="1">
      <c r="A145" s="131" t="s">
        <v>301</v>
      </c>
      <c r="B145" s="330">
        <f>$B$37</f>
        <v>150000</v>
      </c>
      <c r="C145" s="331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263"/>
      <c r="R145" s="264"/>
      <c r="S145" s="265"/>
    </row>
    <row r="147" spans="1:19" ht="17.25" thickBot="1"/>
    <row r="148" spans="1:19" ht="17.25" thickBot="1">
      <c r="A148" s="279" t="s">
        <v>289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71" t="s">
        <v>298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55555000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-3.6323266700000002E-2</v>
      </c>
      <c r="N149" s="286"/>
      <c r="O149" s="287"/>
      <c r="Q149" s="278"/>
      <c r="R149" s="278"/>
      <c r="S149" s="278"/>
    </row>
    <row r="150" spans="1:19" ht="17.25" thickBot="1">
      <c r="A150" s="332" t="s">
        <v>55</v>
      </c>
      <c r="B150" s="328" t="str">
        <f>TEXT($G$1, "[$-ko-KR]yyyy-mm-dd(ddd) ") &amp; "오전 00:00"</f>
        <v>2021-05-09(일) 오전 00:00</v>
      </c>
      <c r="C150" s="329"/>
      <c r="D150" s="292" t="str">
        <f>TEXT($G$1, "[$-ko-KR]yyyy-mm-dd(ddd) ") &amp; "오후 14:00"</f>
        <v>2021-05-09(일) 오후 14:00</v>
      </c>
      <c r="E150" s="293"/>
      <c r="F150" s="294"/>
      <c r="G150" s="292" t="str">
        <f>TEXT($G$1, "[$-ko-KR]yyyy-mm-dd(ddd) ") &amp; "오후 19:00"</f>
        <v>2021-05-09(일) 오후 19:00</v>
      </c>
      <c r="H150" s="293"/>
      <c r="I150" s="294"/>
      <c r="J150" s="292" t="str">
        <f>TEXT($G$1, "[$-ko-KR]yyyy-mm-dd(ddd) ") &amp; "오후 21:00"</f>
        <v>2021-05-09(일) 오후 21:00</v>
      </c>
      <c r="K150" s="293"/>
      <c r="L150" s="294"/>
      <c r="M150" s="292" t="str">
        <f>TEXT($G$1+1, "[$-ko-KR]yyyy-mm-dd(ddd) ") &amp; "오전 00:00"</f>
        <v>2021-05-10(월) 오전 00:00</v>
      </c>
      <c r="N150" s="293"/>
      <c r="O150" s="294"/>
      <c r="Q150" s="278"/>
      <c r="R150" s="278"/>
      <c r="S150" s="278"/>
    </row>
    <row r="151" spans="1:19" ht="17.25" thickBot="1">
      <c r="A151" s="33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8"/>
      <c r="R151" s="268"/>
      <c r="S151" s="268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278"/>
      <c r="R152" s="278"/>
      <c r="S152" s="278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78"/>
      <c r="R153" s="278"/>
      <c r="S153" s="278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268"/>
      <c r="R154" s="268"/>
      <c r="S154" s="268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268"/>
      <c r="R155" s="268"/>
      <c r="S155" s="268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268"/>
      <c r="R156" s="268"/>
      <c r="S156" s="268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268"/>
      <c r="R157" s="268"/>
      <c r="S157" s="268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268"/>
      <c r="R158" s="268"/>
      <c r="S158" s="268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268"/>
      <c r="R159" s="268"/>
      <c r="S159" s="268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269"/>
      <c r="R161" s="270"/>
      <c r="S161" s="271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272"/>
      <c r="R162" s="273"/>
      <c r="S162" s="274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275"/>
      <c r="R163" s="276"/>
      <c r="S163" s="277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268"/>
      <c r="R164" s="268"/>
      <c r="S164" s="268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278"/>
      <c r="R165" s="278"/>
      <c r="S165" s="278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278"/>
      <c r="R166" s="278"/>
      <c r="S166" s="278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268"/>
      <c r="R167" s="268"/>
      <c r="S167" s="268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268"/>
      <c r="R168" s="268"/>
      <c r="S168" s="268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268"/>
      <c r="R169" s="268"/>
      <c r="S169" s="268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257"/>
      <c r="R170" s="258"/>
      <c r="S170" s="259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260"/>
      <c r="R171" s="261"/>
      <c r="S171" s="262"/>
    </row>
    <row r="172" spans="1:19" ht="17.25" thickBot="1">
      <c r="A172" s="131" t="s">
        <v>301</v>
      </c>
      <c r="B172" s="330">
        <f>$B$37</f>
        <v>150000</v>
      </c>
      <c r="C172" s="331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263"/>
      <c r="R172" s="264"/>
      <c r="S172" s="265"/>
    </row>
    <row r="174" spans="1:19" ht="17.25" thickBot="1"/>
    <row r="175" spans="1:19" ht="17.25" thickBot="1">
      <c r="A175" s="279" t="s">
        <v>285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71" t="s">
        <v>298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55555000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-3.6323266700000002E-2</v>
      </c>
      <c r="N176" s="286"/>
      <c r="O176" s="287"/>
      <c r="Q176" s="278"/>
      <c r="R176" s="278"/>
      <c r="S176" s="278"/>
    </row>
    <row r="177" spans="1:19" ht="17.25" thickBot="1">
      <c r="A177" s="332" t="s">
        <v>55</v>
      </c>
      <c r="B177" s="328" t="str">
        <f>TEXT($G$1, "[$-ko-KR]yyyy-mm-dd(ddd) ") &amp; "오전 00:00"</f>
        <v>2021-05-09(일) 오전 00:00</v>
      </c>
      <c r="C177" s="329"/>
      <c r="D177" s="292" t="str">
        <f>TEXT($G$1, "[$-ko-KR]yyyy-mm-dd(ddd) ") &amp; "오후 14:00"</f>
        <v>2021-05-09(일) 오후 14:00</v>
      </c>
      <c r="E177" s="293"/>
      <c r="F177" s="294"/>
      <c r="G177" s="292" t="str">
        <f>TEXT($G$1, "[$-ko-KR]yyyy-mm-dd(ddd) ") &amp; "오후 19:00"</f>
        <v>2021-05-09(일) 오후 19:00</v>
      </c>
      <c r="H177" s="293"/>
      <c r="I177" s="294"/>
      <c r="J177" s="292" t="str">
        <f>TEXT($G$1, "[$-ko-KR]yyyy-mm-dd(ddd) ") &amp; "오후 21:00"</f>
        <v>2021-05-09(일) 오후 21:00</v>
      </c>
      <c r="K177" s="293"/>
      <c r="L177" s="294"/>
      <c r="M177" s="292" t="str">
        <f>TEXT($G$1+1, "[$-ko-KR]yyyy-mm-dd(ddd) ") &amp; "오전 00:00"</f>
        <v>2021-05-10(월) 오전 00:00</v>
      </c>
      <c r="N177" s="293"/>
      <c r="O177" s="294"/>
      <c r="Q177" s="278"/>
      <c r="R177" s="278"/>
      <c r="S177" s="278"/>
    </row>
    <row r="178" spans="1:19" ht="17.25" thickBot="1">
      <c r="A178" s="33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8"/>
      <c r="R178" s="268"/>
      <c r="S178" s="268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278"/>
      <c r="R179" s="278"/>
      <c r="S179" s="278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278"/>
      <c r="R180" s="278"/>
      <c r="S180" s="278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268"/>
      <c r="R181" s="268"/>
      <c r="S181" s="268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268"/>
      <c r="R182" s="268"/>
      <c r="S182" s="268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268"/>
      <c r="R183" s="268"/>
      <c r="S183" s="268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268"/>
      <c r="R184" s="268"/>
      <c r="S184" s="268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268"/>
      <c r="R185" s="268"/>
      <c r="S185" s="268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268"/>
      <c r="R186" s="268"/>
      <c r="S186" s="268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269"/>
      <c r="R188" s="270"/>
      <c r="S188" s="271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272"/>
      <c r="R189" s="273"/>
      <c r="S189" s="274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275"/>
      <c r="R190" s="276"/>
      <c r="S190" s="277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268"/>
      <c r="R191" s="268"/>
      <c r="S191" s="268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278"/>
      <c r="R192" s="278"/>
      <c r="S192" s="278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278"/>
      <c r="R193" s="278"/>
      <c r="S193" s="278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268"/>
      <c r="R194" s="268"/>
      <c r="S194" s="268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268"/>
      <c r="R195" s="268"/>
      <c r="S195" s="268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268"/>
      <c r="R196" s="268"/>
      <c r="S196" s="268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257"/>
      <c r="R197" s="258"/>
      <c r="S197" s="259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260"/>
      <c r="R198" s="261"/>
      <c r="S198" s="262"/>
    </row>
    <row r="199" spans="1:19" ht="17.25" thickBot="1">
      <c r="A199" s="131" t="s">
        <v>301</v>
      </c>
      <c r="B199" s="330">
        <f>$B$37</f>
        <v>150000</v>
      </c>
      <c r="C199" s="331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44326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6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376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7" t="s">
        <v>7</v>
      </c>
      <c r="B3" s="304" t="s">
        <v>384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301"/>
      <c r="I3" s="302"/>
      <c r="J3" s="4" t="s">
        <v>7</v>
      </c>
      <c r="K3" s="304" t="s">
        <v>377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378</v>
      </c>
      <c r="L4" s="305"/>
      <c r="M4" s="305"/>
      <c r="N4" s="305"/>
      <c r="O4" s="30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04" t="s">
        <v>374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301"/>
      <c r="I5" s="302"/>
      <c r="J5" s="4" t="s">
        <v>15</v>
      </c>
      <c r="K5" s="304" t="s">
        <v>379</v>
      </c>
      <c r="L5" s="305"/>
      <c r="M5" s="305"/>
      <c r="N5" s="305"/>
      <c r="O5" s="306"/>
    </row>
    <row r="6" spans="1:19">
      <c r="A6" s="117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380</v>
      </c>
      <c r="L6" s="305"/>
      <c r="M6" s="305"/>
      <c r="N6" s="305"/>
      <c r="O6" s="306"/>
    </row>
    <row r="7" spans="1:19" ht="17.25" thickBot="1">
      <c r="A7" s="117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301"/>
      <c r="I7" s="302"/>
      <c r="J7" s="4" t="s">
        <v>21</v>
      </c>
      <c r="K7" s="304" t="s">
        <v>381</v>
      </c>
      <c r="L7" s="305"/>
      <c r="M7" s="305"/>
      <c r="N7" s="305"/>
      <c r="O7" s="306"/>
    </row>
    <row r="8" spans="1:19" ht="17.25" thickBot="1">
      <c r="A8" s="117" t="s">
        <v>24</v>
      </c>
      <c r="B8" s="304"/>
      <c r="C8" s="305"/>
      <c r="D8" s="305"/>
      <c r="E8" s="305"/>
      <c r="F8" s="306"/>
      <c r="G8" s="307" t="s">
        <v>285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7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7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382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8" t="s">
        <v>32</v>
      </c>
      <c r="B11" s="297" t="s">
        <v>383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301"/>
      <c r="I11" s="302"/>
      <c r="J11" s="7" t="s">
        <v>32</v>
      </c>
      <c r="K11" s="297" t="s">
        <v>373</v>
      </c>
      <c r="L11" s="298"/>
      <c r="M11" s="298"/>
      <c r="N11" s="298"/>
      <c r="O11" s="299"/>
      <c r="Q11" s="61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79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55555000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-3.6323266700000002E-2</v>
      </c>
      <c r="N14" s="286"/>
      <c r="O14" s="287"/>
      <c r="Q14" s="278"/>
      <c r="R14" s="278"/>
      <c r="S14" s="278"/>
    </row>
    <row r="15" spans="1:19" ht="17.25" customHeight="1" thickBot="1">
      <c r="A15" s="185" t="s">
        <v>39</v>
      </c>
      <c r="B15" s="328" t="str">
        <f>TEXT($G$1, "[$-ko-KR]yyyy-mm-dd(ddd) ") &amp; "오전 00:00"</f>
        <v>2021-05-10(월) 오전 00:00</v>
      </c>
      <c r="C15" s="329"/>
      <c r="D15" s="292" t="str">
        <f>TEXT($G$1, "[$-ko-KR]yyyy-mm-dd(ddd) ") &amp; "오후 14:00"</f>
        <v>2021-05-10(월) 오후 14:00</v>
      </c>
      <c r="E15" s="293"/>
      <c r="F15" s="294"/>
      <c r="G15" s="292" t="str">
        <f>TEXT($G$1, "[$-ko-KR]yyyy-mm-dd(ddd) ") &amp; "오후 19:00"</f>
        <v>2021-05-10(월) 오후 19:00</v>
      </c>
      <c r="H15" s="293"/>
      <c r="I15" s="294"/>
      <c r="J15" s="292" t="str">
        <f>TEXT($G$1, "[$-ko-KR]yyyy-mm-dd(ddd) ") &amp; "오후 21:00"</f>
        <v>2021-05-10(월) 오후 21:00</v>
      </c>
      <c r="K15" s="293"/>
      <c r="L15" s="294"/>
      <c r="M15" s="292" t="str">
        <f>TEXT($G$1+1, "[$-ko-KR]yyyy-mm-dd(ddd) ") &amp; "오전 00:00"</f>
        <v>2021-05-11(화) 오전 00:00</v>
      </c>
      <c r="N15" s="293"/>
      <c r="O15" s="294"/>
      <c r="Q15" s="278"/>
      <c r="R15" s="278"/>
      <c r="S15" s="278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8"/>
      <c r="R16" s="268"/>
      <c r="S16" s="268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278"/>
      <c r="R17" s="278"/>
      <c r="S17" s="278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278"/>
      <c r="R18" s="278"/>
      <c r="S18" s="278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268"/>
      <c r="R19" s="268"/>
      <c r="S19" s="268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268"/>
      <c r="R20" s="268"/>
      <c r="S20" s="268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268"/>
      <c r="R21" s="268"/>
      <c r="S21" s="268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268"/>
      <c r="R22" s="268"/>
      <c r="S22" s="268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268"/>
      <c r="R23" s="268"/>
      <c r="S23" s="268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268"/>
      <c r="R24" s="268"/>
      <c r="S24" s="268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269"/>
      <c r="R26" s="270"/>
      <c r="S26" s="271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272"/>
      <c r="R27" s="273"/>
      <c r="S27" s="274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275"/>
      <c r="R28" s="276"/>
      <c r="S28" s="277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268"/>
      <c r="R29" s="268"/>
      <c r="S29" s="268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278"/>
      <c r="R30" s="278"/>
      <c r="S30" s="278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278"/>
      <c r="R31" s="278"/>
      <c r="S31" s="278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268"/>
      <c r="R32" s="268"/>
      <c r="S32" s="268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268"/>
      <c r="R33" s="268"/>
      <c r="S33" s="268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268"/>
      <c r="R34" s="268"/>
      <c r="S34" s="268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257"/>
      <c r="R35" s="258"/>
      <c r="S35" s="259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260"/>
      <c r="R36" s="261"/>
      <c r="S36" s="262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75" t="s">
        <v>298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55555000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-3.6323266700000002E-2</v>
      </c>
      <c r="N41" s="286"/>
      <c r="O41" s="287"/>
      <c r="Q41" s="278"/>
      <c r="R41" s="278"/>
      <c r="S41" s="278"/>
    </row>
    <row r="42" spans="1:19" ht="17.25" customHeight="1" thickBot="1">
      <c r="A42" s="332" t="s">
        <v>55</v>
      </c>
      <c r="B42" s="328" t="str">
        <f>TEXT($G$1, "[$-ko-KR]yyyy-mm-dd(ddd) ") &amp; "오전 00:00"</f>
        <v>2021-05-10(월) 오전 00:00</v>
      </c>
      <c r="C42" s="329"/>
      <c r="D42" s="292" t="str">
        <f>TEXT($G$1, "[$-ko-KR]yyyy-mm-dd(ddd) ") &amp; "오후 14:00"</f>
        <v>2021-05-10(월) 오후 14:00</v>
      </c>
      <c r="E42" s="293"/>
      <c r="F42" s="294"/>
      <c r="G42" s="292" t="str">
        <f>TEXT($G$1, "[$-ko-KR]yyyy-mm-dd(ddd) ") &amp; "오후 19:00"</f>
        <v>2021-05-10(월) 오후 19:00</v>
      </c>
      <c r="H42" s="293"/>
      <c r="I42" s="294"/>
      <c r="J42" s="292" t="str">
        <f>TEXT($G$1, "[$-ko-KR]yyyy-mm-dd(ddd) ") &amp; "오후 21:00"</f>
        <v>2021-05-10(월) 오후 21:00</v>
      </c>
      <c r="K42" s="293"/>
      <c r="L42" s="294"/>
      <c r="M42" s="292" t="str">
        <f>TEXT($G$1+1, "[$-ko-KR]yyyy-mm-dd(ddd) ") &amp; "오전 00:00"</f>
        <v>2021-05-11(화) 오전 00:00</v>
      </c>
      <c r="N42" s="293"/>
      <c r="O42" s="294"/>
      <c r="Q42" s="278"/>
      <c r="R42" s="278"/>
      <c r="S42" s="278"/>
    </row>
    <row r="43" spans="1:19" ht="17.25" customHeight="1" thickBot="1">
      <c r="A43" s="33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8"/>
      <c r="R43" s="268"/>
      <c r="S43" s="268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278"/>
      <c r="R44" s="278"/>
      <c r="S44" s="278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78"/>
      <c r="R45" s="278"/>
      <c r="S45" s="278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268"/>
      <c r="R46" s="268"/>
      <c r="S46" s="268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268"/>
      <c r="R47" s="268"/>
      <c r="S47" s="268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268"/>
      <c r="R48" s="268"/>
      <c r="S48" s="268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268"/>
      <c r="R49" s="268"/>
      <c r="S49" s="268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268"/>
      <c r="R50" s="268"/>
      <c r="S50" s="268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268"/>
      <c r="R51" s="268"/>
      <c r="S51" s="268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269"/>
      <c r="R53" s="270"/>
      <c r="S53" s="271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272"/>
      <c r="R54" s="273"/>
      <c r="S54" s="274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275"/>
      <c r="R55" s="276"/>
      <c r="S55" s="277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268"/>
      <c r="R56" s="268"/>
      <c r="S56" s="268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278"/>
      <c r="R57" s="278"/>
      <c r="S57" s="278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278"/>
      <c r="R58" s="278"/>
      <c r="S58" s="278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268"/>
      <c r="R59" s="268"/>
      <c r="S59" s="268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68"/>
      <c r="R60" s="268"/>
      <c r="S60" s="268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268"/>
      <c r="R61" s="268"/>
      <c r="S61" s="268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257"/>
      <c r="R62" s="258"/>
      <c r="S62" s="259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0"/>
      <c r="R63" s="261"/>
      <c r="S63" s="262"/>
    </row>
    <row r="64" spans="1:19" ht="17.25" customHeight="1" thickBot="1">
      <c r="A64" s="131" t="s">
        <v>301</v>
      </c>
      <c r="B64" s="330">
        <f>$B$37</f>
        <v>150000</v>
      </c>
      <c r="C64" s="331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75" t="s">
        <v>298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55555000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-3.6323266700000002E-2</v>
      </c>
      <c r="N68" s="286"/>
      <c r="O68" s="287"/>
      <c r="Q68" s="278"/>
      <c r="R68" s="278"/>
      <c r="S68" s="278"/>
    </row>
    <row r="69" spans="1:19" ht="17.25" thickBot="1">
      <c r="A69" s="332" t="s">
        <v>55</v>
      </c>
      <c r="B69" s="328" t="str">
        <f>TEXT($G$1, "[$-ko-KR]yyyy-mm-dd(ddd) ") &amp; "오전 00:00"</f>
        <v>2021-05-10(월) 오전 00:00</v>
      </c>
      <c r="C69" s="329"/>
      <c r="D69" s="292" t="str">
        <f>TEXT($G$1, "[$-ko-KR]yyyy-mm-dd(ddd) ") &amp; "오후 14:00"</f>
        <v>2021-05-10(월) 오후 14:00</v>
      </c>
      <c r="E69" s="293"/>
      <c r="F69" s="294"/>
      <c r="G69" s="292" t="str">
        <f>TEXT($G$1, "[$-ko-KR]yyyy-mm-dd(ddd) ") &amp; "오후 19:00"</f>
        <v>2021-05-10(월) 오후 19:00</v>
      </c>
      <c r="H69" s="293"/>
      <c r="I69" s="294"/>
      <c r="J69" s="292" t="str">
        <f>TEXT($G$1, "[$-ko-KR]yyyy-mm-dd(ddd) ") &amp; "오후 21:00"</f>
        <v>2021-05-10(월) 오후 21:00</v>
      </c>
      <c r="K69" s="293"/>
      <c r="L69" s="294"/>
      <c r="M69" s="292" t="str">
        <f>TEXT($G$1+1, "[$-ko-KR]yyyy-mm-dd(ddd) ") &amp; "오전 00:00"</f>
        <v>2021-05-11(화) 오전 00:00</v>
      </c>
      <c r="N69" s="293"/>
      <c r="O69" s="294"/>
      <c r="Q69" s="278"/>
      <c r="R69" s="278"/>
      <c r="S69" s="278"/>
    </row>
    <row r="70" spans="1:19" ht="17.25" thickBot="1">
      <c r="A70" s="33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8"/>
      <c r="R70" s="268"/>
      <c r="S70" s="268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278"/>
      <c r="R71" s="278"/>
      <c r="S71" s="278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278"/>
      <c r="R72" s="278"/>
      <c r="S72" s="278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268"/>
      <c r="R73" s="268"/>
      <c r="S73" s="268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268"/>
      <c r="R74" s="268"/>
      <c r="S74" s="268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268"/>
      <c r="R75" s="268"/>
      <c r="S75" s="268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268"/>
      <c r="R76" s="268"/>
      <c r="S76" s="268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268"/>
      <c r="R77" s="268"/>
      <c r="S77" s="268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268"/>
      <c r="R78" s="268"/>
      <c r="S78" s="268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269"/>
      <c r="R80" s="270"/>
      <c r="S80" s="271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272"/>
      <c r="R81" s="273"/>
      <c r="S81" s="274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275"/>
      <c r="R82" s="276"/>
      <c r="S82" s="277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268"/>
      <c r="R83" s="268"/>
      <c r="S83" s="268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278"/>
      <c r="R84" s="278"/>
      <c r="S84" s="278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278"/>
      <c r="R85" s="278"/>
      <c r="S85" s="278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268"/>
      <c r="R86" s="268"/>
      <c r="S86" s="268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268"/>
      <c r="R87" s="268"/>
      <c r="S87" s="268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268"/>
      <c r="R88" s="268"/>
      <c r="S88" s="268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257"/>
      <c r="R89" s="258"/>
      <c r="S89" s="259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260"/>
      <c r="R90" s="261"/>
      <c r="S90" s="262"/>
    </row>
    <row r="91" spans="1:19" ht="17.25" thickBot="1">
      <c r="A91" s="131" t="s">
        <v>301</v>
      </c>
      <c r="B91" s="330">
        <f>$B$37</f>
        <v>150000</v>
      </c>
      <c r="C91" s="331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75" t="s">
        <v>298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55555000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-3.6323266700000002E-2</v>
      </c>
      <c r="N95" s="286"/>
      <c r="O95" s="287"/>
      <c r="Q95" s="278"/>
      <c r="R95" s="278"/>
      <c r="S95" s="278"/>
    </row>
    <row r="96" spans="1:19" ht="17.25" thickBot="1">
      <c r="A96" s="332" t="s">
        <v>55</v>
      </c>
      <c r="B96" s="328" t="str">
        <f>TEXT($G$1, "[$-ko-KR]yyyy-mm-dd(ddd) ") &amp; "오전 00:00"</f>
        <v>2021-05-10(월) 오전 00:00</v>
      </c>
      <c r="C96" s="329"/>
      <c r="D96" s="292" t="str">
        <f>TEXT($G$1, "[$-ko-KR]yyyy-mm-dd(ddd) ") &amp; "오후 14:00"</f>
        <v>2021-05-10(월) 오후 14:00</v>
      </c>
      <c r="E96" s="293"/>
      <c r="F96" s="294"/>
      <c r="G96" s="292" t="str">
        <f>TEXT($G$1, "[$-ko-KR]yyyy-mm-dd(ddd) ") &amp; "오후 19:00"</f>
        <v>2021-05-10(월) 오후 19:00</v>
      </c>
      <c r="H96" s="293"/>
      <c r="I96" s="294"/>
      <c r="J96" s="292" t="str">
        <f>TEXT($G$1, "[$-ko-KR]yyyy-mm-dd(ddd) ") &amp; "오후 21:00"</f>
        <v>2021-05-10(월) 오후 21:00</v>
      </c>
      <c r="K96" s="293"/>
      <c r="L96" s="294"/>
      <c r="M96" s="292" t="str">
        <f>TEXT($G$1+1, "[$-ko-KR]yyyy-mm-dd(ddd) ") &amp; "오전 00:00"</f>
        <v>2021-05-11(화) 오전 00:00</v>
      </c>
      <c r="N96" s="293"/>
      <c r="O96" s="294"/>
      <c r="Q96" s="278"/>
      <c r="R96" s="278"/>
      <c r="S96" s="278"/>
    </row>
    <row r="97" spans="1:19" ht="17.25" thickBot="1">
      <c r="A97" s="33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8"/>
      <c r="R97" s="268"/>
      <c r="S97" s="268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278"/>
      <c r="R98" s="278"/>
      <c r="S98" s="278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278"/>
      <c r="R99" s="278"/>
      <c r="S99" s="278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268"/>
      <c r="R100" s="268"/>
      <c r="S100" s="268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268"/>
      <c r="R101" s="268"/>
      <c r="S101" s="268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268"/>
      <c r="R102" s="268"/>
      <c r="S102" s="268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268"/>
      <c r="R103" s="268"/>
      <c r="S103" s="268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268"/>
      <c r="R104" s="268"/>
      <c r="S104" s="268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268"/>
      <c r="R105" s="268"/>
      <c r="S105" s="268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269"/>
      <c r="R107" s="270"/>
      <c r="S107" s="271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272"/>
      <c r="R108" s="273"/>
      <c r="S108" s="274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275"/>
      <c r="R109" s="276"/>
      <c r="S109" s="277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268"/>
      <c r="R110" s="268"/>
      <c r="S110" s="268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278"/>
      <c r="R111" s="278"/>
      <c r="S111" s="278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278"/>
      <c r="R112" s="278"/>
      <c r="S112" s="278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268"/>
      <c r="R113" s="268"/>
      <c r="S113" s="268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268"/>
      <c r="R114" s="268"/>
      <c r="S114" s="268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268"/>
      <c r="R115" s="268"/>
      <c r="S115" s="268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257"/>
      <c r="R116" s="258"/>
      <c r="S116" s="259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260"/>
      <c r="R117" s="261"/>
      <c r="S117" s="262"/>
    </row>
    <row r="118" spans="1:19" ht="17.25" thickBot="1">
      <c r="A118" s="131" t="s">
        <v>301</v>
      </c>
      <c r="B118" s="330">
        <f>$B$37</f>
        <v>150000</v>
      </c>
      <c r="C118" s="331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263"/>
      <c r="R118" s="264"/>
      <c r="S118" s="265"/>
    </row>
    <row r="120" spans="1:19" ht="17.25" thickBot="1"/>
    <row r="121" spans="1:19" ht="17.25" thickBot="1">
      <c r="A121" s="279" t="s">
        <v>288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75" t="s">
        <v>298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55555000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-3.6323266700000002E-2</v>
      </c>
      <c r="N122" s="286"/>
      <c r="O122" s="287"/>
      <c r="Q122" s="278"/>
      <c r="R122" s="278"/>
      <c r="S122" s="278"/>
    </row>
    <row r="123" spans="1:19" ht="17.25" thickBot="1">
      <c r="A123" s="332" t="s">
        <v>55</v>
      </c>
      <c r="B123" s="328" t="str">
        <f>TEXT($G$1, "[$-ko-KR]yyyy-mm-dd(ddd) ") &amp; "오전 00:00"</f>
        <v>2021-05-10(월) 오전 00:00</v>
      </c>
      <c r="C123" s="329"/>
      <c r="D123" s="292" t="str">
        <f>TEXT($G$1, "[$-ko-KR]yyyy-mm-dd(ddd) ") &amp; "오후 14:00"</f>
        <v>2021-05-10(월) 오후 14:00</v>
      </c>
      <c r="E123" s="293"/>
      <c r="F123" s="294"/>
      <c r="G123" s="292" t="str">
        <f>TEXT($G$1, "[$-ko-KR]yyyy-mm-dd(ddd) ") &amp; "오후 19:00"</f>
        <v>2021-05-10(월) 오후 19:00</v>
      </c>
      <c r="H123" s="293"/>
      <c r="I123" s="294"/>
      <c r="J123" s="292" t="str">
        <f>TEXT($G$1, "[$-ko-KR]yyyy-mm-dd(ddd) ") &amp; "오후 21:00"</f>
        <v>2021-05-10(월) 오후 21:00</v>
      </c>
      <c r="K123" s="293"/>
      <c r="L123" s="294"/>
      <c r="M123" s="292" t="str">
        <f>TEXT($G$1+1, "[$-ko-KR]yyyy-mm-dd(ddd) ") &amp; "오전 00:00"</f>
        <v>2021-05-11(화) 오전 00:00</v>
      </c>
      <c r="N123" s="293"/>
      <c r="O123" s="294"/>
      <c r="Q123" s="278"/>
      <c r="R123" s="278"/>
      <c r="S123" s="278"/>
    </row>
    <row r="124" spans="1:19" ht="17.25" thickBot="1">
      <c r="A124" s="33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8"/>
      <c r="R124" s="268"/>
      <c r="S124" s="268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278"/>
      <c r="R125" s="278"/>
      <c r="S125" s="278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78"/>
      <c r="R126" s="278"/>
      <c r="S126" s="278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268"/>
      <c r="R127" s="268"/>
      <c r="S127" s="268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268"/>
      <c r="R128" s="268"/>
      <c r="S128" s="268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268"/>
      <c r="R129" s="268"/>
      <c r="S129" s="268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268"/>
      <c r="R130" s="268"/>
      <c r="S130" s="268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268"/>
      <c r="R131" s="268"/>
      <c r="S131" s="268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268"/>
      <c r="R132" s="268"/>
      <c r="S132" s="268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269"/>
      <c r="R134" s="270"/>
      <c r="S134" s="271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272"/>
      <c r="R135" s="273"/>
      <c r="S135" s="274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275"/>
      <c r="R136" s="276"/>
      <c r="S136" s="277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268"/>
      <c r="R137" s="268"/>
      <c r="S137" s="268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278"/>
      <c r="R138" s="278"/>
      <c r="S138" s="278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278"/>
      <c r="R139" s="278"/>
      <c r="S139" s="278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268"/>
      <c r="R140" s="268"/>
      <c r="S140" s="268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68"/>
      <c r="R141" s="268"/>
      <c r="S141" s="268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268"/>
      <c r="R142" s="268"/>
      <c r="S142" s="268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257"/>
      <c r="R143" s="258"/>
      <c r="S143" s="259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0"/>
      <c r="R144" s="261"/>
      <c r="S144" s="262"/>
    </row>
    <row r="145" spans="1:19" ht="17.25" thickBot="1">
      <c r="A145" s="131" t="s">
        <v>301</v>
      </c>
      <c r="B145" s="330">
        <f>$B$37</f>
        <v>150000</v>
      </c>
      <c r="C145" s="331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263"/>
      <c r="R145" s="264"/>
      <c r="S145" s="265"/>
    </row>
    <row r="147" spans="1:19" ht="17.25" thickBot="1"/>
    <row r="148" spans="1:19" ht="17.25" thickBot="1">
      <c r="A148" s="279" t="s">
        <v>289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75" t="s">
        <v>298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55555000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-3.6323266700000002E-2</v>
      </c>
      <c r="N149" s="286"/>
      <c r="O149" s="287"/>
      <c r="Q149" s="278"/>
      <c r="R149" s="278"/>
      <c r="S149" s="278"/>
    </row>
    <row r="150" spans="1:19" ht="17.25" thickBot="1">
      <c r="A150" s="332" t="s">
        <v>55</v>
      </c>
      <c r="B150" s="328" t="str">
        <f>TEXT($G$1, "[$-ko-KR]yyyy-mm-dd(ddd) ") &amp; "오전 00:00"</f>
        <v>2021-05-10(월) 오전 00:00</v>
      </c>
      <c r="C150" s="329"/>
      <c r="D150" s="292" t="str">
        <f>TEXT($G$1, "[$-ko-KR]yyyy-mm-dd(ddd) ") &amp; "오후 14:00"</f>
        <v>2021-05-10(월) 오후 14:00</v>
      </c>
      <c r="E150" s="293"/>
      <c r="F150" s="294"/>
      <c r="G150" s="292" t="str">
        <f>TEXT($G$1, "[$-ko-KR]yyyy-mm-dd(ddd) ") &amp; "오후 19:00"</f>
        <v>2021-05-10(월) 오후 19:00</v>
      </c>
      <c r="H150" s="293"/>
      <c r="I150" s="294"/>
      <c r="J150" s="292" t="str">
        <f>TEXT($G$1, "[$-ko-KR]yyyy-mm-dd(ddd) ") &amp; "오후 21:00"</f>
        <v>2021-05-10(월) 오후 21:00</v>
      </c>
      <c r="K150" s="293"/>
      <c r="L150" s="294"/>
      <c r="M150" s="292" t="str">
        <f>TEXT($G$1+1, "[$-ko-KR]yyyy-mm-dd(ddd) ") &amp; "오전 00:00"</f>
        <v>2021-05-11(화) 오전 00:00</v>
      </c>
      <c r="N150" s="293"/>
      <c r="O150" s="294"/>
      <c r="Q150" s="278"/>
      <c r="R150" s="278"/>
      <c r="S150" s="278"/>
    </row>
    <row r="151" spans="1:19" ht="17.25" thickBot="1">
      <c r="A151" s="33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8"/>
      <c r="R151" s="268"/>
      <c r="S151" s="268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278"/>
      <c r="R152" s="278"/>
      <c r="S152" s="278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278"/>
      <c r="R153" s="278"/>
      <c r="S153" s="278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268"/>
      <c r="R154" s="268"/>
      <c r="S154" s="268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268"/>
      <c r="R155" s="268"/>
      <c r="S155" s="268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268"/>
      <c r="R156" s="268"/>
      <c r="S156" s="268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268"/>
      <c r="R157" s="268"/>
      <c r="S157" s="268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268"/>
      <c r="R158" s="268"/>
      <c r="S158" s="268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268"/>
      <c r="R159" s="268"/>
      <c r="S159" s="268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269"/>
      <c r="R161" s="270"/>
      <c r="S161" s="271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272"/>
      <c r="R162" s="273"/>
      <c r="S162" s="274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275"/>
      <c r="R163" s="276"/>
      <c r="S163" s="277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268"/>
      <c r="R164" s="268"/>
      <c r="S164" s="268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278"/>
      <c r="R165" s="278"/>
      <c r="S165" s="278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278"/>
      <c r="R166" s="278"/>
      <c r="S166" s="278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268"/>
      <c r="R167" s="268"/>
      <c r="S167" s="268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268"/>
      <c r="R168" s="268"/>
      <c r="S168" s="268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268"/>
      <c r="R169" s="268"/>
      <c r="S169" s="268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257"/>
      <c r="R170" s="258"/>
      <c r="S170" s="259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260"/>
      <c r="R171" s="261"/>
      <c r="S171" s="262"/>
    </row>
    <row r="172" spans="1:19" ht="17.25" thickBot="1">
      <c r="A172" s="131" t="s">
        <v>301</v>
      </c>
      <c r="B172" s="330">
        <f>$B$37</f>
        <v>150000</v>
      </c>
      <c r="C172" s="331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263"/>
      <c r="R172" s="264"/>
      <c r="S172" s="265"/>
    </row>
    <row r="174" spans="1:19" ht="17.25" thickBot="1"/>
    <row r="175" spans="1:19" ht="17.25" thickBot="1">
      <c r="A175" s="279" t="s">
        <v>285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75" t="s">
        <v>298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55555000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-3.6323266700000002E-2</v>
      </c>
      <c r="N176" s="286"/>
      <c r="O176" s="287"/>
      <c r="Q176" s="278"/>
      <c r="R176" s="278"/>
      <c r="S176" s="278"/>
    </row>
    <row r="177" spans="1:19" ht="17.25" thickBot="1">
      <c r="A177" s="332" t="s">
        <v>55</v>
      </c>
      <c r="B177" s="328" t="str">
        <f>TEXT($G$1, "[$-ko-KR]yyyy-mm-dd(ddd) ") &amp; "오전 00:00"</f>
        <v>2021-05-10(월) 오전 00:00</v>
      </c>
      <c r="C177" s="329"/>
      <c r="D177" s="292" t="str">
        <f>TEXT($G$1, "[$-ko-KR]yyyy-mm-dd(ddd) ") &amp; "오후 14:00"</f>
        <v>2021-05-10(월) 오후 14:00</v>
      </c>
      <c r="E177" s="293"/>
      <c r="F177" s="294"/>
      <c r="G177" s="292" t="str">
        <f>TEXT($G$1, "[$-ko-KR]yyyy-mm-dd(ddd) ") &amp; "오후 19:00"</f>
        <v>2021-05-10(월) 오후 19:00</v>
      </c>
      <c r="H177" s="293"/>
      <c r="I177" s="294"/>
      <c r="J177" s="292" t="str">
        <f>TEXT($G$1, "[$-ko-KR]yyyy-mm-dd(ddd) ") &amp; "오후 21:00"</f>
        <v>2021-05-10(월) 오후 21:00</v>
      </c>
      <c r="K177" s="293"/>
      <c r="L177" s="294"/>
      <c r="M177" s="292" t="str">
        <f>TEXT($G$1+1, "[$-ko-KR]yyyy-mm-dd(ddd) ") &amp; "오전 00:00"</f>
        <v>2021-05-11(화) 오전 00:00</v>
      </c>
      <c r="N177" s="293"/>
      <c r="O177" s="294"/>
      <c r="Q177" s="278"/>
      <c r="R177" s="278"/>
      <c r="S177" s="278"/>
    </row>
    <row r="178" spans="1:19" ht="17.25" thickBot="1">
      <c r="A178" s="33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8"/>
      <c r="R178" s="268"/>
      <c r="S178" s="268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278"/>
      <c r="R179" s="278"/>
      <c r="S179" s="278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278"/>
      <c r="R180" s="278"/>
      <c r="S180" s="278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268"/>
      <c r="R181" s="268"/>
      <c r="S181" s="268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268"/>
      <c r="R182" s="268"/>
      <c r="S182" s="268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268"/>
      <c r="R183" s="268"/>
      <c r="S183" s="268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268"/>
      <c r="R184" s="268"/>
      <c r="S184" s="268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268"/>
      <c r="R185" s="268"/>
      <c r="S185" s="268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268"/>
      <c r="R186" s="268"/>
      <c r="S186" s="268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269"/>
      <c r="R188" s="270"/>
      <c r="S188" s="271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272"/>
      <c r="R189" s="273"/>
      <c r="S189" s="274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275"/>
      <c r="R190" s="276"/>
      <c r="S190" s="277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268"/>
      <c r="R191" s="268"/>
      <c r="S191" s="268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278"/>
      <c r="R192" s="278"/>
      <c r="S192" s="278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278"/>
      <c r="R193" s="278"/>
      <c r="S193" s="278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268"/>
      <c r="R194" s="268"/>
      <c r="S194" s="268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268"/>
      <c r="R195" s="268"/>
      <c r="S195" s="268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268"/>
      <c r="R196" s="268"/>
      <c r="S196" s="268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257"/>
      <c r="R197" s="258"/>
      <c r="S197" s="259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260"/>
      <c r="R198" s="261"/>
      <c r="S198" s="262"/>
    </row>
    <row r="199" spans="1:19" ht="17.25" thickBot="1">
      <c r="A199" s="131" t="s">
        <v>301</v>
      </c>
      <c r="B199" s="330">
        <f>$B$37</f>
        <v>150000</v>
      </c>
      <c r="C199" s="331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263"/>
      <c r="R199" s="264"/>
      <c r="S199" s="265"/>
    </row>
  </sheetData>
  <mergeCells count="264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6:F16 E37:F37 D15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6:I16 H37:I37 G15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6:L16 K37:L37 J15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6:O16 N37:O37 M15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44327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6" t="s">
        <v>3</v>
      </c>
      <c r="B2" s="313" t="s">
        <v>8</v>
      </c>
      <c r="C2" s="314"/>
      <c r="D2" s="314"/>
      <c r="E2" s="314"/>
      <c r="F2" s="315"/>
      <c r="G2" s="307" t="s">
        <v>46</v>
      </c>
      <c r="H2" s="308"/>
      <c r="I2" s="309"/>
      <c r="J2" s="1" t="s">
        <v>3</v>
      </c>
      <c r="K2" s="313" t="s">
        <v>376</v>
      </c>
      <c r="L2" s="314"/>
      <c r="M2" s="314"/>
      <c r="N2" s="314"/>
      <c r="O2" s="315"/>
      <c r="Q2" s="2" t="s">
        <v>6</v>
      </c>
      <c r="R2" s="3">
        <v>0.375</v>
      </c>
    </row>
    <row r="3" spans="1:19" ht="17.25" customHeight="1" thickBot="1">
      <c r="A3" s="117" t="s">
        <v>7</v>
      </c>
      <c r="B3" s="304" t="s">
        <v>384</v>
      </c>
      <c r="C3" s="305"/>
      <c r="D3" s="305"/>
      <c r="E3" s="305"/>
      <c r="F3" s="306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301"/>
      <c r="I3" s="302"/>
      <c r="J3" s="4" t="s">
        <v>7</v>
      </c>
      <c r="K3" s="304" t="s">
        <v>377</v>
      </c>
      <c r="L3" s="305"/>
      <c r="M3" s="305"/>
      <c r="N3" s="305"/>
      <c r="O3" s="306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04" t="s">
        <v>16</v>
      </c>
      <c r="C4" s="305"/>
      <c r="D4" s="305"/>
      <c r="E4" s="305"/>
      <c r="F4" s="306"/>
      <c r="G4" s="307" t="s">
        <v>44</v>
      </c>
      <c r="H4" s="308"/>
      <c r="I4" s="309"/>
      <c r="J4" s="4" t="s">
        <v>11</v>
      </c>
      <c r="K4" s="304" t="s">
        <v>378</v>
      </c>
      <c r="L4" s="305"/>
      <c r="M4" s="305"/>
      <c r="N4" s="305"/>
      <c r="O4" s="306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04" t="s">
        <v>374</v>
      </c>
      <c r="C5" s="305"/>
      <c r="D5" s="305"/>
      <c r="E5" s="305"/>
      <c r="F5" s="306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301"/>
      <c r="I5" s="302"/>
      <c r="J5" s="4" t="s">
        <v>15</v>
      </c>
      <c r="K5" s="304" t="s">
        <v>379</v>
      </c>
      <c r="L5" s="305"/>
      <c r="M5" s="305"/>
      <c r="N5" s="305"/>
      <c r="O5" s="306"/>
    </row>
    <row r="6" spans="1:19">
      <c r="A6" s="117" t="s">
        <v>18</v>
      </c>
      <c r="B6" s="304"/>
      <c r="C6" s="305"/>
      <c r="D6" s="305"/>
      <c r="E6" s="305"/>
      <c r="F6" s="306"/>
      <c r="G6" s="307" t="s">
        <v>45</v>
      </c>
      <c r="H6" s="308"/>
      <c r="I6" s="309"/>
      <c r="J6" s="4" t="s">
        <v>18</v>
      </c>
      <c r="K6" s="304" t="s">
        <v>380</v>
      </c>
      <c r="L6" s="305"/>
      <c r="M6" s="305"/>
      <c r="N6" s="305"/>
      <c r="O6" s="306"/>
    </row>
    <row r="7" spans="1:19" ht="17.25" thickBot="1">
      <c r="A7" s="117" t="s">
        <v>21</v>
      </c>
      <c r="B7" s="304"/>
      <c r="C7" s="305"/>
      <c r="D7" s="305"/>
      <c r="E7" s="305"/>
      <c r="F7" s="306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301"/>
      <c r="I7" s="302"/>
      <c r="J7" s="4" t="s">
        <v>21</v>
      </c>
      <c r="K7" s="304" t="s">
        <v>381</v>
      </c>
      <c r="L7" s="305"/>
      <c r="M7" s="305"/>
      <c r="N7" s="305"/>
      <c r="O7" s="306"/>
    </row>
    <row r="8" spans="1:19" ht="17.25" thickBot="1">
      <c r="A8" s="117" t="s">
        <v>24</v>
      </c>
      <c r="B8" s="304"/>
      <c r="C8" s="305"/>
      <c r="D8" s="305"/>
      <c r="E8" s="305"/>
      <c r="F8" s="306"/>
      <c r="G8" s="307" t="s">
        <v>285</v>
      </c>
      <c r="H8" s="308"/>
      <c r="I8" s="309"/>
      <c r="J8" s="4" t="s">
        <v>24</v>
      </c>
      <c r="K8" s="304"/>
      <c r="L8" s="305"/>
      <c r="M8" s="305"/>
      <c r="N8" s="305"/>
      <c r="O8" s="306"/>
      <c r="Q8" s="279" t="s">
        <v>27</v>
      </c>
      <c r="R8" s="281"/>
    </row>
    <row r="9" spans="1:19" ht="17.25" thickBot="1">
      <c r="A9" s="117" t="s">
        <v>28</v>
      </c>
      <c r="B9" s="304"/>
      <c r="C9" s="305"/>
      <c r="D9" s="305"/>
      <c r="E9" s="305"/>
      <c r="F9" s="306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301"/>
      <c r="I9" s="302"/>
      <c r="J9" s="4" t="s">
        <v>28</v>
      </c>
      <c r="K9" s="304"/>
      <c r="L9" s="305"/>
      <c r="M9" s="305"/>
      <c r="N9" s="305"/>
      <c r="O9" s="306"/>
      <c r="Q9" s="2" t="s">
        <v>29</v>
      </c>
      <c r="R9" s="6">
        <v>10</v>
      </c>
    </row>
    <row r="10" spans="1:19">
      <c r="A10" s="117" t="s">
        <v>30</v>
      </c>
      <c r="B10" s="304"/>
      <c r="C10" s="305"/>
      <c r="D10" s="305"/>
      <c r="E10" s="305"/>
      <c r="F10" s="306"/>
      <c r="G10" s="307" t="s">
        <v>47</v>
      </c>
      <c r="H10" s="308"/>
      <c r="I10" s="309"/>
      <c r="J10" s="4" t="s">
        <v>30</v>
      </c>
      <c r="K10" s="304" t="s">
        <v>382</v>
      </c>
      <c r="L10" s="305"/>
      <c r="M10" s="305"/>
      <c r="N10" s="305"/>
      <c r="O10" s="306"/>
      <c r="Q10" s="2" t="s">
        <v>31</v>
      </c>
      <c r="R10" s="6">
        <v>100</v>
      </c>
    </row>
    <row r="11" spans="1:19" ht="17.25" thickBot="1">
      <c r="A11" s="118" t="s">
        <v>32</v>
      </c>
      <c r="B11" s="297" t="s">
        <v>383</v>
      </c>
      <c r="C11" s="298"/>
      <c r="D11" s="298"/>
      <c r="E11" s="298"/>
      <c r="F11" s="299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301"/>
      <c r="I11" s="302"/>
      <c r="J11" s="7" t="s">
        <v>32</v>
      </c>
      <c r="K11" s="297" t="s">
        <v>373</v>
      </c>
      <c r="L11" s="298"/>
      <c r="M11" s="298"/>
      <c r="N11" s="298"/>
      <c r="O11" s="299"/>
      <c r="Q11" s="61" t="s">
        <v>33</v>
      </c>
      <c r="R11" s="8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186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55555000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-3.6323266700000002E-2</v>
      </c>
      <c r="N14" s="286"/>
      <c r="O14" s="287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2021-05-11(화) 오전 00:00</v>
      </c>
      <c r="C15" s="324"/>
      <c r="D15" s="292" t="str">
        <f>TEXT($G$1, "[$-ko-KR]yyyy-mm-dd(ddd) ") &amp; "오후 14:00"</f>
        <v>2021-05-11(화) 오후 14:00</v>
      </c>
      <c r="E15" s="293"/>
      <c r="F15" s="294"/>
      <c r="G15" s="292" t="str">
        <f>TEXT($G$1, "[$-ko-KR]yyyy-mm-dd(ddd) ") &amp; "오후 19:00"</f>
        <v>2021-05-11(화) 오후 19:00</v>
      </c>
      <c r="H15" s="293"/>
      <c r="I15" s="294"/>
      <c r="J15" s="292" t="str">
        <f>TEXT($G$1, "[$-ko-KR]yyyy-mm-dd(ddd) ") &amp; "오후 21:00"</f>
        <v>2021-05-11(화) 오후 21:00</v>
      </c>
      <c r="K15" s="293"/>
      <c r="L15" s="294"/>
      <c r="M15" s="292" t="str">
        <f>TEXT($G$1+1, "[$-ko-KR]yyyy-mm-dd(ddd) ") &amp; "오전 00:00"</f>
        <v>2021-05-12(수) 오전 00:00</v>
      </c>
      <c r="N15" s="293"/>
      <c r="O15" s="294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68"/>
      <c r="R16" s="268"/>
      <c r="S16" s="268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278"/>
      <c r="R17" s="278"/>
      <c r="S17" s="278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278"/>
      <c r="R18" s="278"/>
      <c r="S18" s="278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268"/>
      <c r="R19" s="268"/>
      <c r="S19" s="268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268"/>
      <c r="R20" s="268"/>
      <c r="S20" s="268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268"/>
      <c r="R21" s="268"/>
      <c r="S21" s="268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268"/>
      <c r="R22" s="268"/>
      <c r="S22" s="268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268"/>
      <c r="R23" s="268"/>
      <c r="S23" s="268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268"/>
      <c r="R24" s="268"/>
      <c r="S24" s="268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269"/>
      <c r="R26" s="270"/>
      <c r="S26" s="271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272"/>
      <c r="R27" s="273"/>
      <c r="S27" s="274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275"/>
      <c r="R28" s="276"/>
      <c r="S28" s="277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268"/>
      <c r="R29" s="268"/>
      <c r="S29" s="268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278"/>
      <c r="R30" s="278"/>
      <c r="S30" s="278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278"/>
      <c r="R31" s="278"/>
      <c r="S31" s="278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268"/>
      <c r="R32" s="268"/>
      <c r="S32" s="268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268"/>
      <c r="R33" s="268"/>
      <c r="S33" s="268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268"/>
      <c r="R34" s="268"/>
      <c r="S34" s="268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257"/>
      <c r="R35" s="258"/>
      <c r="S35" s="259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260"/>
      <c r="R36" s="261"/>
      <c r="S36" s="262"/>
    </row>
    <row r="37" spans="1:19" ht="17.25" customHeight="1" thickBot="1">
      <c r="A37" s="131" t="s">
        <v>42</v>
      </c>
      <c r="B37" s="330">
        <v>150000</v>
      </c>
      <c r="C37" s="331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186" t="s">
        <v>298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55555000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-3.6323266700000002E-2</v>
      </c>
      <c r="N41" s="286"/>
      <c r="O41" s="287"/>
      <c r="Q41" s="278"/>
      <c r="R41" s="278"/>
      <c r="S41" s="278"/>
    </row>
    <row r="42" spans="1:19" ht="17.25" customHeight="1" thickBot="1">
      <c r="A42" s="332" t="s">
        <v>55</v>
      </c>
      <c r="B42" s="328" t="str">
        <f>TEXT($G$1, "[$-ko-KR]yyyy-mm-dd(ddd) ") &amp; "오전 00:00"</f>
        <v>2021-05-11(화) 오전 00:00</v>
      </c>
      <c r="C42" s="329"/>
      <c r="D42" s="292" t="str">
        <f>TEXT($G$1, "[$-ko-KR]yyyy-mm-dd(ddd) ") &amp; "오후 14:00"</f>
        <v>2021-05-11(화) 오후 14:00</v>
      </c>
      <c r="E42" s="293"/>
      <c r="F42" s="294"/>
      <c r="G42" s="292" t="str">
        <f>TEXT($G$1, "[$-ko-KR]yyyy-mm-dd(ddd) ") &amp; "오후 19:00"</f>
        <v>2021-05-11(화) 오후 19:00</v>
      </c>
      <c r="H42" s="293"/>
      <c r="I42" s="294"/>
      <c r="J42" s="292" t="str">
        <f>TEXT($G$1, "[$-ko-KR]yyyy-mm-dd(ddd) ") &amp; "오후 21:00"</f>
        <v>2021-05-11(화) 오후 21:00</v>
      </c>
      <c r="K42" s="293"/>
      <c r="L42" s="294"/>
      <c r="M42" s="292" t="str">
        <f>TEXT($G$1+1, "[$-ko-KR]yyyy-mm-dd(ddd) ") &amp; "오전 00:00"</f>
        <v>2021-05-12(수) 오전 00:00</v>
      </c>
      <c r="N42" s="293"/>
      <c r="O42" s="294"/>
      <c r="Q42" s="278"/>
      <c r="R42" s="278"/>
      <c r="S42" s="278"/>
    </row>
    <row r="43" spans="1:19" ht="17.25" customHeight="1" thickBot="1">
      <c r="A43" s="333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68"/>
      <c r="R43" s="268"/>
      <c r="S43" s="268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278"/>
      <c r="R44" s="278"/>
      <c r="S44" s="278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278"/>
      <c r="R45" s="278"/>
      <c r="S45" s="278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268"/>
      <c r="R46" s="268"/>
      <c r="S46" s="268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268"/>
      <c r="R47" s="268"/>
      <c r="S47" s="268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268"/>
      <c r="R48" s="268"/>
      <c r="S48" s="268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268"/>
      <c r="R49" s="268"/>
      <c r="S49" s="268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68"/>
      <c r="R50" s="268"/>
      <c r="S50" s="268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268"/>
      <c r="R51" s="268"/>
      <c r="S51" s="268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269"/>
      <c r="R53" s="270"/>
      <c r="S53" s="271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272"/>
      <c r="R54" s="273"/>
      <c r="S54" s="274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275"/>
      <c r="R55" s="276"/>
      <c r="S55" s="277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268"/>
      <c r="R56" s="268"/>
      <c r="S56" s="268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278"/>
      <c r="R57" s="278"/>
      <c r="S57" s="278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278"/>
      <c r="R58" s="278"/>
      <c r="S58" s="278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268"/>
      <c r="R59" s="268"/>
      <c r="S59" s="268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268"/>
      <c r="R60" s="268"/>
      <c r="S60" s="268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268"/>
      <c r="R61" s="268"/>
      <c r="S61" s="268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257"/>
      <c r="R62" s="258"/>
      <c r="S62" s="259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60"/>
      <c r="R63" s="261"/>
      <c r="S63" s="262"/>
    </row>
    <row r="64" spans="1:19" ht="17.25" customHeight="1" thickBot="1">
      <c r="A64" s="131" t="s">
        <v>301</v>
      </c>
      <c r="B64" s="330">
        <f>$B$37</f>
        <v>150000</v>
      </c>
      <c r="C64" s="331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186" t="s">
        <v>298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55555000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-3.6323266700000002E-2</v>
      </c>
      <c r="N68" s="286"/>
      <c r="O68" s="287"/>
      <c r="Q68" s="278"/>
      <c r="R68" s="278"/>
      <c r="S68" s="278"/>
    </row>
    <row r="69" spans="1:19" ht="17.25" thickBot="1">
      <c r="A69" s="332" t="s">
        <v>55</v>
      </c>
      <c r="B69" s="328" t="str">
        <f>TEXT($G$1, "[$-ko-KR]yyyy-mm-dd(ddd) ") &amp; "오전 00:00"</f>
        <v>2021-05-11(화) 오전 00:00</v>
      </c>
      <c r="C69" s="329"/>
      <c r="D69" s="292" t="str">
        <f>TEXT($G$1, "[$-ko-KR]yyyy-mm-dd(ddd) ") &amp; "오후 14:00"</f>
        <v>2021-05-11(화) 오후 14:00</v>
      </c>
      <c r="E69" s="293"/>
      <c r="F69" s="294"/>
      <c r="G69" s="292" t="str">
        <f>TEXT($G$1, "[$-ko-KR]yyyy-mm-dd(ddd) ") &amp; "오후 19:00"</f>
        <v>2021-05-11(화) 오후 19:00</v>
      </c>
      <c r="H69" s="293"/>
      <c r="I69" s="294"/>
      <c r="J69" s="292" t="str">
        <f>TEXT($G$1, "[$-ko-KR]yyyy-mm-dd(ddd) ") &amp; "오후 21:00"</f>
        <v>2021-05-11(화) 오후 21:00</v>
      </c>
      <c r="K69" s="293"/>
      <c r="L69" s="294"/>
      <c r="M69" s="292" t="str">
        <f>TEXT($G$1+1, "[$-ko-KR]yyyy-mm-dd(ddd) ") &amp; "오전 00:00"</f>
        <v>2021-05-12(수) 오전 00:00</v>
      </c>
      <c r="N69" s="293"/>
      <c r="O69" s="294"/>
      <c r="Q69" s="278"/>
      <c r="R69" s="278"/>
      <c r="S69" s="278"/>
    </row>
    <row r="70" spans="1:19" ht="17.25" thickBot="1">
      <c r="A70" s="333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68"/>
      <c r="R70" s="268"/>
      <c r="S70" s="268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278"/>
      <c r="R71" s="278"/>
      <c r="S71" s="278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78"/>
      <c r="R72" s="278"/>
      <c r="S72" s="278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268"/>
      <c r="R73" s="268"/>
      <c r="S73" s="268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268"/>
      <c r="R74" s="268"/>
      <c r="S74" s="268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268"/>
      <c r="R75" s="268"/>
      <c r="S75" s="268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268"/>
      <c r="R76" s="268"/>
      <c r="S76" s="268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268"/>
      <c r="R77" s="268"/>
      <c r="S77" s="268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268"/>
      <c r="R78" s="268"/>
      <c r="S78" s="268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269"/>
      <c r="R80" s="270"/>
      <c r="S80" s="271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272"/>
      <c r="R81" s="273"/>
      <c r="S81" s="274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275"/>
      <c r="R82" s="276"/>
      <c r="S82" s="277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268"/>
      <c r="R83" s="268"/>
      <c r="S83" s="268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278"/>
      <c r="R84" s="278"/>
      <c r="S84" s="278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278"/>
      <c r="R85" s="278"/>
      <c r="S85" s="278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268"/>
      <c r="R86" s="268"/>
      <c r="S86" s="268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68"/>
      <c r="R87" s="268"/>
      <c r="S87" s="268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268"/>
      <c r="R88" s="268"/>
      <c r="S88" s="268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257"/>
      <c r="R89" s="258"/>
      <c r="S89" s="259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260"/>
      <c r="R90" s="261"/>
      <c r="S90" s="262"/>
    </row>
    <row r="91" spans="1:19" ht="17.25" thickBot="1">
      <c r="A91" s="131" t="s">
        <v>301</v>
      </c>
      <c r="B91" s="330">
        <f>$B$37</f>
        <v>150000</v>
      </c>
      <c r="C91" s="331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186" t="s">
        <v>298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55555000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-3.6323266700000002E-2</v>
      </c>
      <c r="N95" s="286"/>
      <c r="O95" s="287"/>
      <c r="Q95" s="278"/>
      <c r="R95" s="278"/>
      <c r="S95" s="278"/>
    </row>
    <row r="96" spans="1:19" ht="17.25" thickBot="1">
      <c r="A96" s="332" t="s">
        <v>55</v>
      </c>
      <c r="B96" s="328" t="str">
        <f>TEXT($G$1, "[$-ko-KR]yyyy-mm-dd(ddd) ") &amp; "오전 00:00"</f>
        <v>2021-05-11(화) 오전 00:00</v>
      </c>
      <c r="C96" s="329"/>
      <c r="D96" s="292" t="str">
        <f>TEXT($G$1, "[$-ko-KR]yyyy-mm-dd(ddd) ") &amp; "오후 14:00"</f>
        <v>2021-05-11(화) 오후 14:00</v>
      </c>
      <c r="E96" s="293"/>
      <c r="F96" s="294"/>
      <c r="G96" s="292" t="str">
        <f>TEXT($G$1, "[$-ko-KR]yyyy-mm-dd(ddd) ") &amp; "오후 19:00"</f>
        <v>2021-05-11(화) 오후 19:00</v>
      </c>
      <c r="H96" s="293"/>
      <c r="I96" s="294"/>
      <c r="J96" s="292" t="str">
        <f>TEXT($G$1, "[$-ko-KR]yyyy-mm-dd(ddd) ") &amp; "오후 21:00"</f>
        <v>2021-05-11(화) 오후 21:00</v>
      </c>
      <c r="K96" s="293"/>
      <c r="L96" s="294"/>
      <c r="M96" s="292" t="str">
        <f>TEXT($G$1+1, "[$-ko-KR]yyyy-mm-dd(ddd) ") &amp; "오전 00:00"</f>
        <v>2021-05-12(수) 오전 00:00</v>
      </c>
      <c r="N96" s="293"/>
      <c r="O96" s="294"/>
      <c r="Q96" s="278"/>
      <c r="R96" s="278"/>
      <c r="S96" s="278"/>
    </row>
    <row r="97" spans="1:19" ht="17.25" thickBot="1">
      <c r="A97" s="333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68"/>
      <c r="R97" s="268"/>
      <c r="S97" s="268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278"/>
      <c r="R98" s="278"/>
      <c r="S98" s="278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78"/>
      <c r="R99" s="278"/>
      <c r="S99" s="278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268"/>
      <c r="R100" s="268"/>
      <c r="S100" s="268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268"/>
      <c r="R101" s="268"/>
      <c r="S101" s="268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268"/>
      <c r="R102" s="268"/>
      <c r="S102" s="268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268"/>
      <c r="R103" s="268"/>
      <c r="S103" s="268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268"/>
      <c r="R104" s="268"/>
      <c r="S104" s="268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268"/>
      <c r="R105" s="268"/>
      <c r="S105" s="268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269"/>
      <c r="R107" s="270"/>
      <c r="S107" s="271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272"/>
      <c r="R108" s="273"/>
      <c r="S108" s="274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275"/>
      <c r="R109" s="276"/>
      <c r="S109" s="277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268"/>
      <c r="R110" s="268"/>
      <c r="S110" s="268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278"/>
      <c r="R111" s="278"/>
      <c r="S111" s="278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278"/>
      <c r="R112" s="278"/>
      <c r="S112" s="278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268"/>
      <c r="R113" s="268"/>
      <c r="S113" s="268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268"/>
      <c r="R114" s="268"/>
      <c r="S114" s="268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268"/>
      <c r="R115" s="268"/>
      <c r="S115" s="268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257"/>
      <c r="R116" s="258"/>
      <c r="S116" s="259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260"/>
      <c r="R117" s="261"/>
      <c r="S117" s="262"/>
    </row>
    <row r="118" spans="1:19" ht="17.25" thickBot="1">
      <c r="A118" s="131" t="s">
        <v>301</v>
      </c>
      <c r="B118" s="330">
        <f>$B$37</f>
        <v>150000</v>
      </c>
      <c r="C118" s="331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263"/>
      <c r="R118" s="264"/>
      <c r="S118" s="265"/>
    </row>
    <row r="120" spans="1:19" ht="17.25" thickBot="1"/>
    <row r="121" spans="1:19" ht="17.25" thickBot="1">
      <c r="A121" s="279" t="s">
        <v>288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186" t="s">
        <v>298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55555000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-3.6323266700000002E-2</v>
      </c>
      <c r="N122" s="286"/>
      <c r="O122" s="287"/>
      <c r="Q122" s="278"/>
      <c r="R122" s="278"/>
      <c r="S122" s="278"/>
    </row>
    <row r="123" spans="1:19" ht="17.25" thickBot="1">
      <c r="A123" s="332" t="s">
        <v>55</v>
      </c>
      <c r="B123" s="328" t="str">
        <f>TEXT($G$1, "[$-ko-KR]yyyy-mm-dd(ddd) ") &amp; "오전 00:00"</f>
        <v>2021-05-11(화) 오전 00:00</v>
      </c>
      <c r="C123" s="329"/>
      <c r="D123" s="292" t="str">
        <f>TEXT($G$1, "[$-ko-KR]yyyy-mm-dd(ddd) ") &amp; "오후 14:00"</f>
        <v>2021-05-11(화) 오후 14:00</v>
      </c>
      <c r="E123" s="293"/>
      <c r="F123" s="294"/>
      <c r="G123" s="292" t="str">
        <f>TEXT($G$1, "[$-ko-KR]yyyy-mm-dd(ddd) ") &amp; "오후 19:00"</f>
        <v>2021-05-11(화) 오후 19:00</v>
      </c>
      <c r="H123" s="293"/>
      <c r="I123" s="294"/>
      <c r="J123" s="292" t="str">
        <f>TEXT($G$1, "[$-ko-KR]yyyy-mm-dd(ddd) ") &amp; "오후 21:00"</f>
        <v>2021-05-11(화) 오후 21:00</v>
      </c>
      <c r="K123" s="293"/>
      <c r="L123" s="294"/>
      <c r="M123" s="292" t="str">
        <f>TEXT($G$1+1, "[$-ko-KR]yyyy-mm-dd(ddd) ") &amp; "오전 00:00"</f>
        <v>2021-05-12(수) 오전 00:00</v>
      </c>
      <c r="N123" s="293"/>
      <c r="O123" s="294"/>
      <c r="Q123" s="278"/>
      <c r="R123" s="278"/>
      <c r="S123" s="278"/>
    </row>
    <row r="124" spans="1:19" ht="17.25" thickBot="1">
      <c r="A124" s="333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68"/>
      <c r="R124" s="268"/>
      <c r="S124" s="268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278"/>
      <c r="R125" s="278"/>
      <c r="S125" s="278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278"/>
      <c r="R126" s="278"/>
      <c r="S126" s="278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268"/>
      <c r="R127" s="268"/>
      <c r="S127" s="268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268"/>
      <c r="R128" s="268"/>
      <c r="S128" s="268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268"/>
      <c r="R129" s="268"/>
      <c r="S129" s="268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268"/>
      <c r="R130" s="268"/>
      <c r="S130" s="268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68"/>
      <c r="R131" s="268"/>
      <c r="S131" s="268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268"/>
      <c r="R132" s="268"/>
      <c r="S132" s="268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269"/>
      <c r="R134" s="270"/>
      <c r="S134" s="271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272"/>
      <c r="R135" s="273"/>
      <c r="S135" s="274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275"/>
      <c r="R136" s="276"/>
      <c r="S136" s="277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268"/>
      <c r="R137" s="268"/>
      <c r="S137" s="268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278"/>
      <c r="R138" s="278"/>
      <c r="S138" s="278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278"/>
      <c r="R139" s="278"/>
      <c r="S139" s="278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268"/>
      <c r="R140" s="268"/>
      <c r="S140" s="268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268"/>
      <c r="R141" s="268"/>
      <c r="S141" s="268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268"/>
      <c r="R142" s="268"/>
      <c r="S142" s="268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257"/>
      <c r="R143" s="258"/>
      <c r="S143" s="259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60"/>
      <c r="R144" s="261"/>
      <c r="S144" s="262"/>
    </row>
    <row r="145" spans="1:19" ht="17.25" thickBot="1">
      <c r="A145" s="131" t="s">
        <v>301</v>
      </c>
      <c r="B145" s="330">
        <f>$B$37</f>
        <v>150000</v>
      </c>
      <c r="C145" s="331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263"/>
      <c r="R145" s="264"/>
      <c r="S145" s="265"/>
    </row>
    <row r="147" spans="1:19" ht="17.25" thickBot="1"/>
    <row r="148" spans="1:19" ht="17.25" thickBot="1">
      <c r="A148" s="279" t="s">
        <v>289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186" t="s">
        <v>298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55555000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-3.6323266700000002E-2</v>
      </c>
      <c r="N149" s="286"/>
      <c r="O149" s="287"/>
      <c r="Q149" s="278"/>
      <c r="R149" s="278"/>
      <c r="S149" s="278"/>
    </row>
    <row r="150" spans="1:19" ht="17.25" thickBot="1">
      <c r="A150" s="332" t="s">
        <v>55</v>
      </c>
      <c r="B150" s="328" t="str">
        <f>TEXT($G$1, "[$-ko-KR]yyyy-mm-dd(ddd) ") &amp; "오전 00:00"</f>
        <v>2021-05-11(화) 오전 00:00</v>
      </c>
      <c r="C150" s="329"/>
      <c r="D150" s="292" t="str">
        <f>TEXT($G$1, "[$-ko-KR]yyyy-mm-dd(ddd) ") &amp; "오후 14:00"</f>
        <v>2021-05-11(화) 오후 14:00</v>
      </c>
      <c r="E150" s="293"/>
      <c r="F150" s="294"/>
      <c r="G150" s="292" t="str">
        <f>TEXT($G$1, "[$-ko-KR]yyyy-mm-dd(ddd) ") &amp; "오후 19:00"</f>
        <v>2021-05-11(화) 오후 19:00</v>
      </c>
      <c r="H150" s="293"/>
      <c r="I150" s="294"/>
      <c r="J150" s="292" t="str">
        <f>TEXT($G$1, "[$-ko-KR]yyyy-mm-dd(ddd) ") &amp; "오후 21:00"</f>
        <v>2021-05-11(화) 오후 21:00</v>
      </c>
      <c r="K150" s="293"/>
      <c r="L150" s="294"/>
      <c r="M150" s="292" t="str">
        <f>TEXT($G$1+1, "[$-ko-KR]yyyy-mm-dd(ddd) ") &amp; "오전 00:00"</f>
        <v>2021-05-12(수) 오전 00:00</v>
      </c>
      <c r="N150" s="293"/>
      <c r="O150" s="294"/>
      <c r="Q150" s="278"/>
      <c r="R150" s="278"/>
      <c r="S150" s="278"/>
    </row>
    <row r="151" spans="1:19" ht="17.25" thickBot="1">
      <c r="A151" s="333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68"/>
      <c r="R151" s="268"/>
      <c r="S151" s="268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278"/>
      <c r="R152" s="278"/>
      <c r="S152" s="278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278"/>
      <c r="R153" s="278"/>
      <c r="S153" s="278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268"/>
      <c r="R154" s="268"/>
      <c r="S154" s="268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268"/>
      <c r="R155" s="268"/>
      <c r="S155" s="268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268"/>
      <c r="R156" s="268"/>
      <c r="S156" s="268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268"/>
      <c r="R157" s="268"/>
      <c r="S157" s="268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268"/>
      <c r="R158" s="268"/>
      <c r="S158" s="268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268"/>
      <c r="R159" s="268"/>
      <c r="S159" s="268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269"/>
      <c r="R161" s="270"/>
      <c r="S161" s="271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272"/>
      <c r="R162" s="273"/>
      <c r="S162" s="274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275"/>
      <c r="R163" s="276"/>
      <c r="S163" s="277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268"/>
      <c r="R164" s="268"/>
      <c r="S164" s="268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278"/>
      <c r="R165" s="278"/>
      <c r="S165" s="278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278"/>
      <c r="R166" s="278"/>
      <c r="S166" s="278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268"/>
      <c r="R167" s="268"/>
      <c r="S167" s="268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268"/>
      <c r="R168" s="268"/>
      <c r="S168" s="268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268"/>
      <c r="R169" s="268"/>
      <c r="S169" s="268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257"/>
      <c r="R170" s="258"/>
      <c r="S170" s="259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260"/>
      <c r="R171" s="261"/>
      <c r="S171" s="262"/>
    </row>
    <row r="172" spans="1:19" ht="17.25" thickBot="1">
      <c r="A172" s="131" t="s">
        <v>301</v>
      </c>
      <c r="B172" s="330">
        <f>$B$37</f>
        <v>150000</v>
      </c>
      <c r="C172" s="331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263"/>
      <c r="R172" s="264"/>
      <c r="S172" s="265"/>
    </row>
    <row r="174" spans="1:19" ht="17.25" thickBot="1"/>
    <row r="175" spans="1:19" ht="17.25" thickBot="1">
      <c r="A175" s="279" t="s">
        <v>285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186" t="s">
        <v>298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55555000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-3.6323266700000002E-2</v>
      </c>
      <c r="N176" s="286"/>
      <c r="O176" s="287"/>
      <c r="Q176" s="278"/>
      <c r="R176" s="278"/>
      <c r="S176" s="278"/>
    </row>
    <row r="177" spans="1:19" ht="17.25" thickBot="1">
      <c r="A177" s="332" t="s">
        <v>55</v>
      </c>
      <c r="B177" s="328" t="str">
        <f>TEXT($G$1, "[$-ko-KR]yyyy-mm-dd(ddd) ") &amp; "오전 00:00"</f>
        <v>2021-05-11(화) 오전 00:00</v>
      </c>
      <c r="C177" s="329"/>
      <c r="D177" s="292" t="str">
        <f>TEXT($G$1, "[$-ko-KR]yyyy-mm-dd(ddd) ") &amp; "오후 14:00"</f>
        <v>2021-05-11(화) 오후 14:00</v>
      </c>
      <c r="E177" s="293"/>
      <c r="F177" s="294"/>
      <c r="G177" s="292" t="str">
        <f>TEXT($G$1, "[$-ko-KR]yyyy-mm-dd(ddd) ") &amp; "오후 19:00"</f>
        <v>2021-05-11(화) 오후 19:00</v>
      </c>
      <c r="H177" s="293"/>
      <c r="I177" s="294"/>
      <c r="J177" s="292" t="str">
        <f>TEXT($G$1, "[$-ko-KR]yyyy-mm-dd(ddd) ") &amp; "오후 21:00"</f>
        <v>2021-05-11(화) 오후 21:00</v>
      </c>
      <c r="K177" s="293"/>
      <c r="L177" s="294"/>
      <c r="M177" s="292" t="str">
        <f>TEXT($G$1+1, "[$-ko-KR]yyyy-mm-dd(ddd) ") &amp; "오전 00:00"</f>
        <v>2021-05-12(수) 오전 00:00</v>
      </c>
      <c r="N177" s="293"/>
      <c r="O177" s="294"/>
      <c r="Q177" s="278"/>
      <c r="R177" s="278"/>
      <c r="S177" s="278"/>
    </row>
    <row r="178" spans="1:19" ht="17.25" thickBot="1">
      <c r="A178" s="333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68"/>
      <c r="R178" s="268"/>
      <c r="S178" s="268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278"/>
      <c r="R179" s="278"/>
      <c r="S179" s="278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278"/>
      <c r="R180" s="278"/>
      <c r="S180" s="278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268"/>
      <c r="R181" s="268"/>
      <c r="S181" s="268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268"/>
      <c r="R182" s="268"/>
      <c r="S182" s="268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268"/>
      <c r="R183" s="268"/>
      <c r="S183" s="268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268"/>
      <c r="R184" s="268"/>
      <c r="S184" s="268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268"/>
      <c r="R185" s="268"/>
      <c r="S185" s="268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268"/>
      <c r="R186" s="268"/>
      <c r="S186" s="268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269"/>
      <c r="R188" s="270"/>
      <c r="S188" s="271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272"/>
      <c r="R189" s="273"/>
      <c r="S189" s="274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275"/>
      <c r="R190" s="276"/>
      <c r="S190" s="277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268"/>
      <c r="R191" s="268"/>
      <c r="S191" s="268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278"/>
      <c r="R192" s="278"/>
      <c r="S192" s="278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278"/>
      <c r="R193" s="278"/>
      <c r="S193" s="278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268"/>
      <c r="R194" s="268"/>
      <c r="S194" s="268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268"/>
      <c r="R195" s="268"/>
      <c r="S195" s="268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268"/>
      <c r="R196" s="268"/>
      <c r="S196" s="268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257"/>
      <c r="R197" s="258"/>
      <c r="S197" s="259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260"/>
      <c r="R198" s="261"/>
      <c r="S198" s="262"/>
    </row>
    <row r="199" spans="1:19" ht="17.25" thickBot="1">
      <c r="A199" s="131" t="s">
        <v>301</v>
      </c>
      <c r="B199" s="330">
        <f>$B$37</f>
        <v>150000</v>
      </c>
      <c r="C199" s="331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44328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6" t="s">
        <v>3</v>
      </c>
      <c r="B2" s="316" t="s">
        <v>8</v>
      </c>
      <c r="C2" s="317"/>
      <c r="D2" s="317"/>
      <c r="E2" s="317"/>
      <c r="F2" s="318"/>
      <c r="G2" s="307" t="s">
        <v>46</v>
      </c>
      <c r="H2" s="308"/>
      <c r="I2" s="309"/>
      <c r="J2" s="116" t="s">
        <v>3</v>
      </c>
      <c r="K2" s="316" t="s">
        <v>376</v>
      </c>
      <c r="L2" s="317"/>
      <c r="M2" s="317"/>
      <c r="N2" s="317"/>
      <c r="O2" s="31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19" t="s">
        <v>384</v>
      </c>
      <c r="C3" s="320"/>
      <c r="D3" s="320"/>
      <c r="E3" s="320"/>
      <c r="F3" s="321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301"/>
      <c r="I3" s="302"/>
      <c r="J3" s="117" t="s">
        <v>7</v>
      </c>
      <c r="K3" s="319" t="s">
        <v>377</v>
      </c>
      <c r="L3" s="320"/>
      <c r="M3" s="320"/>
      <c r="N3" s="320"/>
      <c r="O3" s="32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19" t="s">
        <v>16</v>
      </c>
      <c r="C4" s="320"/>
      <c r="D4" s="320"/>
      <c r="E4" s="320"/>
      <c r="F4" s="321"/>
      <c r="G4" s="307" t="s">
        <v>44</v>
      </c>
      <c r="H4" s="308"/>
      <c r="I4" s="309"/>
      <c r="J4" s="117" t="s">
        <v>11</v>
      </c>
      <c r="K4" s="319" t="s">
        <v>378</v>
      </c>
      <c r="L4" s="320"/>
      <c r="M4" s="320"/>
      <c r="N4" s="320"/>
      <c r="O4" s="321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19" t="s">
        <v>374</v>
      </c>
      <c r="C5" s="320"/>
      <c r="D5" s="320"/>
      <c r="E5" s="320"/>
      <c r="F5" s="321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301"/>
      <c r="I5" s="302"/>
      <c r="J5" s="117" t="s">
        <v>15</v>
      </c>
      <c r="K5" s="319" t="s">
        <v>379</v>
      </c>
      <c r="L5" s="320"/>
      <c r="M5" s="320"/>
      <c r="N5" s="320"/>
      <c r="O5" s="321"/>
    </row>
    <row r="6" spans="1:19">
      <c r="A6" s="117" t="s">
        <v>18</v>
      </c>
      <c r="B6" s="319"/>
      <c r="C6" s="320"/>
      <c r="D6" s="320"/>
      <c r="E6" s="320"/>
      <c r="F6" s="321"/>
      <c r="G6" s="307" t="s">
        <v>45</v>
      </c>
      <c r="H6" s="308"/>
      <c r="I6" s="309"/>
      <c r="J6" s="117" t="s">
        <v>18</v>
      </c>
      <c r="K6" s="319" t="s">
        <v>380</v>
      </c>
      <c r="L6" s="320"/>
      <c r="M6" s="320"/>
      <c r="N6" s="320"/>
      <c r="O6" s="321"/>
    </row>
    <row r="7" spans="1:19" ht="17.25" thickBot="1">
      <c r="A7" s="117" t="s">
        <v>21</v>
      </c>
      <c r="B7" s="319"/>
      <c r="C7" s="320"/>
      <c r="D7" s="320"/>
      <c r="E7" s="320"/>
      <c r="F7" s="321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301"/>
      <c r="I7" s="302"/>
      <c r="J7" s="117" t="s">
        <v>21</v>
      </c>
      <c r="K7" s="319" t="s">
        <v>381</v>
      </c>
      <c r="L7" s="320"/>
      <c r="M7" s="320"/>
      <c r="N7" s="320"/>
      <c r="O7" s="321"/>
    </row>
    <row r="8" spans="1:19" ht="17.25" thickBot="1">
      <c r="A8" s="117" t="s">
        <v>24</v>
      </c>
      <c r="B8" s="319"/>
      <c r="C8" s="320"/>
      <c r="D8" s="320"/>
      <c r="E8" s="320"/>
      <c r="F8" s="321"/>
      <c r="G8" s="307" t="s">
        <v>285</v>
      </c>
      <c r="H8" s="308"/>
      <c r="I8" s="309"/>
      <c r="J8" s="117" t="s">
        <v>24</v>
      </c>
      <c r="K8" s="319"/>
      <c r="L8" s="320"/>
      <c r="M8" s="320"/>
      <c r="N8" s="320"/>
      <c r="O8" s="321"/>
      <c r="Q8" s="279" t="s">
        <v>27</v>
      </c>
      <c r="R8" s="281"/>
    </row>
    <row r="9" spans="1:19" ht="17.25" thickBot="1">
      <c r="A9" s="117" t="s">
        <v>28</v>
      </c>
      <c r="B9" s="319"/>
      <c r="C9" s="320"/>
      <c r="D9" s="320"/>
      <c r="E9" s="320"/>
      <c r="F9" s="321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301"/>
      <c r="I9" s="302"/>
      <c r="J9" s="117" t="s">
        <v>28</v>
      </c>
      <c r="K9" s="319"/>
      <c r="L9" s="320"/>
      <c r="M9" s="320"/>
      <c r="N9" s="320"/>
      <c r="O9" s="321"/>
      <c r="Q9" s="120" t="s">
        <v>29</v>
      </c>
      <c r="R9" s="199">
        <v>10</v>
      </c>
    </row>
    <row r="10" spans="1:19">
      <c r="A10" s="117" t="s">
        <v>30</v>
      </c>
      <c r="B10" s="319"/>
      <c r="C10" s="320"/>
      <c r="D10" s="320"/>
      <c r="E10" s="320"/>
      <c r="F10" s="321"/>
      <c r="G10" s="307" t="s">
        <v>47</v>
      </c>
      <c r="H10" s="308"/>
      <c r="I10" s="309"/>
      <c r="J10" s="117" t="s">
        <v>30</v>
      </c>
      <c r="K10" s="319" t="s">
        <v>382</v>
      </c>
      <c r="L10" s="320"/>
      <c r="M10" s="320"/>
      <c r="N10" s="320"/>
      <c r="O10" s="321"/>
      <c r="Q10" s="120" t="s">
        <v>31</v>
      </c>
      <c r="R10" s="199">
        <v>100</v>
      </c>
    </row>
    <row r="11" spans="1:19" ht="17.25" thickBot="1">
      <c r="A11" s="118" t="s">
        <v>32</v>
      </c>
      <c r="B11" s="325" t="s">
        <v>383</v>
      </c>
      <c r="C11" s="326"/>
      <c r="D11" s="326"/>
      <c r="E11" s="326"/>
      <c r="F11" s="327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301"/>
      <c r="I11" s="302"/>
      <c r="J11" s="118" t="s">
        <v>32</v>
      </c>
      <c r="K11" s="325" t="s">
        <v>373</v>
      </c>
      <c r="L11" s="326"/>
      <c r="M11" s="326"/>
      <c r="N11" s="326"/>
      <c r="O11" s="327"/>
      <c r="Q11" s="212" t="s">
        <v>33</v>
      </c>
      <c r="R11" s="200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09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55555000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-3.6323266700000002E-2</v>
      </c>
      <c r="N14" s="286"/>
      <c r="O14" s="287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2021-05-12(수) 오전 00:00</v>
      </c>
      <c r="C15" s="324"/>
      <c r="D15" s="279" t="str">
        <f>TEXT($G$1, "[$-ko-KR]yyyy-mm-dd(ddd) ") &amp; "오후 14:00"</f>
        <v>2021-05-12(수) 오후 14:00</v>
      </c>
      <c r="E15" s="280"/>
      <c r="F15" s="281"/>
      <c r="G15" s="279" t="str">
        <f>TEXT($G$1, "[$-ko-KR]yyyy-mm-dd(ddd) ") &amp; "오후 19:00"</f>
        <v>2021-05-12(수) 오후 19:00</v>
      </c>
      <c r="H15" s="280"/>
      <c r="I15" s="281"/>
      <c r="J15" s="279" t="str">
        <f>TEXT($G$1, "[$-ko-KR]yyyy-mm-dd(ddd) ") &amp; "오후 21:00"</f>
        <v>2021-05-12(수) 오후 21:00</v>
      </c>
      <c r="K15" s="280"/>
      <c r="L15" s="281"/>
      <c r="M15" s="279" t="str">
        <f>TEXT($G$1+1, "[$-ko-KR]yyyy-mm-dd(ddd) ") &amp; "오전 00:00"</f>
        <v>2021-05-13(목) 오전 00:00</v>
      </c>
      <c r="N15" s="280"/>
      <c r="O15" s="281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268"/>
      <c r="R16" s="268"/>
      <c r="S16" s="268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278"/>
      <c r="R17" s="278"/>
      <c r="S17" s="278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278"/>
      <c r="R18" s="278"/>
      <c r="S18" s="278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268"/>
      <c r="R19" s="268"/>
      <c r="S19" s="268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268"/>
      <c r="R20" s="268"/>
      <c r="S20" s="268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268"/>
      <c r="R21" s="268"/>
      <c r="S21" s="268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268"/>
      <c r="R22" s="268"/>
      <c r="S22" s="268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268"/>
      <c r="R23" s="268"/>
      <c r="S23" s="268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268"/>
      <c r="R24" s="268"/>
      <c r="S24" s="268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269"/>
      <c r="R26" s="270"/>
      <c r="S26" s="271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272"/>
      <c r="R27" s="273"/>
      <c r="S27" s="274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275"/>
      <c r="R28" s="276"/>
      <c r="S28" s="277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268"/>
      <c r="R29" s="268"/>
      <c r="S29" s="268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278"/>
      <c r="R30" s="278"/>
      <c r="S30" s="278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278"/>
      <c r="R31" s="278"/>
      <c r="S31" s="278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268"/>
      <c r="R32" s="268"/>
      <c r="S32" s="268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268"/>
      <c r="R33" s="268"/>
      <c r="S33" s="268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268"/>
      <c r="R34" s="268"/>
      <c r="S34" s="268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257"/>
      <c r="R35" s="258"/>
      <c r="S35" s="259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260"/>
      <c r="R36" s="261"/>
      <c r="S36" s="262"/>
    </row>
    <row r="37" spans="1:19" ht="17.25" customHeight="1" thickBot="1">
      <c r="A37" s="131" t="s">
        <v>42</v>
      </c>
      <c r="B37" s="330">
        <v>150000</v>
      </c>
      <c r="C37" s="331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09" t="s">
        <v>298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55555000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-3.6323266700000002E-2</v>
      </c>
      <c r="N41" s="286"/>
      <c r="O41" s="287"/>
      <c r="Q41" s="278"/>
      <c r="R41" s="278"/>
      <c r="S41" s="278"/>
    </row>
    <row r="42" spans="1:19" ht="17.25" customHeight="1" thickBot="1">
      <c r="A42" s="332" t="s">
        <v>55</v>
      </c>
      <c r="B42" s="328" t="str">
        <f>TEXT($G$1, "[$-ko-KR]yyyy-mm-dd(ddd) ") &amp; "오전 00:00"</f>
        <v>2021-05-12(수) 오전 00:00</v>
      </c>
      <c r="C42" s="329"/>
      <c r="D42" s="279" t="str">
        <f>TEXT($G$1, "[$-ko-KR]yyyy-mm-dd(ddd) ") &amp; "오후 14:00"</f>
        <v>2021-05-12(수) 오후 14:00</v>
      </c>
      <c r="E42" s="280"/>
      <c r="F42" s="281"/>
      <c r="G42" s="279" t="str">
        <f>TEXT($G$1, "[$-ko-KR]yyyy-mm-dd(ddd) ") &amp; "오후 19:00"</f>
        <v>2021-05-12(수) 오후 19:00</v>
      </c>
      <c r="H42" s="280"/>
      <c r="I42" s="281"/>
      <c r="J42" s="279" t="str">
        <f>TEXT($G$1, "[$-ko-KR]yyyy-mm-dd(ddd) ") &amp; "오후 21:00"</f>
        <v>2021-05-12(수) 오후 21:00</v>
      </c>
      <c r="K42" s="280"/>
      <c r="L42" s="281"/>
      <c r="M42" s="279" t="str">
        <f>TEXT($G$1+1, "[$-ko-KR]yyyy-mm-dd(ddd) ") &amp; "오전 00:00"</f>
        <v>2021-05-13(목) 오전 00:00</v>
      </c>
      <c r="N42" s="280"/>
      <c r="O42" s="281"/>
      <c r="Q42" s="278"/>
      <c r="R42" s="278"/>
      <c r="S42" s="278"/>
    </row>
    <row r="43" spans="1:19" ht="17.25" customHeight="1" thickBot="1">
      <c r="A43" s="333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268"/>
      <c r="R43" s="268"/>
      <c r="S43" s="268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278"/>
      <c r="R44" s="278"/>
      <c r="S44" s="278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278"/>
      <c r="R45" s="278"/>
      <c r="S45" s="278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268"/>
      <c r="R46" s="268"/>
      <c r="S46" s="268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268"/>
      <c r="R47" s="268"/>
      <c r="S47" s="268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268"/>
      <c r="R48" s="268"/>
      <c r="S48" s="268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268"/>
      <c r="R49" s="268"/>
      <c r="S49" s="268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268"/>
      <c r="R50" s="268"/>
      <c r="S50" s="268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268"/>
      <c r="R51" s="268"/>
      <c r="S51" s="268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269"/>
      <c r="R53" s="270"/>
      <c r="S53" s="271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272"/>
      <c r="R54" s="273"/>
      <c r="S54" s="274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275"/>
      <c r="R55" s="276"/>
      <c r="S55" s="277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268"/>
      <c r="R56" s="268"/>
      <c r="S56" s="268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278"/>
      <c r="R57" s="278"/>
      <c r="S57" s="278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278"/>
      <c r="R58" s="278"/>
      <c r="S58" s="278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268"/>
      <c r="R59" s="268"/>
      <c r="S59" s="268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268"/>
      <c r="R60" s="268"/>
      <c r="S60" s="268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268"/>
      <c r="R61" s="268"/>
      <c r="S61" s="268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257"/>
      <c r="R62" s="258"/>
      <c r="S62" s="259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260"/>
      <c r="R63" s="261"/>
      <c r="S63" s="262"/>
    </row>
    <row r="64" spans="1:19" ht="17.25" customHeight="1" thickBot="1">
      <c r="A64" s="131" t="s">
        <v>301</v>
      </c>
      <c r="B64" s="330">
        <f>$B$37</f>
        <v>150000</v>
      </c>
      <c r="C64" s="331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09" t="s">
        <v>298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55555000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-3.6323266700000002E-2</v>
      </c>
      <c r="N68" s="286"/>
      <c r="O68" s="287"/>
      <c r="Q68" s="278"/>
      <c r="R68" s="278"/>
      <c r="S68" s="278"/>
    </row>
    <row r="69" spans="1:19" ht="17.25" thickBot="1">
      <c r="A69" s="332" t="s">
        <v>55</v>
      </c>
      <c r="B69" s="328" t="str">
        <f>TEXT($G$1, "[$-ko-KR]yyyy-mm-dd(ddd) ") &amp; "오전 00:00"</f>
        <v>2021-05-12(수) 오전 00:00</v>
      </c>
      <c r="C69" s="329"/>
      <c r="D69" s="279" t="str">
        <f>TEXT($G$1, "[$-ko-KR]yyyy-mm-dd(ddd) ") &amp; "오후 14:00"</f>
        <v>2021-05-12(수) 오후 14:00</v>
      </c>
      <c r="E69" s="280"/>
      <c r="F69" s="281"/>
      <c r="G69" s="279" t="str">
        <f>TEXT($G$1, "[$-ko-KR]yyyy-mm-dd(ddd) ") &amp; "오후 19:00"</f>
        <v>2021-05-12(수) 오후 19:00</v>
      </c>
      <c r="H69" s="280"/>
      <c r="I69" s="281"/>
      <c r="J69" s="279" t="str">
        <f>TEXT($G$1, "[$-ko-KR]yyyy-mm-dd(ddd) ") &amp; "오후 21:00"</f>
        <v>2021-05-12(수) 오후 21:00</v>
      </c>
      <c r="K69" s="280"/>
      <c r="L69" s="281"/>
      <c r="M69" s="279" t="str">
        <f>TEXT($G$1+1, "[$-ko-KR]yyyy-mm-dd(ddd) ") &amp; "오전 00:00"</f>
        <v>2021-05-13(목) 오전 00:00</v>
      </c>
      <c r="N69" s="280"/>
      <c r="O69" s="281"/>
      <c r="Q69" s="278"/>
      <c r="R69" s="278"/>
      <c r="S69" s="278"/>
    </row>
    <row r="70" spans="1:19" ht="17.25" thickBot="1">
      <c r="A70" s="333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268"/>
      <c r="R70" s="268"/>
      <c r="S70" s="268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278"/>
      <c r="R71" s="278"/>
      <c r="S71" s="278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278"/>
      <c r="R72" s="278"/>
      <c r="S72" s="278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268"/>
      <c r="R73" s="268"/>
      <c r="S73" s="268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268"/>
      <c r="R74" s="268"/>
      <c r="S74" s="268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268"/>
      <c r="R75" s="268"/>
      <c r="S75" s="268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268"/>
      <c r="R76" s="268"/>
      <c r="S76" s="268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268"/>
      <c r="R77" s="268"/>
      <c r="S77" s="268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268"/>
      <c r="R78" s="268"/>
      <c r="S78" s="268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269"/>
      <c r="R80" s="270"/>
      <c r="S80" s="271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272"/>
      <c r="R81" s="273"/>
      <c r="S81" s="274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275"/>
      <c r="R82" s="276"/>
      <c r="S82" s="277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268"/>
      <c r="R83" s="268"/>
      <c r="S83" s="268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278"/>
      <c r="R84" s="278"/>
      <c r="S84" s="278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278"/>
      <c r="R85" s="278"/>
      <c r="S85" s="278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268"/>
      <c r="R86" s="268"/>
      <c r="S86" s="268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268"/>
      <c r="R87" s="268"/>
      <c r="S87" s="268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268"/>
      <c r="R88" s="268"/>
      <c r="S88" s="268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257"/>
      <c r="R89" s="258"/>
      <c r="S89" s="259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260"/>
      <c r="R90" s="261"/>
      <c r="S90" s="262"/>
    </row>
    <row r="91" spans="1:19" ht="17.25" thickBot="1">
      <c r="A91" s="131" t="s">
        <v>301</v>
      </c>
      <c r="B91" s="330">
        <f>$B$37</f>
        <v>150000</v>
      </c>
      <c r="C91" s="331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09" t="s">
        <v>298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55555000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-3.6323266700000002E-2</v>
      </c>
      <c r="N95" s="286"/>
      <c r="O95" s="287"/>
      <c r="Q95" s="278"/>
      <c r="R95" s="278"/>
      <c r="S95" s="278"/>
    </row>
    <row r="96" spans="1:19" ht="17.25" thickBot="1">
      <c r="A96" s="332" t="s">
        <v>55</v>
      </c>
      <c r="B96" s="328" t="str">
        <f>TEXT($G$1, "[$-ko-KR]yyyy-mm-dd(ddd) ") &amp; "오전 00:00"</f>
        <v>2021-05-12(수) 오전 00:00</v>
      </c>
      <c r="C96" s="329"/>
      <c r="D96" s="279" t="str">
        <f>TEXT($G$1, "[$-ko-KR]yyyy-mm-dd(ddd) ") &amp; "오후 14:00"</f>
        <v>2021-05-12(수) 오후 14:00</v>
      </c>
      <c r="E96" s="280"/>
      <c r="F96" s="281"/>
      <c r="G96" s="279" t="str">
        <f>TEXT($G$1, "[$-ko-KR]yyyy-mm-dd(ddd) ") &amp; "오후 19:00"</f>
        <v>2021-05-12(수) 오후 19:00</v>
      </c>
      <c r="H96" s="280"/>
      <c r="I96" s="281"/>
      <c r="J96" s="279" t="str">
        <f>TEXT($G$1, "[$-ko-KR]yyyy-mm-dd(ddd) ") &amp; "오후 21:00"</f>
        <v>2021-05-12(수) 오후 21:00</v>
      </c>
      <c r="K96" s="280"/>
      <c r="L96" s="281"/>
      <c r="M96" s="279" t="str">
        <f>TEXT($G$1+1, "[$-ko-KR]yyyy-mm-dd(ddd) ") &amp; "오전 00:00"</f>
        <v>2021-05-13(목) 오전 00:00</v>
      </c>
      <c r="N96" s="280"/>
      <c r="O96" s="281"/>
      <c r="Q96" s="278"/>
      <c r="R96" s="278"/>
      <c r="S96" s="278"/>
    </row>
    <row r="97" spans="1:19" ht="17.25" thickBot="1">
      <c r="A97" s="333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268"/>
      <c r="R97" s="268"/>
      <c r="S97" s="268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278"/>
      <c r="R98" s="278"/>
      <c r="S98" s="278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278"/>
      <c r="R99" s="278"/>
      <c r="S99" s="278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268"/>
      <c r="R100" s="268"/>
      <c r="S100" s="268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268"/>
      <c r="R101" s="268"/>
      <c r="S101" s="268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268"/>
      <c r="R102" s="268"/>
      <c r="S102" s="268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268"/>
      <c r="R103" s="268"/>
      <c r="S103" s="268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268"/>
      <c r="R104" s="268"/>
      <c r="S104" s="268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268"/>
      <c r="R105" s="268"/>
      <c r="S105" s="268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269"/>
      <c r="R107" s="270"/>
      <c r="S107" s="271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272"/>
      <c r="R108" s="273"/>
      <c r="S108" s="274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275"/>
      <c r="R109" s="276"/>
      <c r="S109" s="277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268"/>
      <c r="R110" s="268"/>
      <c r="S110" s="268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278"/>
      <c r="R111" s="278"/>
      <c r="S111" s="278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278"/>
      <c r="R112" s="278"/>
      <c r="S112" s="278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268"/>
      <c r="R113" s="268"/>
      <c r="S113" s="268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268"/>
      <c r="R114" s="268"/>
      <c r="S114" s="268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268"/>
      <c r="R115" s="268"/>
      <c r="S115" s="268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257"/>
      <c r="R116" s="258"/>
      <c r="S116" s="259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260"/>
      <c r="R117" s="261"/>
      <c r="S117" s="262"/>
    </row>
    <row r="118" spans="1:19" ht="17.25" thickBot="1">
      <c r="A118" s="131" t="s">
        <v>301</v>
      </c>
      <c r="B118" s="330">
        <f>$B$37</f>
        <v>150000</v>
      </c>
      <c r="C118" s="331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263"/>
      <c r="R118" s="264"/>
      <c r="S118" s="265"/>
    </row>
    <row r="120" spans="1:19" ht="17.25" thickBot="1"/>
    <row r="121" spans="1:19" ht="17.25" thickBot="1">
      <c r="A121" s="279" t="s">
        <v>288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09" t="s">
        <v>298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55555000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-3.6323266700000002E-2</v>
      </c>
      <c r="N122" s="286"/>
      <c r="O122" s="287"/>
      <c r="Q122" s="278"/>
      <c r="R122" s="278"/>
      <c r="S122" s="278"/>
    </row>
    <row r="123" spans="1:19" ht="17.25" thickBot="1">
      <c r="A123" s="332" t="s">
        <v>55</v>
      </c>
      <c r="B123" s="328" t="str">
        <f>TEXT($G$1, "[$-ko-KR]yyyy-mm-dd(ddd) ") &amp; "오전 00:00"</f>
        <v>2021-05-12(수) 오전 00:00</v>
      </c>
      <c r="C123" s="329"/>
      <c r="D123" s="279" t="str">
        <f>TEXT($G$1, "[$-ko-KR]yyyy-mm-dd(ddd) ") &amp; "오후 14:00"</f>
        <v>2021-05-12(수) 오후 14:00</v>
      </c>
      <c r="E123" s="280"/>
      <c r="F123" s="281"/>
      <c r="G123" s="279" t="str">
        <f>TEXT($G$1, "[$-ko-KR]yyyy-mm-dd(ddd) ") &amp; "오후 19:00"</f>
        <v>2021-05-12(수) 오후 19:00</v>
      </c>
      <c r="H123" s="280"/>
      <c r="I123" s="281"/>
      <c r="J123" s="279" t="str">
        <f>TEXT($G$1, "[$-ko-KR]yyyy-mm-dd(ddd) ") &amp; "오후 21:00"</f>
        <v>2021-05-12(수) 오후 21:00</v>
      </c>
      <c r="K123" s="280"/>
      <c r="L123" s="281"/>
      <c r="M123" s="279" t="str">
        <f>TEXT($G$1+1, "[$-ko-KR]yyyy-mm-dd(ddd) ") &amp; "오전 00:00"</f>
        <v>2021-05-13(목) 오전 00:00</v>
      </c>
      <c r="N123" s="280"/>
      <c r="O123" s="281"/>
      <c r="Q123" s="278"/>
      <c r="R123" s="278"/>
      <c r="S123" s="278"/>
    </row>
    <row r="124" spans="1:19" ht="17.25" thickBot="1">
      <c r="A124" s="333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268"/>
      <c r="R124" s="268"/>
      <c r="S124" s="268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278"/>
      <c r="R125" s="278"/>
      <c r="S125" s="278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278"/>
      <c r="R126" s="278"/>
      <c r="S126" s="278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268"/>
      <c r="R127" s="268"/>
      <c r="S127" s="268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268"/>
      <c r="R128" s="268"/>
      <c r="S128" s="268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268"/>
      <c r="R129" s="268"/>
      <c r="S129" s="268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268"/>
      <c r="R130" s="268"/>
      <c r="S130" s="268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268"/>
      <c r="R131" s="268"/>
      <c r="S131" s="268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268"/>
      <c r="R132" s="268"/>
      <c r="S132" s="268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269"/>
      <c r="R134" s="270"/>
      <c r="S134" s="271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272"/>
      <c r="R135" s="273"/>
      <c r="S135" s="274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275"/>
      <c r="R136" s="276"/>
      <c r="S136" s="277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268"/>
      <c r="R137" s="268"/>
      <c r="S137" s="268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278"/>
      <c r="R138" s="278"/>
      <c r="S138" s="278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278"/>
      <c r="R139" s="278"/>
      <c r="S139" s="278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268"/>
      <c r="R140" s="268"/>
      <c r="S140" s="268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268"/>
      <c r="R141" s="268"/>
      <c r="S141" s="268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268"/>
      <c r="R142" s="268"/>
      <c r="S142" s="268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257"/>
      <c r="R143" s="258"/>
      <c r="S143" s="259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60"/>
      <c r="R144" s="261"/>
      <c r="S144" s="262"/>
    </row>
    <row r="145" spans="1:19" ht="17.25" thickBot="1">
      <c r="A145" s="131" t="s">
        <v>301</v>
      </c>
      <c r="B145" s="330">
        <f>$B$37</f>
        <v>150000</v>
      </c>
      <c r="C145" s="331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263"/>
      <c r="R145" s="264"/>
      <c r="S145" s="265"/>
    </row>
    <row r="147" spans="1:19" ht="17.25" thickBot="1"/>
    <row r="148" spans="1:19" ht="17.25" thickBot="1">
      <c r="A148" s="279" t="s">
        <v>289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09" t="s">
        <v>298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55555000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-3.6323266700000002E-2</v>
      </c>
      <c r="N149" s="286"/>
      <c r="O149" s="287"/>
      <c r="Q149" s="278"/>
      <c r="R149" s="278"/>
      <c r="S149" s="278"/>
    </row>
    <row r="150" spans="1:19" ht="17.25" thickBot="1">
      <c r="A150" s="332" t="s">
        <v>55</v>
      </c>
      <c r="B150" s="328" t="str">
        <f>TEXT($G$1, "[$-ko-KR]yyyy-mm-dd(ddd) ") &amp; "오전 00:00"</f>
        <v>2021-05-12(수) 오전 00:00</v>
      </c>
      <c r="C150" s="329"/>
      <c r="D150" s="279" t="str">
        <f>TEXT($G$1, "[$-ko-KR]yyyy-mm-dd(ddd) ") &amp; "오후 14:00"</f>
        <v>2021-05-12(수) 오후 14:00</v>
      </c>
      <c r="E150" s="280"/>
      <c r="F150" s="281"/>
      <c r="G150" s="279" t="str">
        <f>TEXT($G$1, "[$-ko-KR]yyyy-mm-dd(ddd) ") &amp; "오후 19:00"</f>
        <v>2021-05-12(수) 오후 19:00</v>
      </c>
      <c r="H150" s="280"/>
      <c r="I150" s="281"/>
      <c r="J150" s="279" t="str">
        <f>TEXT($G$1, "[$-ko-KR]yyyy-mm-dd(ddd) ") &amp; "오후 21:00"</f>
        <v>2021-05-12(수) 오후 21:00</v>
      </c>
      <c r="K150" s="280"/>
      <c r="L150" s="281"/>
      <c r="M150" s="279" t="str">
        <f>TEXT($G$1+1, "[$-ko-KR]yyyy-mm-dd(ddd) ") &amp; "오전 00:00"</f>
        <v>2021-05-13(목) 오전 00:00</v>
      </c>
      <c r="N150" s="280"/>
      <c r="O150" s="281"/>
      <c r="Q150" s="278"/>
      <c r="R150" s="278"/>
      <c r="S150" s="278"/>
    </row>
    <row r="151" spans="1:19" ht="17.25" thickBot="1">
      <c r="A151" s="333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268"/>
      <c r="R151" s="268"/>
      <c r="S151" s="268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278"/>
      <c r="R152" s="278"/>
      <c r="S152" s="278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278"/>
      <c r="R153" s="278"/>
      <c r="S153" s="278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268"/>
      <c r="R154" s="268"/>
      <c r="S154" s="268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268"/>
      <c r="R155" s="268"/>
      <c r="S155" s="268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268"/>
      <c r="R156" s="268"/>
      <c r="S156" s="268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268"/>
      <c r="R157" s="268"/>
      <c r="S157" s="268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268"/>
      <c r="R158" s="268"/>
      <c r="S158" s="268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268"/>
      <c r="R159" s="268"/>
      <c r="S159" s="268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269"/>
      <c r="R161" s="270"/>
      <c r="S161" s="271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272"/>
      <c r="R162" s="273"/>
      <c r="S162" s="274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275"/>
      <c r="R163" s="276"/>
      <c r="S163" s="277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268"/>
      <c r="R164" s="268"/>
      <c r="S164" s="268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278"/>
      <c r="R165" s="278"/>
      <c r="S165" s="278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278"/>
      <c r="R166" s="278"/>
      <c r="S166" s="278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268"/>
      <c r="R167" s="268"/>
      <c r="S167" s="268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268"/>
      <c r="R168" s="268"/>
      <c r="S168" s="268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268"/>
      <c r="R169" s="268"/>
      <c r="S169" s="268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257"/>
      <c r="R170" s="258"/>
      <c r="S170" s="259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260"/>
      <c r="R171" s="261"/>
      <c r="S171" s="262"/>
    </row>
    <row r="172" spans="1:19" ht="17.25" thickBot="1">
      <c r="A172" s="131" t="s">
        <v>301</v>
      </c>
      <c r="B172" s="330">
        <f>$B$37</f>
        <v>150000</v>
      </c>
      <c r="C172" s="331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263"/>
      <c r="R172" s="264"/>
      <c r="S172" s="265"/>
    </row>
    <row r="174" spans="1:19" ht="17.25" thickBot="1"/>
    <row r="175" spans="1:19" ht="17.25" thickBot="1">
      <c r="A175" s="279" t="s">
        <v>285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09" t="s">
        <v>298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55555000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-3.6323266700000002E-2</v>
      </c>
      <c r="N176" s="286"/>
      <c r="O176" s="287"/>
      <c r="Q176" s="278"/>
      <c r="R176" s="278"/>
      <c r="S176" s="278"/>
    </row>
    <row r="177" spans="1:19" ht="17.25" thickBot="1">
      <c r="A177" s="332" t="s">
        <v>55</v>
      </c>
      <c r="B177" s="328" t="str">
        <f>TEXT($G$1, "[$-ko-KR]yyyy-mm-dd(ddd) ") &amp; "오전 00:00"</f>
        <v>2021-05-12(수) 오전 00:00</v>
      </c>
      <c r="C177" s="329"/>
      <c r="D177" s="279" t="str">
        <f>TEXT($G$1, "[$-ko-KR]yyyy-mm-dd(ddd) ") &amp; "오후 14:00"</f>
        <v>2021-05-12(수) 오후 14:00</v>
      </c>
      <c r="E177" s="280"/>
      <c r="F177" s="281"/>
      <c r="G177" s="279" t="str">
        <f>TEXT($G$1, "[$-ko-KR]yyyy-mm-dd(ddd) ") &amp; "오후 19:00"</f>
        <v>2021-05-12(수) 오후 19:00</v>
      </c>
      <c r="H177" s="280"/>
      <c r="I177" s="281"/>
      <c r="J177" s="279" t="str">
        <f>TEXT($G$1, "[$-ko-KR]yyyy-mm-dd(ddd) ") &amp; "오후 21:00"</f>
        <v>2021-05-12(수) 오후 21:00</v>
      </c>
      <c r="K177" s="280"/>
      <c r="L177" s="281"/>
      <c r="M177" s="279" t="str">
        <f>TEXT($G$1+1, "[$-ko-KR]yyyy-mm-dd(ddd) ") &amp; "오전 00:00"</f>
        <v>2021-05-13(목) 오전 00:00</v>
      </c>
      <c r="N177" s="280"/>
      <c r="O177" s="281"/>
      <c r="Q177" s="278"/>
      <c r="R177" s="278"/>
      <c r="S177" s="278"/>
    </row>
    <row r="178" spans="1:19" ht="17.25" thickBot="1">
      <c r="A178" s="333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268"/>
      <c r="R178" s="268"/>
      <c r="S178" s="268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278"/>
      <c r="R179" s="278"/>
      <c r="S179" s="278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278"/>
      <c r="R180" s="278"/>
      <c r="S180" s="278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268"/>
      <c r="R181" s="268"/>
      <c r="S181" s="268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268"/>
      <c r="R182" s="268"/>
      <c r="S182" s="268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268"/>
      <c r="R183" s="268"/>
      <c r="S183" s="268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268"/>
      <c r="R184" s="268"/>
      <c r="S184" s="268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268"/>
      <c r="R185" s="268"/>
      <c r="S185" s="268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268"/>
      <c r="R186" s="268"/>
      <c r="S186" s="268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269"/>
      <c r="R188" s="270"/>
      <c r="S188" s="271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272"/>
      <c r="R189" s="273"/>
      <c r="S189" s="274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275"/>
      <c r="R190" s="276"/>
      <c r="S190" s="277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268"/>
      <c r="R191" s="268"/>
      <c r="S191" s="268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278"/>
      <c r="R192" s="278"/>
      <c r="S192" s="278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278"/>
      <c r="R193" s="278"/>
      <c r="S193" s="278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268"/>
      <c r="R194" s="268"/>
      <c r="S194" s="268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268"/>
      <c r="R195" s="268"/>
      <c r="S195" s="268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268"/>
      <c r="R196" s="268"/>
      <c r="S196" s="268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257"/>
      <c r="R197" s="258"/>
      <c r="S197" s="259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260"/>
      <c r="R198" s="261"/>
      <c r="S198" s="262"/>
    </row>
    <row r="199" spans="1:19" ht="17.25" thickBot="1">
      <c r="A199" s="131" t="s">
        <v>301</v>
      </c>
      <c r="B199" s="330">
        <f>$B$37</f>
        <v>150000</v>
      </c>
      <c r="C199" s="331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44329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6" t="s">
        <v>3</v>
      </c>
      <c r="B2" s="316" t="s">
        <v>8</v>
      </c>
      <c r="C2" s="317"/>
      <c r="D2" s="317"/>
      <c r="E2" s="317"/>
      <c r="F2" s="318"/>
      <c r="G2" s="307" t="s">
        <v>46</v>
      </c>
      <c r="H2" s="308"/>
      <c r="I2" s="309"/>
      <c r="J2" s="116" t="s">
        <v>3</v>
      </c>
      <c r="K2" s="316" t="s">
        <v>376</v>
      </c>
      <c r="L2" s="317"/>
      <c r="M2" s="317"/>
      <c r="N2" s="317"/>
      <c r="O2" s="31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19" t="s">
        <v>384</v>
      </c>
      <c r="C3" s="320"/>
      <c r="D3" s="320"/>
      <c r="E3" s="320"/>
      <c r="F3" s="321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301"/>
      <c r="I3" s="302"/>
      <c r="J3" s="117" t="s">
        <v>7</v>
      </c>
      <c r="K3" s="319" t="s">
        <v>377</v>
      </c>
      <c r="L3" s="320"/>
      <c r="M3" s="320"/>
      <c r="N3" s="320"/>
      <c r="O3" s="32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19" t="s">
        <v>16</v>
      </c>
      <c r="C4" s="320"/>
      <c r="D4" s="320"/>
      <c r="E4" s="320"/>
      <c r="F4" s="321"/>
      <c r="G4" s="307" t="s">
        <v>44</v>
      </c>
      <c r="H4" s="308"/>
      <c r="I4" s="309"/>
      <c r="J4" s="117" t="s">
        <v>11</v>
      </c>
      <c r="K4" s="319" t="s">
        <v>378</v>
      </c>
      <c r="L4" s="320"/>
      <c r="M4" s="320"/>
      <c r="N4" s="320"/>
      <c r="O4" s="321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19" t="s">
        <v>374</v>
      </c>
      <c r="C5" s="320"/>
      <c r="D5" s="320"/>
      <c r="E5" s="320"/>
      <c r="F5" s="321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301"/>
      <c r="I5" s="302"/>
      <c r="J5" s="117" t="s">
        <v>15</v>
      </c>
      <c r="K5" s="319" t="s">
        <v>379</v>
      </c>
      <c r="L5" s="320"/>
      <c r="M5" s="320"/>
      <c r="N5" s="320"/>
      <c r="O5" s="321"/>
    </row>
    <row r="6" spans="1:19">
      <c r="A6" s="117" t="s">
        <v>18</v>
      </c>
      <c r="B6" s="319"/>
      <c r="C6" s="320"/>
      <c r="D6" s="320"/>
      <c r="E6" s="320"/>
      <c r="F6" s="321"/>
      <c r="G6" s="307" t="s">
        <v>45</v>
      </c>
      <c r="H6" s="308"/>
      <c r="I6" s="309"/>
      <c r="J6" s="117" t="s">
        <v>18</v>
      </c>
      <c r="K6" s="319" t="s">
        <v>380</v>
      </c>
      <c r="L6" s="320"/>
      <c r="M6" s="320"/>
      <c r="N6" s="320"/>
      <c r="O6" s="321"/>
    </row>
    <row r="7" spans="1:19" ht="17.25" thickBot="1">
      <c r="A7" s="117" t="s">
        <v>21</v>
      </c>
      <c r="B7" s="319"/>
      <c r="C7" s="320"/>
      <c r="D7" s="320"/>
      <c r="E7" s="320"/>
      <c r="F7" s="321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301"/>
      <c r="I7" s="302"/>
      <c r="J7" s="117" t="s">
        <v>21</v>
      </c>
      <c r="K7" s="319" t="s">
        <v>381</v>
      </c>
      <c r="L7" s="320"/>
      <c r="M7" s="320"/>
      <c r="N7" s="320"/>
      <c r="O7" s="321"/>
    </row>
    <row r="8" spans="1:19" ht="17.25" thickBot="1">
      <c r="A8" s="117" t="s">
        <v>24</v>
      </c>
      <c r="B8" s="319"/>
      <c r="C8" s="320"/>
      <c r="D8" s="320"/>
      <c r="E8" s="320"/>
      <c r="F8" s="321"/>
      <c r="G8" s="307" t="s">
        <v>285</v>
      </c>
      <c r="H8" s="308"/>
      <c r="I8" s="309"/>
      <c r="J8" s="117" t="s">
        <v>24</v>
      </c>
      <c r="K8" s="319"/>
      <c r="L8" s="320"/>
      <c r="M8" s="320"/>
      <c r="N8" s="320"/>
      <c r="O8" s="321"/>
      <c r="Q8" s="279" t="s">
        <v>27</v>
      </c>
      <c r="R8" s="281"/>
    </row>
    <row r="9" spans="1:19" ht="17.25" thickBot="1">
      <c r="A9" s="117" t="s">
        <v>28</v>
      </c>
      <c r="B9" s="319"/>
      <c r="C9" s="320"/>
      <c r="D9" s="320"/>
      <c r="E9" s="320"/>
      <c r="F9" s="321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301"/>
      <c r="I9" s="302"/>
      <c r="J9" s="117" t="s">
        <v>28</v>
      </c>
      <c r="K9" s="319"/>
      <c r="L9" s="320"/>
      <c r="M9" s="320"/>
      <c r="N9" s="320"/>
      <c r="O9" s="321"/>
      <c r="Q9" s="120" t="s">
        <v>29</v>
      </c>
      <c r="R9" s="199">
        <v>10</v>
      </c>
    </row>
    <row r="10" spans="1:19">
      <c r="A10" s="117" t="s">
        <v>30</v>
      </c>
      <c r="B10" s="319"/>
      <c r="C10" s="320"/>
      <c r="D10" s="320"/>
      <c r="E10" s="320"/>
      <c r="F10" s="321"/>
      <c r="G10" s="307" t="s">
        <v>47</v>
      </c>
      <c r="H10" s="308"/>
      <c r="I10" s="309"/>
      <c r="J10" s="117" t="s">
        <v>30</v>
      </c>
      <c r="K10" s="319" t="s">
        <v>382</v>
      </c>
      <c r="L10" s="320"/>
      <c r="M10" s="320"/>
      <c r="N10" s="320"/>
      <c r="O10" s="321"/>
      <c r="Q10" s="120" t="s">
        <v>31</v>
      </c>
      <c r="R10" s="199">
        <v>100</v>
      </c>
    </row>
    <row r="11" spans="1:19" ht="17.25" thickBot="1">
      <c r="A11" s="118" t="s">
        <v>32</v>
      </c>
      <c r="B11" s="325" t="s">
        <v>383</v>
      </c>
      <c r="C11" s="326"/>
      <c r="D11" s="326"/>
      <c r="E11" s="326"/>
      <c r="F11" s="327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301"/>
      <c r="I11" s="302"/>
      <c r="J11" s="118" t="s">
        <v>32</v>
      </c>
      <c r="K11" s="325" t="s">
        <v>373</v>
      </c>
      <c r="L11" s="326"/>
      <c r="M11" s="326"/>
      <c r="N11" s="326"/>
      <c r="O11" s="327"/>
      <c r="Q11" s="220" t="s">
        <v>33</v>
      </c>
      <c r="R11" s="200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17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55555000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-3.6323266700000002E-2</v>
      </c>
      <c r="N14" s="286"/>
      <c r="O14" s="287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2021-05-13(목) 오전 00:00</v>
      </c>
      <c r="C15" s="324"/>
      <c r="D15" s="279" t="str">
        <f>TEXT($G$1, "[$-ko-KR]yyyy-mm-dd(ddd) ") &amp; "오후 14:00"</f>
        <v>2021-05-13(목) 오후 14:00</v>
      </c>
      <c r="E15" s="280"/>
      <c r="F15" s="281"/>
      <c r="G15" s="279" t="str">
        <f>TEXT($G$1, "[$-ko-KR]yyyy-mm-dd(ddd) ") &amp; "오후 19:00"</f>
        <v>2021-05-13(목) 오후 19:00</v>
      </c>
      <c r="H15" s="280"/>
      <c r="I15" s="281"/>
      <c r="J15" s="279" t="str">
        <f>TEXT($G$1, "[$-ko-KR]yyyy-mm-dd(ddd) ") &amp; "오후 21:00"</f>
        <v>2021-05-13(목) 오후 21:00</v>
      </c>
      <c r="K15" s="280"/>
      <c r="L15" s="281"/>
      <c r="M15" s="279" t="str">
        <f>TEXT($G$1+1, "[$-ko-KR]yyyy-mm-dd(ddd) ") &amp; "오전 00:00"</f>
        <v>2021-05-14(금) 오전 00:00</v>
      </c>
      <c r="N15" s="280"/>
      <c r="O15" s="281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268"/>
      <c r="R16" s="268"/>
      <c r="S16" s="268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278"/>
      <c r="R17" s="278"/>
      <c r="S17" s="278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278"/>
      <c r="R18" s="278"/>
      <c r="S18" s="278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268"/>
      <c r="R19" s="268"/>
      <c r="S19" s="268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268"/>
      <c r="R20" s="268"/>
      <c r="S20" s="268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268"/>
      <c r="R21" s="268"/>
      <c r="S21" s="268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268"/>
      <c r="R22" s="268"/>
      <c r="S22" s="268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268"/>
      <c r="R23" s="268"/>
      <c r="S23" s="268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268"/>
      <c r="R24" s="268"/>
      <c r="S24" s="268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269"/>
      <c r="R26" s="270"/>
      <c r="S26" s="271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272"/>
      <c r="R27" s="273"/>
      <c r="S27" s="274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275"/>
      <c r="R28" s="276"/>
      <c r="S28" s="277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268"/>
      <c r="R29" s="268"/>
      <c r="S29" s="268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278"/>
      <c r="R30" s="278"/>
      <c r="S30" s="278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278"/>
      <c r="R31" s="278"/>
      <c r="S31" s="278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268"/>
      <c r="R32" s="268"/>
      <c r="S32" s="268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268"/>
      <c r="R33" s="268"/>
      <c r="S33" s="268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268"/>
      <c r="R34" s="268"/>
      <c r="S34" s="268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257"/>
      <c r="R35" s="258"/>
      <c r="S35" s="259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260"/>
      <c r="R36" s="261"/>
      <c r="S36" s="262"/>
    </row>
    <row r="37" spans="1:19" ht="17.25" customHeight="1" thickBot="1">
      <c r="A37" s="131" t="s">
        <v>42</v>
      </c>
      <c r="B37" s="330">
        <v>150000</v>
      </c>
      <c r="C37" s="331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17" t="s">
        <v>298</v>
      </c>
      <c r="B41" s="279" t="s">
        <v>49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55555000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-3.6323266700000002E-2</v>
      </c>
      <c r="N41" s="286"/>
      <c r="O41" s="287"/>
      <c r="Q41" s="278"/>
      <c r="R41" s="278"/>
      <c r="S41" s="278"/>
    </row>
    <row r="42" spans="1:19" ht="17.25" customHeight="1" thickBot="1">
      <c r="A42" s="332" t="s">
        <v>55</v>
      </c>
      <c r="B42" s="328" t="str">
        <f>TEXT($G$1, "[$-ko-KR]yyyy-mm-dd(ddd) ") &amp; "오전 00:00"</f>
        <v>2021-05-13(목) 오전 00:00</v>
      </c>
      <c r="C42" s="329"/>
      <c r="D42" s="279" t="str">
        <f>TEXT($G$1, "[$-ko-KR]yyyy-mm-dd(ddd) ") &amp; "오후 14:00"</f>
        <v>2021-05-13(목) 오후 14:00</v>
      </c>
      <c r="E42" s="280"/>
      <c r="F42" s="281"/>
      <c r="G42" s="279" t="str">
        <f>TEXT($G$1, "[$-ko-KR]yyyy-mm-dd(ddd) ") &amp; "오후 19:00"</f>
        <v>2021-05-13(목) 오후 19:00</v>
      </c>
      <c r="H42" s="280"/>
      <c r="I42" s="281"/>
      <c r="J42" s="279" t="str">
        <f>TEXT($G$1, "[$-ko-KR]yyyy-mm-dd(ddd) ") &amp; "오후 21:00"</f>
        <v>2021-05-13(목) 오후 21:00</v>
      </c>
      <c r="K42" s="280"/>
      <c r="L42" s="281"/>
      <c r="M42" s="279" t="str">
        <f>TEXT($G$1+1, "[$-ko-KR]yyyy-mm-dd(ddd) ") &amp; "오전 00:00"</f>
        <v>2021-05-14(금) 오전 00:00</v>
      </c>
      <c r="N42" s="280"/>
      <c r="O42" s="281"/>
      <c r="Q42" s="278"/>
      <c r="R42" s="278"/>
      <c r="S42" s="278"/>
    </row>
    <row r="43" spans="1:19" ht="17.25" customHeight="1" thickBot="1">
      <c r="A43" s="333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268"/>
      <c r="R43" s="268"/>
      <c r="S43" s="268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278"/>
      <c r="R44" s="278"/>
      <c r="S44" s="278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278"/>
      <c r="R45" s="278"/>
      <c r="S45" s="278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268"/>
      <c r="R46" s="268"/>
      <c r="S46" s="268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268"/>
      <c r="R47" s="268"/>
      <c r="S47" s="268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268"/>
      <c r="R48" s="268"/>
      <c r="S48" s="268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268"/>
      <c r="R49" s="268"/>
      <c r="S49" s="268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268"/>
      <c r="R50" s="268"/>
      <c r="S50" s="268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268"/>
      <c r="R51" s="268"/>
      <c r="S51" s="268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269"/>
      <c r="R53" s="270"/>
      <c r="S53" s="271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272"/>
      <c r="R54" s="273"/>
      <c r="S54" s="274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275"/>
      <c r="R55" s="276"/>
      <c r="S55" s="277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268"/>
      <c r="R56" s="268"/>
      <c r="S56" s="268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278"/>
      <c r="R57" s="278"/>
      <c r="S57" s="278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278"/>
      <c r="R58" s="278"/>
      <c r="S58" s="278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268"/>
      <c r="R59" s="268"/>
      <c r="S59" s="268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268"/>
      <c r="R60" s="268"/>
      <c r="S60" s="268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268"/>
      <c r="R61" s="268"/>
      <c r="S61" s="268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257"/>
      <c r="R62" s="258"/>
      <c r="S62" s="259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260"/>
      <c r="R63" s="261"/>
      <c r="S63" s="262"/>
    </row>
    <row r="64" spans="1:19" ht="17.25" customHeight="1" thickBot="1">
      <c r="A64" s="131" t="s">
        <v>301</v>
      </c>
      <c r="B64" s="330">
        <f>$B$37</f>
        <v>150000</v>
      </c>
      <c r="C64" s="331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17" t="s">
        <v>298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55555000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-3.6323266700000002E-2</v>
      </c>
      <c r="N68" s="286"/>
      <c r="O68" s="287"/>
      <c r="Q68" s="278"/>
      <c r="R68" s="278"/>
      <c r="S68" s="278"/>
    </row>
    <row r="69" spans="1:19" ht="17.25" thickBot="1">
      <c r="A69" s="332" t="s">
        <v>55</v>
      </c>
      <c r="B69" s="328" t="str">
        <f>TEXT($G$1, "[$-ko-KR]yyyy-mm-dd(ddd) ") &amp; "오전 00:00"</f>
        <v>2021-05-13(목) 오전 00:00</v>
      </c>
      <c r="C69" s="329"/>
      <c r="D69" s="279" t="str">
        <f>TEXT($G$1, "[$-ko-KR]yyyy-mm-dd(ddd) ") &amp; "오후 14:00"</f>
        <v>2021-05-13(목) 오후 14:00</v>
      </c>
      <c r="E69" s="280"/>
      <c r="F69" s="281"/>
      <c r="G69" s="279" t="str">
        <f>TEXT($G$1, "[$-ko-KR]yyyy-mm-dd(ddd) ") &amp; "오후 19:00"</f>
        <v>2021-05-13(목) 오후 19:00</v>
      </c>
      <c r="H69" s="280"/>
      <c r="I69" s="281"/>
      <c r="J69" s="279" t="str">
        <f>TEXT($G$1, "[$-ko-KR]yyyy-mm-dd(ddd) ") &amp; "오후 21:00"</f>
        <v>2021-05-13(목) 오후 21:00</v>
      </c>
      <c r="K69" s="280"/>
      <c r="L69" s="281"/>
      <c r="M69" s="279" t="str">
        <f>TEXT($G$1+1, "[$-ko-KR]yyyy-mm-dd(ddd) ") &amp; "오전 00:00"</f>
        <v>2021-05-14(금) 오전 00:00</v>
      </c>
      <c r="N69" s="280"/>
      <c r="O69" s="281"/>
      <c r="Q69" s="278"/>
      <c r="R69" s="278"/>
      <c r="S69" s="278"/>
    </row>
    <row r="70" spans="1:19" ht="17.25" thickBot="1">
      <c r="A70" s="333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268"/>
      <c r="R70" s="268"/>
      <c r="S70" s="268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278"/>
      <c r="R71" s="278"/>
      <c r="S71" s="278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278"/>
      <c r="R72" s="278"/>
      <c r="S72" s="278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268"/>
      <c r="R73" s="268"/>
      <c r="S73" s="268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268"/>
      <c r="R74" s="268"/>
      <c r="S74" s="268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268"/>
      <c r="R75" s="268"/>
      <c r="S75" s="268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268"/>
      <c r="R76" s="268"/>
      <c r="S76" s="268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268"/>
      <c r="R77" s="268"/>
      <c r="S77" s="268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268"/>
      <c r="R78" s="268"/>
      <c r="S78" s="268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269"/>
      <c r="R80" s="270"/>
      <c r="S80" s="271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272"/>
      <c r="R81" s="273"/>
      <c r="S81" s="274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275"/>
      <c r="R82" s="276"/>
      <c r="S82" s="277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268"/>
      <c r="R83" s="268"/>
      <c r="S83" s="268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278"/>
      <c r="R84" s="278"/>
      <c r="S84" s="278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278"/>
      <c r="R85" s="278"/>
      <c r="S85" s="278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268"/>
      <c r="R86" s="268"/>
      <c r="S86" s="268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268"/>
      <c r="R87" s="268"/>
      <c r="S87" s="268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268"/>
      <c r="R88" s="268"/>
      <c r="S88" s="268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257"/>
      <c r="R89" s="258"/>
      <c r="S89" s="259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260"/>
      <c r="R90" s="261"/>
      <c r="S90" s="262"/>
    </row>
    <row r="91" spans="1:19" ht="17.25" thickBot="1">
      <c r="A91" s="131" t="s">
        <v>301</v>
      </c>
      <c r="B91" s="330">
        <f>$B$37</f>
        <v>150000</v>
      </c>
      <c r="C91" s="331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17" t="s">
        <v>298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55555000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-3.6323266700000002E-2</v>
      </c>
      <c r="N95" s="286"/>
      <c r="O95" s="287"/>
      <c r="Q95" s="278"/>
      <c r="R95" s="278"/>
      <c r="S95" s="278"/>
    </row>
    <row r="96" spans="1:19" ht="17.25" thickBot="1">
      <c r="A96" s="332" t="s">
        <v>55</v>
      </c>
      <c r="B96" s="328" t="str">
        <f>TEXT($G$1, "[$-ko-KR]yyyy-mm-dd(ddd) ") &amp; "오전 00:00"</f>
        <v>2021-05-13(목) 오전 00:00</v>
      </c>
      <c r="C96" s="329"/>
      <c r="D96" s="279" t="str">
        <f>TEXT($G$1, "[$-ko-KR]yyyy-mm-dd(ddd) ") &amp; "오후 14:00"</f>
        <v>2021-05-13(목) 오후 14:00</v>
      </c>
      <c r="E96" s="280"/>
      <c r="F96" s="281"/>
      <c r="G96" s="279" t="str">
        <f>TEXT($G$1, "[$-ko-KR]yyyy-mm-dd(ddd) ") &amp; "오후 19:00"</f>
        <v>2021-05-13(목) 오후 19:00</v>
      </c>
      <c r="H96" s="280"/>
      <c r="I96" s="281"/>
      <c r="J96" s="279" t="str">
        <f>TEXT($G$1, "[$-ko-KR]yyyy-mm-dd(ddd) ") &amp; "오후 21:00"</f>
        <v>2021-05-13(목) 오후 21:00</v>
      </c>
      <c r="K96" s="280"/>
      <c r="L96" s="281"/>
      <c r="M96" s="279" t="str">
        <f>TEXT($G$1+1, "[$-ko-KR]yyyy-mm-dd(ddd) ") &amp; "오전 00:00"</f>
        <v>2021-05-14(금) 오전 00:00</v>
      </c>
      <c r="N96" s="280"/>
      <c r="O96" s="281"/>
      <c r="Q96" s="278"/>
      <c r="R96" s="278"/>
      <c r="S96" s="278"/>
    </row>
    <row r="97" spans="1:19" ht="17.25" thickBot="1">
      <c r="A97" s="333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268"/>
      <c r="R97" s="268"/>
      <c r="S97" s="268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278"/>
      <c r="R98" s="278"/>
      <c r="S98" s="278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278"/>
      <c r="R99" s="278"/>
      <c r="S99" s="278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268"/>
      <c r="R100" s="268"/>
      <c r="S100" s="268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268"/>
      <c r="R101" s="268"/>
      <c r="S101" s="268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268"/>
      <c r="R102" s="268"/>
      <c r="S102" s="268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268"/>
      <c r="R103" s="268"/>
      <c r="S103" s="268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268"/>
      <c r="R104" s="268"/>
      <c r="S104" s="268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268"/>
      <c r="R105" s="268"/>
      <c r="S105" s="268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269"/>
      <c r="R107" s="270"/>
      <c r="S107" s="271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272"/>
      <c r="R108" s="273"/>
      <c r="S108" s="274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275"/>
      <c r="R109" s="276"/>
      <c r="S109" s="277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268"/>
      <c r="R110" s="268"/>
      <c r="S110" s="268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278"/>
      <c r="R111" s="278"/>
      <c r="S111" s="278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278"/>
      <c r="R112" s="278"/>
      <c r="S112" s="278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268"/>
      <c r="R113" s="268"/>
      <c r="S113" s="268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268"/>
      <c r="R114" s="268"/>
      <c r="S114" s="268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268"/>
      <c r="R115" s="268"/>
      <c r="S115" s="268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257"/>
      <c r="R116" s="258"/>
      <c r="S116" s="259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260"/>
      <c r="R117" s="261"/>
      <c r="S117" s="262"/>
    </row>
    <row r="118" spans="1:19" ht="17.25" thickBot="1">
      <c r="A118" s="131" t="s">
        <v>301</v>
      </c>
      <c r="B118" s="330">
        <f>$B$37</f>
        <v>150000</v>
      </c>
      <c r="C118" s="331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263"/>
      <c r="R118" s="264"/>
      <c r="S118" s="265"/>
    </row>
    <row r="120" spans="1:19" ht="17.25" thickBot="1"/>
    <row r="121" spans="1:19" ht="17.25" thickBot="1">
      <c r="A121" s="279" t="s">
        <v>288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17" t="s">
        <v>298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55555000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-3.6323266700000002E-2</v>
      </c>
      <c r="N122" s="286"/>
      <c r="O122" s="287"/>
      <c r="Q122" s="278"/>
      <c r="R122" s="278"/>
      <c r="S122" s="278"/>
    </row>
    <row r="123" spans="1:19" ht="17.25" thickBot="1">
      <c r="A123" s="332" t="s">
        <v>55</v>
      </c>
      <c r="B123" s="328" t="str">
        <f>TEXT($G$1, "[$-ko-KR]yyyy-mm-dd(ddd) ") &amp; "오전 00:00"</f>
        <v>2021-05-13(목) 오전 00:00</v>
      </c>
      <c r="C123" s="329"/>
      <c r="D123" s="279" t="str">
        <f>TEXT($G$1, "[$-ko-KR]yyyy-mm-dd(ddd) ") &amp; "오후 14:00"</f>
        <v>2021-05-13(목) 오후 14:00</v>
      </c>
      <c r="E123" s="280"/>
      <c r="F123" s="281"/>
      <c r="G123" s="279" t="str">
        <f>TEXT($G$1, "[$-ko-KR]yyyy-mm-dd(ddd) ") &amp; "오후 19:00"</f>
        <v>2021-05-13(목) 오후 19:00</v>
      </c>
      <c r="H123" s="280"/>
      <c r="I123" s="281"/>
      <c r="J123" s="279" t="str">
        <f>TEXT($G$1, "[$-ko-KR]yyyy-mm-dd(ddd) ") &amp; "오후 21:00"</f>
        <v>2021-05-13(목) 오후 21:00</v>
      </c>
      <c r="K123" s="280"/>
      <c r="L123" s="281"/>
      <c r="M123" s="279" t="str">
        <f>TEXT($G$1+1, "[$-ko-KR]yyyy-mm-dd(ddd) ") &amp; "오전 00:00"</f>
        <v>2021-05-14(금) 오전 00:00</v>
      </c>
      <c r="N123" s="280"/>
      <c r="O123" s="281"/>
      <c r="Q123" s="278"/>
      <c r="R123" s="278"/>
      <c r="S123" s="278"/>
    </row>
    <row r="124" spans="1:19" ht="17.25" thickBot="1">
      <c r="A124" s="333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268"/>
      <c r="R124" s="268"/>
      <c r="S124" s="268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278"/>
      <c r="R125" s="278"/>
      <c r="S125" s="278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278"/>
      <c r="R126" s="278"/>
      <c r="S126" s="278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268"/>
      <c r="R127" s="268"/>
      <c r="S127" s="268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268"/>
      <c r="R128" s="268"/>
      <c r="S128" s="268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268"/>
      <c r="R129" s="268"/>
      <c r="S129" s="268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268"/>
      <c r="R130" s="268"/>
      <c r="S130" s="268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268"/>
      <c r="R131" s="268"/>
      <c r="S131" s="268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268"/>
      <c r="R132" s="268"/>
      <c r="S132" s="268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269"/>
      <c r="R134" s="270"/>
      <c r="S134" s="271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272"/>
      <c r="R135" s="273"/>
      <c r="S135" s="274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275"/>
      <c r="R136" s="276"/>
      <c r="S136" s="277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268"/>
      <c r="R137" s="268"/>
      <c r="S137" s="268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278"/>
      <c r="R138" s="278"/>
      <c r="S138" s="278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278"/>
      <c r="R139" s="278"/>
      <c r="S139" s="278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268"/>
      <c r="R140" s="268"/>
      <c r="S140" s="268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268"/>
      <c r="R141" s="268"/>
      <c r="S141" s="268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268"/>
      <c r="R142" s="268"/>
      <c r="S142" s="268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257"/>
      <c r="R143" s="258"/>
      <c r="S143" s="259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60"/>
      <c r="R144" s="261"/>
      <c r="S144" s="262"/>
    </row>
    <row r="145" spans="1:19" ht="17.25" thickBot="1">
      <c r="A145" s="131" t="s">
        <v>301</v>
      </c>
      <c r="B145" s="330">
        <f>$B$37</f>
        <v>150000</v>
      </c>
      <c r="C145" s="331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263"/>
      <c r="R145" s="264"/>
      <c r="S145" s="265"/>
    </row>
    <row r="147" spans="1:19" ht="17.25" thickBot="1"/>
    <row r="148" spans="1:19" ht="17.25" thickBot="1">
      <c r="A148" s="279" t="s">
        <v>289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17" t="s">
        <v>298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55555000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-3.6323266700000002E-2</v>
      </c>
      <c r="N149" s="286"/>
      <c r="O149" s="287"/>
      <c r="Q149" s="278"/>
      <c r="R149" s="278"/>
      <c r="S149" s="278"/>
    </row>
    <row r="150" spans="1:19" ht="17.25" thickBot="1">
      <c r="A150" s="332" t="s">
        <v>55</v>
      </c>
      <c r="B150" s="328" t="str">
        <f>TEXT($G$1, "[$-ko-KR]yyyy-mm-dd(ddd) ") &amp; "오전 00:00"</f>
        <v>2021-05-13(목) 오전 00:00</v>
      </c>
      <c r="C150" s="329"/>
      <c r="D150" s="279" t="str">
        <f>TEXT($G$1, "[$-ko-KR]yyyy-mm-dd(ddd) ") &amp; "오후 14:00"</f>
        <v>2021-05-13(목) 오후 14:00</v>
      </c>
      <c r="E150" s="280"/>
      <c r="F150" s="281"/>
      <c r="G150" s="279" t="str">
        <f>TEXT($G$1, "[$-ko-KR]yyyy-mm-dd(ddd) ") &amp; "오후 19:00"</f>
        <v>2021-05-13(목) 오후 19:00</v>
      </c>
      <c r="H150" s="280"/>
      <c r="I150" s="281"/>
      <c r="J150" s="279" t="str">
        <f>TEXT($G$1, "[$-ko-KR]yyyy-mm-dd(ddd) ") &amp; "오후 21:00"</f>
        <v>2021-05-13(목) 오후 21:00</v>
      </c>
      <c r="K150" s="280"/>
      <c r="L150" s="281"/>
      <c r="M150" s="279" t="str">
        <f>TEXT($G$1+1, "[$-ko-KR]yyyy-mm-dd(ddd) ") &amp; "오전 00:00"</f>
        <v>2021-05-14(금) 오전 00:00</v>
      </c>
      <c r="N150" s="280"/>
      <c r="O150" s="281"/>
      <c r="Q150" s="278"/>
      <c r="R150" s="278"/>
      <c r="S150" s="278"/>
    </row>
    <row r="151" spans="1:19" ht="17.25" thickBot="1">
      <c r="A151" s="333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268"/>
      <c r="R151" s="268"/>
      <c r="S151" s="268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278"/>
      <c r="R152" s="278"/>
      <c r="S152" s="278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278"/>
      <c r="R153" s="278"/>
      <c r="S153" s="278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268"/>
      <c r="R154" s="268"/>
      <c r="S154" s="268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268"/>
      <c r="R155" s="268"/>
      <c r="S155" s="268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268"/>
      <c r="R156" s="268"/>
      <c r="S156" s="268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268"/>
      <c r="R157" s="268"/>
      <c r="S157" s="268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268"/>
      <c r="R158" s="268"/>
      <c r="S158" s="268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268"/>
      <c r="R159" s="268"/>
      <c r="S159" s="268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269"/>
      <c r="R161" s="270"/>
      <c r="S161" s="271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272"/>
      <c r="R162" s="273"/>
      <c r="S162" s="274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275"/>
      <c r="R163" s="276"/>
      <c r="S163" s="277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268"/>
      <c r="R164" s="268"/>
      <c r="S164" s="268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278"/>
      <c r="R165" s="278"/>
      <c r="S165" s="278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278"/>
      <c r="R166" s="278"/>
      <c r="S166" s="278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268"/>
      <c r="R167" s="268"/>
      <c r="S167" s="268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268"/>
      <c r="R168" s="268"/>
      <c r="S168" s="268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268"/>
      <c r="R169" s="268"/>
      <c r="S169" s="268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257"/>
      <c r="R170" s="258"/>
      <c r="S170" s="259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260"/>
      <c r="R171" s="261"/>
      <c r="S171" s="262"/>
    </row>
    <row r="172" spans="1:19" ht="17.25" thickBot="1">
      <c r="A172" s="131" t="s">
        <v>301</v>
      </c>
      <c r="B172" s="330">
        <f>$B$37</f>
        <v>150000</v>
      </c>
      <c r="C172" s="331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263"/>
      <c r="R172" s="264"/>
      <c r="S172" s="265"/>
    </row>
    <row r="174" spans="1:19" ht="17.25" thickBot="1"/>
    <row r="175" spans="1:19" ht="17.25" thickBot="1">
      <c r="A175" s="279" t="s">
        <v>285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17" t="s">
        <v>298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55555000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-3.6323266700000002E-2</v>
      </c>
      <c r="N176" s="286"/>
      <c r="O176" s="287"/>
      <c r="Q176" s="278"/>
      <c r="R176" s="278"/>
      <c r="S176" s="278"/>
    </row>
    <row r="177" spans="1:19" ht="17.25" thickBot="1">
      <c r="A177" s="332" t="s">
        <v>55</v>
      </c>
      <c r="B177" s="328" t="str">
        <f>TEXT($G$1, "[$-ko-KR]yyyy-mm-dd(ddd) ") &amp; "오전 00:00"</f>
        <v>2021-05-13(목) 오전 00:00</v>
      </c>
      <c r="C177" s="329"/>
      <c r="D177" s="279" t="str">
        <f>TEXT($G$1, "[$-ko-KR]yyyy-mm-dd(ddd) ") &amp; "오후 14:00"</f>
        <v>2021-05-13(목) 오후 14:00</v>
      </c>
      <c r="E177" s="280"/>
      <c r="F177" s="281"/>
      <c r="G177" s="279" t="str">
        <f>TEXT($G$1, "[$-ko-KR]yyyy-mm-dd(ddd) ") &amp; "오후 19:00"</f>
        <v>2021-05-13(목) 오후 19:00</v>
      </c>
      <c r="H177" s="280"/>
      <c r="I177" s="281"/>
      <c r="J177" s="279" t="str">
        <f>TEXT($G$1, "[$-ko-KR]yyyy-mm-dd(ddd) ") &amp; "오후 21:00"</f>
        <v>2021-05-13(목) 오후 21:00</v>
      </c>
      <c r="K177" s="280"/>
      <c r="L177" s="281"/>
      <c r="M177" s="279" t="str">
        <f>TEXT($G$1+1, "[$-ko-KR]yyyy-mm-dd(ddd) ") &amp; "오전 00:00"</f>
        <v>2021-05-14(금) 오전 00:00</v>
      </c>
      <c r="N177" s="280"/>
      <c r="O177" s="281"/>
      <c r="Q177" s="278"/>
      <c r="R177" s="278"/>
      <c r="S177" s="278"/>
    </row>
    <row r="178" spans="1:19" ht="17.25" thickBot="1">
      <c r="A178" s="333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268"/>
      <c r="R178" s="268"/>
      <c r="S178" s="268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278"/>
      <c r="R179" s="278"/>
      <c r="S179" s="278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278"/>
      <c r="R180" s="278"/>
      <c r="S180" s="278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268"/>
      <c r="R181" s="268"/>
      <c r="S181" s="268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268"/>
      <c r="R182" s="268"/>
      <c r="S182" s="268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268"/>
      <c r="R183" s="268"/>
      <c r="S183" s="268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268"/>
      <c r="R184" s="268"/>
      <c r="S184" s="268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268"/>
      <c r="R185" s="268"/>
      <c r="S185" s="268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268"/>
      <c r="R186" s="268"/>
      <c r="S186" s="268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269"/>
      <c r="R188" s="270"/>
      <c r="S188" s="271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272"/>
      <c r="R189" s="273"/>
      <c r="S189" s="274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275"/>
      <c r="R190" s="276"/>
      <c r="S190" s="277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268"/>
      <c r="R191" s="268"/>
      <c r="S191" s="268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278"/>
      <c r="R192" s="278"/>
      <c r="S192" s="278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278"/>
      <c r="R193" s="278"/>
      <c r="S193" s="278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268"/>
      <c r="R194" s="268"/>
      <c r="S194" s="268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268"/>
      <c r="R195" s="268"/>
      <c r="S195" s="268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268"/>
      <c r="R196" s="268"/>
      <c r="S196" s="268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257"/>
      <c r="R197" s="258"/>
      <c r="S197" s="259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260"/>
      <c r="R198" s="261"/>
      <c r="S198" s="262"/>
    </row>
    <row r="199" spans="1:19" ht="17.25" thickBot="1">
      <c r="A199" s="131" t="s">
        <v>301</v>
      </c>
      <c r="B199" s="330">
        <f>$B$37</f>
        <v>150000</v>
      </c>
      <c r="C199" s="331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263"/>
      <c r="R199" s="264"/>
      <c r="S199" s="26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44330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6" t="s">
        <v>3</v>
      </c>
      <c r="B2" s="316" t="s">
        <v>8</v>
      </c>
      <c r="C2" s="317"/>
      <c r="D2" s="317"/>
      <c r="E2" s="317"/>
      <c r="F2" s="318"/>
      <c r="G2" s="307" t="s">
        <v>46</v>
      </c>
      <c r="H2" s="308"/>
      <c r="I2" s="309"/>
      <c r="J2" s="116" t="s">
        <v>3</v>
      </c>
      <c r="K2" s="316" t="s">
        <v>376</v>
      </c>
      <c r="L2" s="317"/>
      <c r="M2" s="317"/>
      <c r="N2" s="317"/>
      <c r="O2" s="31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19" t="s">
        <v>384</v>
      </c>
      <c r="C3" s="320"/>
      <c r="D3" s="320"/>
      <c r="E3" s="320"/>
      <c r="F3" s="321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301"/>
      <c r="I3" s="302"/>
      <c r="J3" s="117" t="s">
        <v>7</v>
      </c>
      <c r="K3" s="319" t="s">
        <v>377</v>
      </c>
      <c r="L3" s="320"/>
      <c r="M3" s="320"/>
      <c r="N3" s="320"/>
      <c r="O3" s="32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19" t="s">
        <v>16</v>
      </c>
      <c r="C4" s="320"/>
      <c r="D4" s="320"/>
      <c r="E4" s="320"/>
      <c r="F4" s="321"/>
      <c r="G4" s="307" t="s">
        <v>44</v>
      </c>
      <c r="H4" s="308"/>
      <c r="I4" s="309"/>
      <c r="J4" s="117" t="s">
        <v>11</v>
      </c>
      <c r="K4" s="319" t="s">
        <v>378</v>
      </c>
      <c r="L4" s="320"/>
      <c r="M4" s="320"/>
      <c r="N4" s="320"/>
      <c r="O4" s="321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19" t="s">
        <v>374</v>
      </c>
      <c r="C5" s="320"/>
      <c r="D5" s="320"/>
      <c r="E5" s="320"/>
      <c r="F5" s="321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301"/>
      <c r="I5" s="302"/>
      <c r="J5" s="117" t="s">
        <v>15</v>
      </c>
      <c r="K5" s="319" t="s">
        <v>379</v>
      </c>
      <c r="L5" s="320"/>
      <c r="M5" s="320"/>
      <c r="N5" s="320"/>
      <c r="O5" s="321"/>
    </row>
    <row r="6" spans="1:19">
      <c r="A6" s="117" t="s">
        <v>18</v>
      </c>
      <c r="B6" s="319"/>
      <c r="C6" s="320"/>
      <c r="D6" s="320"/>
      <c r="E6" s="320"/>
      <c r="F6" s="321"/>
      <c r="G6" s="307" t="s">
        <v>45</v>
      </c>
      <c r="H6" s="308"/>
      <c r="I6" s="309"/>
      <c r="J6" s="117" t="s">
        <v>18</v>
      </c>
      <c r="K6" s="319" t="s">
        <v>380</v>
      </c>
      <c r="L6" s="320"/>
      <c r="M6" s="320"/>
      <c r="N6" s="320"/>
      <c r="O6" s="321"/>
    </row>
    <row r="7" spans="1:19" ht="17.25" thickBot="1">
      <c r="A7" s="117" t="s">
        <v>21</v>
      </c>
      <c r="B7" s="319"/>
      <c r="C7" s="320"/>
      <c r="D7" s="320"/>
      <c r="E7" s="320"/>
      <c r="F7" s="321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301"/>
      <c r="I7" s="302"/>
      <c r="J7" s="117" t="s">
        <v>21</v>
      </c>
      <c r="K7" s="319" t="s">
        <v>381</v>
      </c>
      <c r="L7" s="320"/>
      <c r="M7" s="320"/>
      <c r="N7" s="320"/>
      <c r="O7" s="321"/>
    </row>
    <row r="8" spans="1:19" ht="17.25" thickBot="1">
      <c r="A8" s="117" t="s">
        <v>24</v>
      </c>
      <c r="B8" s="319"/>
      <c r="C8" s="320"/>
      <c r="D8" s="320"/>
      <c r="E8" s="320"/>
      <c r="F8" s="321"/>
      <c r="G8" s="307" t="s">
        <v>285</v>
      </c>
      <c r="H8" s="308"/>
      <c r="I8" s="309"/>
      <c r="J8" s="117" t="s">
        <v>24</v>
      </c>
      <c r="K8" s="319"/>
      <c r="L8" s="320"/>
      <c r="M8" s="320"/>
      <c r="N8" s="320"/>
      <c r="O8" s="321"/>
      <c r="Q8" s="279" t="s">
        <v>27</v>
      </c>
      <c r="R8" s="281"/>
    </row>
    <row r="9" spans="1:19" ht="17.25" thickBot="1">
      <c r="A9" s="117" t="s">
        <v>28</v>
      </c>
      <c r="B9" s="319"/>
      <c r="C9" s="320"/>
      <c r="D9" s="320"/>
      <c r="E9" s="320"/>
      <c r="F9" s="321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301"/>
      <c r="I9" s="302"/>
      <c r="J9" s="117" t="s">
        <v>28</v>
      </c>
      <c r="K9" s="319"/>
      <c r="L9" s="320"/>
      <c r="M9" s="320"/>
      <c r="N9" s="320"/>
      <c r="O9" s="321"/>
      <c r="Q9" s="120" t="s">
        <v>29</v>
      </c>
      <c r="R9" s="199">
        <v>10</v>
      </c>
    </row>
    <row r="10" spans="1:19">
      <c r="A10" s="117" t="s">
        <v>30</v>
      </c>
      <c r="B10" s="319"/>
      <c r="C10" s="320"/>
      <c r="D10" s="320"/>
      <c r="E10" s="320"/>
      <c r="F10" s="321"/>
      <c r="G10" s="307" t="s">
        <v>47</v>
      </c>
      <c r="H10" s="308"/>
      <c r="I10" s="309"/>
      <c r="J10" s="117" t="s">
        <v>30</v>
      </c>
      <c r="K10" s="319" t="s">
        <v>382</v>
      </c>
      <c r="L10" s="320"/>
      <c r="M10" s="320"/>
      <c r="N10" s="320"/>
      <c r="O10" s="321"/>
      <c r="Q10" s="120" t="s">
        <v>31</v>
      </c>
      <c r="R10" s="199">
        <v>100</v>
      </c>
    </row>
    <row r="11" spans="1:19" ht="17.25" thickBot="1">
      <c r="A11" s="118" t="s">
        <v>32</v>
      </c>
      <c r="B11" s="325" t="s">
        <v>383</v>
      </c>
      <c r="C11" s="326"/>
      <c r="D11" s="326"/>
      <c r="E11" s="326"/>
      <c r="F11" s="327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301"/>
      <c r="I11" s="302"/>
      <c r="J11" s="118" t="s">
        <v>32</v>
      </c>
      <c r="K11" s="325" t="s">
        <v>373</v>
      </c>
      <c r="L11" s="326"/>
      <c r="M11" s="326"/>
      <c r="N11" s="326"/>
      <c r="O11" s="327"/>
      <c r="Q11" s="229" t="s">
        <v>33</v>
      </c>
      <c r="R11" s="200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25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55555000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-3.6323266700000002E-2</v>
      </c>
      <c r="N14" s="286"/>
      <c r="O14" s="287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2021-05-14(금) 오전 00:00</v>
      </c>
      <c r="C15" s="324"/>
      <c r="D15" s="279" t="str">
        <f>TEXT($G$1, "[$-ko-KR]yyyy-mm-dd(ddd) ") &amp; "오후 14:00"</f>
        <v>2021-05-14(금) 오후 14:00</v>
      </c>
      <c r="E15" s="280"/>
      <c r="F15" s="281"/>
      <c r="G15" s="279" t="str">
        <f>TEXT($G$1, "[$-ko-KR]yyyy-mm-dd(ddd) ") &amp; "오후 19:00"</f>
        <v>2021-05-14(금) 오후 19:00</v>
      </c>
      <c r="H15" s="280"/>
      <c r="I15" s="281"/>
      <c r="J15" s="279" t="str">
        <f>TEXT($G$1, "[$-ko-KR]yyyy-mm-dd(ddd) ") &amp; "오후 21:00"</f>
        <v>2021-05-14(금) 오후 21:00</v>
      </c>
      <c r="K15" s="280"/>
      <c r="L15" s="281"/>
      <c r="M15" s="279" t="str">
        <f>TEXT($G$1+1, "[$-ko-KR]yyyy-mm-dd(ddd) ") &amp; "오전 00:00"</f>
        <v>2021-05-15(토) 오전 00:00</v>
      </c>
      <c r="N15" s="280"/>
      <c r="O15" s="281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268"/>
      <c r="R16" s="268"/>
      <c r="S16" s="268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278"/>
      <c r="R17" s="278"/>
      <c r="S17" s="278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278"/>
      <c r="R18" s="278"/>
      <c r="S18" s="278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268"/>
      <c r="R19" s="268"/>
      <c r="S19" s="268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268"/>
      <c r="R20" s="268"/>
      <c r="S20" s="268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268"/>
      <c r="R21" s="268"/>
      <c r="S21" s="268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268"/>
      <c r="R22" s="268"/>
      <c r="S22" s="268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268"/>
      <c r="R23" s="268"/>
      <c r="S23" s="268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268"/>
      <c r="R24" s="268"/>
      <c r="S24" s="268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269"/>
      <c r="R26" s="270"/>
      <c r="S26" s="271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272"/>
      <c r="R27" s="273"/>
      <c r="S27" s="274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275"/>
      <c r="R28" s="276"/>
      <c r="S28" s="277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268"/>
      <c r="R29" s="268"/>
      <c r="S29" s="268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278"/>
      <c r="R30" s="278"/>
      <c r="S30" s="278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278"/>
      <c r="R31" s="278"/>
      <c r="S31" s="278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268"/>
      <c r="R32" s="268"/>
      <c r="S32" s="268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268"/>
      <c r="R33" s="268"/>
      <c r="S33" s="268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268"/>
      <c r="R34" s="268"/>
      <c r="S34" s="268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257"/>
      <c r="R35" s="258"/>
      <c r="S35" s="259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260"/>
      <c r="R36" s="261"/>
      <c r="S36" s="262"/>
    </row>
    <row r="37" spans="1:19" ht="17.25" customHeight="1" thickBot="1">
      <c r="A37" s="131" t="s">
        <v>42</v>
      </c>
      <c r="B37" s="330">
        <v>150000</v>
      </c>
      <c r="C37" s="331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25" t="s">
        <v>298</v>
      </c>
      <c r="B41" s="279" t="s">
        <v>36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55555000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-3.6323266700000002E-2</v>
      </c>
      <c r="N41" s="286"/>
      <c r="O41" s="287"/>
      <c r="Q41" s="278"/>
      <c r="R41" s="278"/>
      <c r="S41" s="278"/>
    </row>
    <row r="42" spans="1:19" ht="17.25" customHeight="1" thickBot="1">
      <c r="A42" s="332" t="s">
        <v>55</v>
      </c>
      <c r="B42" s="328" t="str">
        <f>TEXT($G$1, "[$-ko-KR]yyyy-mm-dd(ddd) ") &amp; "오전 00:00"</f>
        <v>2021-05-14(금) 오전 00:00</v>
      </c>
      <c r="C42" s="329"/>
      <c r="D42" s="279" t="str">
        <f>TEXT($G$1, "[$-ko-KR]yyyy-mm-dd(ddd) ") &amp; "오후 14:00"</f>
        <v>2021-05-14(금) 오후 14:00</v>
      </c>
      <c r="E42" s="280"/>
      <c r="F42" s="281"/>
      <c r="G42" s="279" t="str">
        <f>TEXT($G$1, "[$-ko-KR]yyyy-mm-dd(ddd) ") &amp; "오후 19:00"</f>
        <v>2021-05-14(금) 오후 19:00</v>
      </c>
      <c r="H42" s="280"/>
      <c r="I42" s="281"/>
      <c r="J42" s="279" t="str">
        <f>TEXT($G$1, "[$-ko-KR]yyyy-mm-dd(ddd) ") &amp; "오후 21:00"</f>
        <v>2021-05-14(금) 오후 21:00</v>
      </c>
      <c r="K42" s="280"/>
      <c r="L42" s="281"/>
      <c r="M42" s="279" t="str">
        <f>TEXT($G$1+1, "[$-ko-KR]yyyy-mm-dd(ddd) ") &amp; "오전 00:00"</f>
        <v>2021-05-15(토) 오전 00:00</v>
      </c>
      <c r="N42" s="280"/>
      <c r="O42" s="281"/>
      <c r="Q42" s="278"/>
      <c r="R42" s="278"/>
      <c r="S42" s="278"/>
    </row>
    <row r="43" spans="1:19" ht="17.25" customHeight="1" thickBot="1">
      <c r="A43" s="333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268"/>
      <c r="R43" s="268"/>
      <c r="S43" s="268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278"/>
      <c r="R44" s="278"/>
      <c r="S44" s="278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278"/>
      <c r="R45" s="278"/>
      <c r="S45" s="278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268"/>
      <c r="R46" s="268"/>
      <c r="S46" s="268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268"/>
      <c r="R47" s="268"/>
      <c r="S47" s="268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268"/>
      <c r="R48" s="268"/>
      <c r="S48" s="268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268"/>
      <c r="R49" s="268"/>
      <c r="S49" s="268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268"/>
      <c r="R50" s="268"/>
      <c r="S50" s="268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268"/>
      <c r="R51" s="268"/>
      <c r="S51" s="268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269"/>
      <c r="R53" s="270"/>
      <c r="S53" s="271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272"/>
      <c r="R54" s="273"/>
      <c r="S54" s="274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275"/>
      <c r="R55" s="276"/>
      <c r="S55" s="277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268"/>
      <c r="R56" s="268"/>
      <c r="S56" s="268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278"/>
      <c r="R57" s="278"/>
      <c r="S57" s="278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278"/>
      <c r="R58" s="278"/>
      <c r="S58" s="278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268"/>
      <c r="R59" s="268"/>
      <c r="S59" s="268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268"/>
      <c r="R60" s="268"/>
      <c r="S60" s="268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268"/>
      <c r="R61" s="268"/>
      <c r="S61" s="268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257"/>
      <c r="R62" s="258"/>
      <c r="S62" s="259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260"/>
      <c r="R63" s="261"/>
      <c r="S63" s="262"/>
    </row>
    <row r="64" spans="1:19" ht="17.25" customHeight="1" thickBot="1">
      <c r="A64" s="131" t="s">
        <v>301</v>
      </c>
      <c r="B64" s="330">
        <f>$B$37</f>
        <v>150000</v>
      </c>
      <c r="C64" s="331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25" t="s">
        <v>298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55555000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-3.6323266700000002E-2</v>
      </c>
      <c r="N68" s="286"/>
      <c r="O68" s="287"/>
      <c r="Q68" s="278"/>
      <c r="R68" s="278"/>
      <c r="S68" s="278"/>
    </row>
    <row r="69" spans="1:19" ht="17.25" thickBot="1">
      <c r="A69" s="332" t="s">
        <v>55</v>
      </c>
      <c r="B69" s="328" t="str">
        <f>TEXT($G$1, "[$-ko-KR]yyyy-mm-dd(ddd) ") &amp; "오전 00:00"</f>
        <v>2021-05-14(금) 오전 00:00</v>
      </c>
      <c r="C69" s="329"/>
      <c r="D69" s="279" t="str">
        <f>TEXT($G$1, "[$-ko-KR]yyyy-mm-dd(ddd) ") &amp; "오후 14:00"</f>
        <v>2021-05-14(금) 오후 14:00</v>
      </c>
      <c r="E69" s="280"/>
      <c r="F69" s="281"/>
      <c r="G69" s="279" t="str">
        <f>TEXT($G$1, "[$-ko-KR]yyyy-mm-dd(ddd) ") &amp; "오후 19:00"</f>
        <v>2021-05-14(금) 오후 19:00</v>
      </c>
      <c r="H69" s="280"/>
      <c r="I69" s="281"/>
      <c r="J69" s="279" t="str">
        <f>TEXT($G$1, "[$-ko-KR]yyyy-mm-dd(ddd) ") &amp; "오후 21:00"</f>
        <v>2021-05-14(금) 오후 21:00</v>
      </c>
      <c r="K69" s="280"/>
      <c r="L69" s="281"/>
      <c r="M69" s="279" t="str">
        <f>TEXT($G$1+1, "[$-ko-KR]yyyy-mm-dd(ddd) ") &amp; "오전 00:00"</f>
        <v>2021-05-15(토) 오전 00:00</v>
      </c>
      <c r="N69" s="280"/>
      <c r="O69" s="281"/>
      <c r="Q69" s="278"/>
      <c r="R69" s="278"/>
      <c r="S69" s="278"/>
    </row>
    <row r="70" spans="1:19" ht="17.25" thickBot="1">
      <c r="A70" s="333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268"/>
      <c r="R70" s="268"/>
      <c r="S70" s="268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278"/>
      <c r="R71" s="278"/>
      <c r="S71" s="278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278"/>
      <c r="R72" s="278"/>
      <c r="S72" s="278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268"/>
      <c r="R73" s="268"/>
      <c r="S73" s="268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268"/>
      <c r="R74" s="268"/>
      <c r="S74" s="268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268"/>
      <c r="R75" s="268"/>
      <c r="S75" s="268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268"/>
      <c r="R76" s="268"/>
      <c r="S76" s="268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268"/>
      <c r="R77" s="268"/>
      <c r="S77" s="268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268"/>
      <c r="R78" s="268"/>
      <c r="S78" s="268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269"/>
      <c r="R80" s="270"/>
      <c r="S80" s="271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272"/>
      <c r="R81" s="273"/>
      <c r="S81" s="274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275"/>
      <c r="R82" s="276"/>
      <c r="S82" s="277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268"/>
      <c r="R83" s="268"/>
      <c r="S83" s="268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278"/>
      <c r="R84" s="278"/>
      <c r="S84" s="278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278"/>
      <c r="R85" s="278"/>
      <c r="S85" s="278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268"/>
      <c r="R86" s="268"/>
      <c r="S86" s="268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268"/>
      <c r="R87" s="268"/>
      <c r="S87" s="268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268"/>
      <c r="R88" s="268"/>
      <c r="S88" s="268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257"/>
      <c r="R89" s="258"/>
      <c r="S89" s="259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260"/>
      <c r="R90" s="261"/>
      <c r="S90" s="262"/>
    </row>
    <row r="91" spans="1:19" ht="17.25" thickBot="1">
      <c r="A91" s="131" t="s">
        <v>301</v>
      </c>
      <c r="B91" s="330">
        <f>$B$37</f>
        <v>150000</v>
      </c>
      <c r="C91" s="331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25" t="s">
        <v>298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55555000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-3.6323266700000002E-2</v>
      </c>
      <c r="N95" s="286"/>
      <c r="O95" s="287"/>
      <c r="Q95" s="278"/>
      <c r="R95" s="278"/>
      <c r="S95" s="278"/>
    </row>
    <row r="96" spans="1:19" ht="17.25" thickBot="1">
      <c r="A96" s="332" t="s">
        <v>55</v>
      </c>
      <c r="B96" s="328" t="str">
        <f>TEXT($G$1, "[$-ko-KR]yyyy-mm-dd(ddd) ") &amp; "오전 00:00"</f>
        <v>2021-05-14(금) 오전 00:00</v>
      </c>
      <c r="C96" s="329"/>
      <c r="D96" s="279" t="str">
        <f>TEXT($G$1, "[$-ko-KR]yyyy-mm-dd(ddd) ") &amp; "오후 14:00"</f>
        <v>2021-05-14(금) 오후 14:00</v>
      </c>
      <c r="E96" s="280"/>
      <c r="F96" s="281"/>
      <c r="G96" s="279" t="str">
        <f>TEXT($G$1, "[$-ko-KR]yyyy-mm-dd(ddd) ") &amp; "오후 19:00"</f>
        <v>2021-05-14(금) 오후 19:00</v>
      </c>
      <c r="H96" s="280"/>
      <c r="I96" s="281"/>
      <c r="J96" s="279" t="str">
        <f>TEXT($G$1, "[$-ko-KR]yyyy-mm-dd(ddd) ") &amp; "오후 21:00"</f>
        <v>2021-05-14(금) 오후 21:00</v>
      </c>
      <c r="K96" s="280"/>
      <c r="L96" s="281"/>
      <c r="M96" s="279" t="str">
        <f>TEXT($G$1+1, "[$-ko-KR]yyyy-mm-dd(ddd) ") &amp; "오전 00:00"</f>
        <v>2021-05-15(토) 오전 00:00</v>
      </c>
      <c r="N96" s="280"/>
      <c r="O96" s="281"/>
      <c r="Q96" s="278"/>
      <c r="R96" s="278"/>
      <c r="S96" s="278"/>
    </row>
    <row r="97" spans="1:19" ht="17.25" thickBot="1">
      <c r="A97" s="333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268"/>
      <c r="R97" s="268"/>
      <c r="S97" s="268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278"/>
      <c r="R98" s="278"/>
      <c r="S98" s="278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278"/>
      <c r="R99" s="278"/>
      <c r="S99" s="278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268"/>
      <c r="R100" s="268"/>
      <c r="S100" s="268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268"/>
      <c r="R101" s="268"/>
      <c r="S101" s="268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268"/>
      <c r="R102" s="268"/>
      <c r="S102" s="268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268"/>
      <c r="R103" s="268"/>
      <c r="S103" s="268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268"/>
      <c r="R104" s="268"/>
      <c r="S104" s="268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268"/>
      <c r="R105" s="268"/>
      <c r="S105" s="268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269"/>
      <c r="R107" s="270"/>
      <c r="S107" s="271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272"/>
      <c r="R108" s="273"/>
      <c r="S108" s="274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275"/>
      <c r="R109" s="276"/>
      <c r="S109" s="277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268"/>
      <c r="R110" s="268"/>
      <c r="S110" s="268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278"/>
      <c r="R111" s="278"/>
      <c r="S111" s="278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278"/>
      <c r="R112" s="278"/>
      <c r="S112" s="278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268"/>
      <c r="R113" s="268"/>
      <c r="S113" s="268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268"/>
      <c r="R114" s="268"/>
      <c r="S114" s="268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268"/>
      <c r="R115" s="268"/>
      <c r="S115" s="268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257"/>
      <c r="R116" s="258"/>
      <c r="S116" s="259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260"/>
      <c r="R117" s="261"/>
      <c r="S117" s="262"/>
    </row>
    <row r="118" spans="1:19" ht="17.25" thickBot="1">
      <c r="A118" s="131" t="s">
        <v>301</v>
      </c>
      <c r="B118" s="330">
        <f>$B$37</f>
        <v>150000</v>
      </c>
      <c r="C118" s="331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263"/>
      <c r="R118" s="264"/>
      <c r="S118" s="265"/>
    </row>
    <row r="120" spans="1:19" ht="17.25" thickBot="1"/>
    <row r="121" spans="1:19" ht="17.25" thickBot="1">
      <c r="A121" s="279" t="s">
        <v>288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25" t="s">
        <v>298</v>
      </c>
      <c r="B122" s="279" t="s">
        <v>36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55555000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-3.6323266700000002E-2</v>
      </c>
      <c r="N122" s="286"/>
      <c r="O122" s="287"/>
      <c r="Q122" s="278"/>
      <c r="R122" s="278"/>
      <c r="S122" s="278"/>
    </row>
    <row r="123" spans="1:19" ht="17.25" thickBot="1">
      <c r="A123" s="332" t="s">
        <v>55</v>
      </c>
      <c r="B123" s="328" t="str">
        <f>TEXT($G$1, "[$-ko-KR]yyyy-mm-dd(ddd) ") &amp; "오전 00:00"</f>
        <v>2021-05-14(금) 오전 00:00</v>
      </c>
      <c r="C123" s="329"/>
      <c r="D123" s="279" t="str">
        <f>TEXT($G$1, "[$-ko-KR]yyyy-mm-dd(ddd) ") &amp; "오후 14:00"</f>
        <v>2021-05-14(금) 오후 14:00</v>
      </c>
      <c r="E123" s="280"/>
      <c r="F123" s="281"/>
      <c r="G123" s="279" t="str">
        <f>TEXT($G$1, "[$-ko-KR]yyyy-mm-dd(ddd) ") &amp; "오후 19:00"</f>
        <v>2021-05-14(금) 오후 19:00</v>
      </c>
      <c r="H123" s="280"/>
      <c r="I123" s="281"/>
      <c r="J123" s="279" t="str">
        <f>TEXT($G$1, "[$-ko-KR]yyyy-mm-dd(ddd) ") &amp; "오후 21:00"</f>
        <v>2021-05-14(금) 오후 21:00</v>
      </c>
      <c r="K123" s="280"/>
      <c r="L123" s="281"/>
      <c r="M123" s="279" t="str">
        <f>TEXT($G$1+1, "[$-ko-KR]yyyy-mm-dd(ddd) ") &amp; "오전 00:00"</f>
        <v>2021-05-15(토) 오전 00:00</v>
      </c>
      <c r="N123" s="280"/>
      <c r="O123" s="281"/>
      <c r="Q123" s="278"/>
      <c r="R123" s="278"/>
      <c r="S123" s="278"/>
    </row>
    <row r="124" spans="1:19" ht="17.25" thickBot="1">
      <c r="A124" s="333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268"/>
      <c r="R124" s="268"/>
      <c r="S124" s="268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278"/>
      <c r="R125" s="278"/>
      <c r="S125" s="278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278"/>
      <c r="R126" s="278"/>
      <c r="S126" s="278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268"/>
      <c r="R127" s="268"/>
      <c r="S127" s="268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268"/>
      <c r="R128" s="268"/>
      <c r="S128" s="268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268"/>
      <c r="R129" s="268"/>
      <c r="S129" s="268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268"/>
      <c r="R130" s="268"/>
      <c r="S130" s="268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268"/>
      <c r="R131" s="268"/>
      <c r="S131" s="268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268"/>
      <c r="R132" s="268"/>
      <c r="S132" s="268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269"/>
      <c r="R134" s="270"/>
      <c r="S134" s="271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272"/>
      <c r="R135" s="273"/>
      <c r="S135" s="274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275"/>
      <c r="R136" s="276"/>
      <c r="S136" s="277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268"/>
      <c r="R137" s="268"/>
      <c r="S137" s="268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278"/>
      <c r="R138" s="278"/>
      <c r="S138" s="278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278"/>
      <c r="R139" s="278"/>
      <c r="S139" s="278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268"/>
      <c r="R140" s="268"/>
      <c r="S140" s="268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268"/>
      <c r="R141" s="268"/>
      <c r="S141" s="268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268"/>
      <c r="R142" s="268"/>
      <c r="S142" s="268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257"/>
      <c r="R143" s="258"/>
      <c r="S143" s="259"/>
    </row>
    <row r="144" spans="1:19" ht="17.25" thickBot="1">
      <c r="A144" s="129" t="s">
        <v>404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260"/>
      <c r="R144" s="261"/>
      <c r="S144" s="262"/>
    </row>
    <row r="145" spans="1:19" ht="17.25" thickBot="1">
      <c r="A145" s="131" t="s">
        <v>301</v>
      </c>
      <c r="B145" s="330">
        <f>$B$37</f>
        <v>150000</v>
      </c>
      <c r="C145" s="331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263"/>
      <c r="R145" s="264"/>
      <c r="S145" s="265"/>
    </row>
    <row r="147" spans="1:19" ht="17.25" thickBot="1"/>
    <row r="148" spans="1:19" ht="17.25" thickBot="1">
      <c r="A148" s="279" t="s">
        <v>289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25" t="s">
        <v>298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55555000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-3.6323266700000002E-2</v>
      </c>
      <c r="N149" s="286"/>
      <c r="O149" s="287"/>
      <c r="Q149" s="278"/>
      <c r="R149" s="278"/>
      <c r="S149" s="278"/>
    </row>
    <row r="150" spans="1:19" ht="17.25" thickBot="1">
      <c r="A150" s="332" t="s">
        <v>55</v>
      </c>
      <c r="B150" s="328" t="str">
        <f>TEXT($G$1, "[$-ko-KR]yyyy-mm-dd(ddd) ") &amp; "오전 00:00"</f>
        <v>2021-05-14(금) 오전 00:00</v>
      </c>
      <c r="C150" s="329"/>
      <c r="D150" s="279" t="str">
        <f>TEXT($G$1, "[$-ko-KR]yyyy-mm-dd(ddd) ") &amp; "오후 14:00"</f>
        <v>2021-05-14(금) 오후 14:00</v>
      </c>
      <c r="E150" s="280"/>
      <c r="F150" s="281"/>
      <c r="G150" s="279" t="str">
        <f>TEXT($G$1, "[$-ko-KR]yyyy-mm-dd(ddd) ") &amp; "오후 19:00"</f>
        <v>2021-05-14(금) 오후 19:00</v>
      </c>
      <c r="H150" s="280"/>
      <c r="I150" s="281"/>
      <c r="J150" s="279" t="str">
        <f>TEXT($G$1, "[$-ko-KR]yyyy-mm-dd(ddd) ") &amp; "오후 21:00"</f>
        <v>2021-05-14(금) 오후 21:00</v>
      </c>
      <c r="K150" s="280"/>
      <c r="L150" s="281"/>
      <c r="M150" s="279" t="str">
        <f>TEXT($G$1+1, "[$-ko-KR]yyyy-mm-dd(ddd) ") &amp; "오전 00:00"</f>
        <v>2021-05-15(토) 오전 00:00</v>
      </c>
      <c r="N150" s="280"/>
      <c r="O150" s="281"/>
      <c r="Q150" s="278"/>
      <c r="R150" s="278"/>
      <c r="S150" s="278"/>
    </row>
    <row r="151" spans="1:19" ht="17.25" thickBot="1">
      <c r="A151" s="333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268"/>
      <c r="R151" s="268"/>
      <c r="S151" s="268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278"/>
      <c r="R152" s="278"/>
      <c r="S152" s="278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278"/>
      <c r="R153" s="278"/>
      <c r="S153" s="278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268"/>
      <c r="R154" s="268"/>
      <c r="S154" s="268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268"/>
      <c r="R155" s="268"/>
      <c r="S155" s="268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268"/>
      <c r="R156" s="268"/>
      <c r="S156" s="268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268"/>
      <c r="R157" s="268"/>
      <c r="S157" s="268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268"/>
      <c r="R158" s="268"/>
      <c r="S158" s="268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268"/>
      <c r="R159" s="268"/>
      <c r="S159" s="268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269"/>
      <c r="R161" s="270"/>
      <c r="S161" s="271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272"/>
      <c r="R162" s="273"/>
      <c r="S162" s="274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275"/>
      <c r="R163" s="276"/>
      <c r="S163" s="277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268"/>
      <c r="R164" s="268"/>
      <c r="S164" s="268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278"/>
      <c r="R165" s="278"/>
      <c r="S165" s="278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278"/>
      <c r="R166" s="278"/>
      <c r="S166" s="278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268"/>
      <c r="R167" s="268"/>
      <c r="S167" s="268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268"/>
      <c r="R168" s="268"/>
      <c r="S168" s="268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268"/>
      <c r="R169" s="268"/>
      <c r="S169" s="268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257"/>
      <c r="R170" s="258"/>
      <c r="S170" s="259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260"/>
      <c r="R171" s="261"/>
      <c r="S171" s="262"/>
    </row>
    <row r="172" spans="1:19" ht="17.25" thickBot="1">
      <c r="A172" s="131" t="s">
        <v>301</v>
      </c>
      <c r="B172" s="330">
        <f>$B$37</f>
        <v>150000</v>
      </c>
      <c r="C172" s="331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263"/>
      <c r="R172" s="264"/>
      <c r="S172" s="265"/>
    </row>
    <row r="174" spans="1:19" ht="17.25" thickBot="1"/>
    <row r="175" spans="1:19" ht="17.25" thickBot="1">
      <c r="A175" s="279" t="s">
        <v>285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25" t="s">
        <v>298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55555000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-3.6323266700000002E-2</v>
      </c>
      <c r="N176" s="286"/>
      <c r="O176" s="287"/>
      <c r="Q176" s="278"/>
      <c r="R176" s="278"/>
      <c r="S176" s="278"/>
    </row>
    <row r="177" spans="1:19" ht="17.25" thickBot="1">
      <c r="A177" s="332" t="s">
        <v>55</v>
      </c>
      <c r="B177" s="328" t="str">
        <f>TEXT($G$1, "[$-ko-KR]yyyy-mm-dd(ddd) ") &amp; "오전 00:00"</f>
        <v>2021-05-14(금) 오전 00:00</v>
      </c>
      <c r="C177" s="329"/>
      <c r="D177" s="279" t="str">
        <f>TEXT($G$1, "[$-ko-KR]yyyy-mm-dd(ddd) ") &amp; "오후 14:00"</f>
        <v>2021-05-14(금) 오후 14:00</v>
      </c>
      <c r="E177" s="280"/>
      <c r="F177" s="281"/>
      <c r="G177" s="279" t="str">
        <f>TEXT($G$1, "[$-ko-KR]yyyy-mm-dd(ddd) ") &amp; "오후 19:00"</f>
        <v>2021-05-14(금) 오후 19:00</v>
      </c>
      <c r="H177" s="280"/>
      <c r="I177" s="281"/>
      <c r="J177" s="279" t="str">
        <f>TEXT($G$1, "[$-ko-KR]yyyy-mm-dd(ddd) ") &amp; "오후 21:00"</f>
        <v>2021-05-14(금) 오후 21:00</v>
      </c>
      <c r="K177" s="280"/>
      <c r="L177" s="281"/>
      <c r="M177" s="279" t="str">
        <f>TEXT($G$1+1, "[$-ko-KR]yyyy-mm-dd(ddd) ") &amp; "오전 00:00"</f>
        <v>2021-05-15(토) 오전 00:00</v>
      </c>
      <c r="N177" s="280"/>
      <c r="O177" s="281"/>
      <c r="Q177" s="278"/>
      <c r="R177" s="278"/>
      <c r="S177" s="278"/>
    </row>
    <row r="178" spans="1:19" ht="17.25" thickBot="1">
      <c r="A178" s="333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268"/>
      <c r="R178" s="268"/>
      <c r="S178" s="268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278"/>
      <c r="R179" s="278"/>
      <c r="S179" s="278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278"/>
      <c r="R180" s="278"/>
      <c r="S180" s="278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268"/>
      <c r="R181" s="268"/>
      <c r="S181" s="268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268"/>
      <c r="R182" s="268"/>
      <c r="S182" s="268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268"/>
      <c r="R183" s="268"/>
      <c r="S183" s="268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268"/>
      <c r="R184" s="268"/>
      <c r="S184" s="268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268"/>
      <c r="R185" s="268"/>
      <c r="S185" s="268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268"/>
      <c r="R186" s="268"/>
      <c r="S186" s="268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269"/>
      <c r="R188" s="270"/>
      <c r="S188" s="271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272"/>
      <c r="R189" s="273"/>
      <c r="S189" s="274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275"/>
      <c r="R190" s="276"/>
      <c r="S190" s="277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268"/>
      <c r="R191" s="268"/>
      <c r="S191" s="268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278"/>
      <c r="R192" s="278"/>
      <c r="S192" s="278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278"/>
      <c r="R193" s="278"/>
      <c r="S193" s="278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268"/>
      <c r="R194" s="268"/>
      <c r="S194" s="268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268"/>
      <c r="R195" s="268"/>
      <c r="S195" s="268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268"/>
      <c r="R196" s="268"/>
      <c r="S196" s="268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257"/>
      <c r="R197" s="258"/>
      <c r="S197" s="259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260"/>
      <c r="R198" s="261"/>
      <c r="S198" s="262"/>
    </row>
    <row r="199" spans="1:19" ht="17.25" thickBot="1">
      <c r="A199" s="131" t="s">
        <v>301</v>
      </c>
      <c r="B199" s="330">
        <f>$B$37</f>
        <v>150000</v>
      </c>
      <c r="C199" s="331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topLeftCell="A9" zoomScaleNormal="100" workbookViewId="0">
      <selection activeCell="A17" sqref="A17:A3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20.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44331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6" t="s">
        <v>3</v>
      </c>
      <c r="B2" s="316" t="s">
        <v>8</v>
      </c>
      <c r="C2" s="317"/>
      <c r="D2" s="317"/>
      <c r="E2" s="317"/>
      <c r="F2" s="318"/>
      <c r="G2" s="307" t="s">
        <v>46</v>
      </c>
      <c r="H2" s="308"/>
      <c r="I2" s="309"/>
      <c r="J2" s="116" t="s">
        <v>3</v>
      </c>
      <c r="K2" s="316" t="s">
        <v>376</v>
      </c>
      <c r="L2" s="317"/>
      <c r="M2" s="317"/>
      <c r="N2" s="317"/>
      <c r="O2" s="31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19" t="s">
        <v>384</v>
      </c>
      <c r="C3" s="320"/>
      <c r="D3" s="320"/>
      <c r="E3" s="320"/>
      <c r="F3" s="321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-40,532 KRW (-1.35%)</v>
      </c>
      <c r="H3" s="301"/>
      <c r="I3" s="302"/>
      <c r="J3" s="117" t="s">
        <v>7</v>
      </c>
      <c r="K3" s="319" t="s">
        <v>377</v>
      </c>
      <c r="L3" s="320"/>
      <c r="M3" s="320"/>
      <c r="N3" s="320"/>
      <c r="O3" s="32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19" t="s">
        <v>16</v>
      </c>
      <c r="C4" s="320"/>
      <c r="D4" s="320"/>
      <c r="E4" s="320"/>
      <c r="F4" s="321"/>
      <c r="G4" s="307" t="s">
        <v>44</v>
      </c>
      <c r="H4" s="308"/>
      <c r="I4" s="309"/>
      <c r="J4" s="117" t="s">
        <v>11</v>
      </c>
      <c r="K4" s="319" t="s">
        <v>378</v>
      </c>
      <c r="L4" s="320"/>
      <c r="M4" s="320"/>
      <c r="N4" s="320"/>
      <c r="O4" s="321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319" t="s">
        <v>374</v>
      </c>
      <c r="C5" s="320"/>
      <c r="D5" s="320"/>
      <c r="E5" s="320"/>
      <c r="F5" s="321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-50,414 KRW (-1.68%)</v>
      </c>
      <c r="H5" s="301"/>
      <c r="I5" s="302"/>
      <c r="J5" s="117" t="s">
        <v>15</v>
      </c>
      <c r="K5" s="319" t="s">
        <v>379</v>
      </c>
      <c r="L5" s="320"/>
      <c r="M5" s="320"/>
      <c r="N5" s="320"/>
      <c r="O5" s="321"/>
    </row>
    <row r="6" spans="1:19">
      <c r="A6" s="117" t="s">
        <v>18</v>
      </c>
      <c r="B6" s="319"/>
      <c r="C6" s="320"/>
      <c r="D6" s="320"/>
      <c r="E6" s="320"/>
      <c r="F6" s="321"/>
      <c r="G6" s="307" t="s">
        <v>45</v>
      </c>
      <c r="H6" s="308"/>
      <c r="I6" s="309"/>
      <c r="J6" s="117" t="s">
        <v>18</v>
      </c>
      <c r="K6" s="319" t="s">
        <v>380</v>
      </c>
      <c r="L6" s="320"/>
      <c r="M6" s="320"/>
      <c r="N6" s="320"/>
      <c r="O6" s="321"/>
    </row>
    <row r="7" spans="1:19" ht="17.25" thickBot="1">
      <c r="A7" s="117" t="s">
        <v>21</v>
      </c>
      <c r="B7" s="319"/>
      <c r="C7" s="320"/>
      <c r="D7" s="320"/>
      <c r="E7" s="320"/>
      <c r="F7" s="321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-15,958 KRW (-0.53%)</v>
      </c>
      <c r="H7" s="301"/>
      <c r="I7" s="302"/>
      <c r="J7" s="117" t="s">
        <v>21</v>
      </c>
      <c r="K7" s="319" t="s">
        <v>381</v>
      </c>
      <c r="L7" s="320"/>
      <c r="M7" s="320"/>
      <c r="N7" s="320"/>
      <c r="O7" s="321"/>
    </row>
    <row r="8" spans="1:19" ht="17.25" thickBot="1">
      <c r="A8" s="117" t="s">
        <v>24</v>
      </c>
      <c r="B8" s="319"/>
      <c r="C8" s="320"/>
      <c r="D8" s="320"/>
      <c r="E8" s="320"/>
      <c r="F8" s="321"/>
      <c r="G8" s="307" t="s">
        <v>285</v>
      </c>
      <c r="H8" s="308"/>
      <c r="I8" s="309"/>
      <c r="J8" s="117" t="s">
        <v>24</v>
      </c>
      <c r="K8" s="319"/>
      <c r="L8" s="320"/>
      <c r="M8" s="320"/>
      <c r="N8" s="320"/>
      <c r="O8" s="321"/>
      <c r="Q8" s="279" t="s">
        <v>27</v>
      </c>
      <c r="R8" s="281"/>
    </row>
    <row r="9" spans="1:19" ht="17.25" thickBot="1">
      <c r="A9" s="117" t="s">
        <v>28</v>
      </c>
      <c r="B9" s="319"/>
      <c r="C9" s="320"/>
      <c r="D9" s="320"/>
      <c r="E9" s="320"/>
      <c r="F9" s="321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-9,858 KRW (-0.33%)</v>
      </c>
      <c r="H9" s="301"/>
      <c r="I9" s="302"/>
      <c r="J9" s="117" t="s">
        <v>28</v>
      </c>
      <c r="K9" s="319"/>
      <c r="L9" s="320"/>
      <c r="M9" s="320"/>
      <c r="N9" s="320"/>
      <c r="O9" s="321"/>
      <c r="Q9" s="120" t="s">
        <v>29</v>
      </c>
      <c r="R9" s="199">
        <v>10</v>
      </c>
    </row>
    <row r="10" spans="1:19">
      <c r="A10" s="117" t="s">
        <v>30</v>
      </c>
      <c r="B10" s="319"/>
      <c r="C10" s="320"/>
      <c r="D10" s="320"/>
      <c r="E10" s="320"/>
      <c r="F10" s="321"/>
      <c r="G10" s="307" t="s">
        <v>47</v>
      </c>
      <c r="H10" s="308"/>
      <c r="I10" s="309"/>
      <c r="J10" s="117" t="s">
        <v>30</v>
      </c>
      <c r="K10" s="319" t="s">
        <v>382</v>
      </c>
      <c r="L10" s="320"/>
      <c r="M10" s="320"/>
      <c r="N10" s="320"/>
      <c r="O10" s="321"/>
      <c r="Q10" s="120" t="s">
        <v>31</v>
      </c>
      <c r="R10" s="199">
        <v>100</v>
      </c>
    </row>
    <row r="11" spans="1:19" ht="17.25" thickBot="1">
      <c r="A11" s="118" t="s">
        <v>32</v>
      </c>
      <c r="B11" s="325" t="s">
        <v>383</v>
      </c>
      <c r="C11" s="326"/>
      <c r="D11" s="326"/>
      <c r="E11" s="326"/>
      <c r="F11" s="327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10,262 KRW (0.38%)</v>
      </c>
      <c r="H11" s="301"/>
      <c r="I11" s="302"/>
      <c r="J11" s="118" t="s">
        <v>32</v>
      </c>
      <c r="K11" s="325" t="s">
        <v>373</v>
      </c>
      <c r="L11" s="326"/>
      <c r="M11" s="326"/>
      <c r="N11" s="326"/>
      <c r="O11" s="327"/>
      <c r="Q11" s="237" t="s">
        <v>33</v>
      </c>
      <c r="R11" s="200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33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55555000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-3.6323266700000002E-2</v>
      </c>
      <c r="N14" s="286"/>
      <c r="O14" s="287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2021-05-15(토) 오전 00:00</v>
      </c>
      <c r="C15" s="324"/>
      <c r="D15" s="279" t="str">
        <f>TEXT($G$1, "[$-ko-KR]yyyy-mm-dd(ddd) ") &amp; "오후 14:00"</f>
        <v>2021-05-15(토) 오후 14:00</v>
      </c>
      <c r="E15" s="280"/>
      <c r="F15" s="281"/>
      <c r="G15" s="279" t="str">
        <f>TEXT($G$1, "[$-ko-KR]yyyy-mm-dd(ddd) ") &amp; "오후 19:00"</f>
        <v>2021-05-15(토) 오후 19:00</v>
      </c>
      <c r="H15" s="280"/>
      <c r="I15" s="281"/>
      <c r="J15" s="279" t="str">
        <f>TEXT($G$1, "[$-ko-KR]yyyy-mm-dd(ddd) ") &amp; "오후 21:00"</f>
        <v>2021-05-15(토) 오후 21:00</v>
      </c>
      <c r="K15" s="280"/>
      <c r="L15" s="281"/>
      <c r="M15" s="279" t="str">
        <f>TEXT($G$1+1, "[$-ko-KR]yyyy-mm-dd(ddd) ") &amp; "오전 00:00"</f>
        <v>2021-05-16(일) 오전 00:00</v>
      </c>
      <c r="N15" s="280"/>
      <c r="O15" s="281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268"/>
      <c r="R16" s="268"/>
      <c r="S16" s="268"/>
    </row>
    <row r="17" spans="1:19" ht="17.25" customHeight="1" thickBot="1">
      <c r="A17" s="122" t="s">
        <v>134</v>
      </c>
      <c r="B17" s="123">
        <f t="shared" ref="B17:B28" si="0">IF(NOT(ISBLANK(_xlfn.IFNA(VLOOKUP($A17, $A$40:$O$199, 2, FALSE), ))), _xlfn.IFNA(VLOOKUP($A17, $A$40:$O$199, 2, FALSE), ), "")</f>
        <v>144</v>
      </c>
      <c r="C17" s="72">
        <f t="shared" ref="C17:C28" si="1">IF(NOT(ISBLANK(_xlfn.IFNA(VLOOKUP($A17, $A$40:$O$199, 3, FALSE), ))), _xlfn.IFNA(VLOOKUP($A17, $A$40:$O$199, 3, FALSE), ), "")</f>
        <v>6.9930069999999999E-3</v>
      </c>
      <c r="D17" s="123">
        <f t="shared" ref="D17:D28" si="2">IF(NOT(ISBLANK(_xlfn.IFNA(VLOOKUP($A17, $A$40:$O$199, 4, FALSE), ))), _xlfn.IFNA(VLOOKUP($A17, $A$40:$O$199, 4, FALSE), ), "")</f>
        <v>145</v>
      </c>
      <c r="E17" s="72">
        <f t="shared" ref="E17:E28" si="3">IF(NOT(ISBLANK(_xlfn.IFNA(VLOOKUP($A17, $A$40:$O$199, 5, FALSE), ))), _xlfn.IFNA(VLOOKUP($A17, $A$40:$O$199, 5, FALSE), ), "")</f>
        <v>6.9444444444444441E-3</v>
      </c>
      <c r="F17" s="140">
        <f t="shared" ref="F17:F28" si="4">IF(NOT(ISBLANK(_xlfn.IFNA(VLOOKUP($A17, $A$40:$O$199, 6, FALSE), ))), _xlfn.IFNA(VLOOKUP($A17, $A$40:$O$199, 6, FALSE), ), "")</f>
        <v>1041.6666666666665</v>
      </c>
      <c r="G17" s="38">
        <f t="shared" ref="G17:G28" si="5">IF(NOT(ISBLANK(_xlfn.IFNA(VLOOKUP($A17, $A$40:$O$199, 7, FALSE), ))), _xlfn.IFNA(VLOOKUP($A17, $A$40:$O$199, 7, FALSE), ), "")</f>
        <v>141</v>
      </c>
      <c r="H17" s="72">
        <f t="shared" ref="H17:H28" si="6">IF(NOT(ISBLANK(_xlfn.IFNA(VLOOKUP($A17, $A$40:$O$199, 8, FALSE), ))), _xlfn.IFNA(VLOOKUP($A17, $A$40:$O$199, 8, FALSE), ), "")</f>
        <v>-2.0833333333333332E-2</v>
      </c>
      <c r="I17" s="201">
        <f t="shared" ref="I17:I28" si="7">IF(NOT(ISBLANK(_xlfn.IFNA(VLOOKUP($A17, $A$40:$O$199, 9, FALSE), ))), _xlfn.IFNA(VLOOKUP($A17, $A$40:$O$199, 9, FALSE), ), "")</f>
        <v>-3125</v>
      </c>
      <c r="J17" s="123">
        <f t="shared" ref="J17:J28" si="8">IF(NOT(ISBLANK(_xlfn.IFNA(VLOOKUP($A17, $A$40:$O$199, 10, FALSE), ))), _xlfn.IFNA(VLOOKUP($A17, $A$40:$O$199, 10, FALSE), ), "")</f>
        <v>141</v>
      </c>
      <c r="K17" s="72">
        <f t="shared" ref="K17:K28" si="9">IF(NOT(ISBLANK(_xlfn.IFNA(VLOOKUP($A17, $A$40:$O$199, 11, FALSE), ))), _xlfn.IFNA(VLOOKUP($A17, $A$40:$O$199, 11, FALSE), ), "")</f>
        <v>-2.0833333333333332E-2</v>
      </c>
      <c r="L17" s="140">
        <f t="shared" ref="L17:L28" si="10">IF(NOT(ISBLANK(_xlfn.IFNA(VLOOKUP($A17, $A$40:$O$199, 12, FALSE), ))), _xlfn.IFNA(VLOOKUP($A17, $A$40:$O$199, 12, FALSE), ), "")</f>
        <v>-3125</v>
      </c>
      <c r="M17" s="38">
        <f t="shared" ref="M17:M28" si="11">IF(NOT(ISBLANK(_xlfn.IFNA(VLOOKUP($A17, $A$40:$O$199, 13, FALSE), ))), _xlfn.IFNA(VLOOKUP($A17, $A$40:$O$199, 13, FALSE), ), "")</f>
        <v>142</v>
      </c>
      <c r="N17" s="72">
        <f t="shared" ref="N17:N28" si="12">IF(NOT(ISBLANK(_xlfn.IFNA(VLOOKUP($A17, $A$40:$O$199, 14, FALSE), ))), _xlfn.IFNA(VLOOKUP($A17, $A$40:$O$199, 14, FALSE), ), "")</f>
        <v>-1.3888888888888888E-2</v>
      </c>
      <c r="O17" s="140">
        <f t="shared" ref="O17:O28" si="13">IF(NOT(ISBLANK(_xlfn.IFNA(VLOOKUP($A17, $A$40:$O$199, 15, FALSE), ))), _xlfn.IFNA(VLOOKUP($A17, $A$40:$O$199, 15, FALSE), ), "")</f>
        <v>-2083.333333333333</v>
      </c>
      <c r="Q17" s="278"/>
      <c r="R17" s="278"/>
      <c r="S17" s="278"/>
    </row>
    <row r="18" spans="1:19" ht="17.25" customHeight="1" thickBot="1">
      <c r="A18" s="124" t="s">
        <v>120</v>
      </c>
      <c r="B18" s="125">
        <f t="shared" si="0"/>
        <v>204</v>
      </c>
      <c r="C18" s="73">
        <f t="shared" si="1"/>
        <v>-9.7087379000000001E-3</v>
      </c>
      <c r="D18" s="125">
        <f t="shared" si="2"/>
        <v>202</v>
      </c>
      <c r="E18" s="73">
        <f t="shared" si="3"/>
        <v>-9.8039215686274508E-3</v>
      </c>
      <c r="F18" s="136">
        <f t="shared" si="4"/>
        <v>-1470.5882352941176</v>
      </c>
      <c r="G18" s="39">
        <f t="shared" si="5"/>
        <v>196</v>
      </c>
      <c r="H18" s="73">
        <f t="shared" si="6"/>
        <v>-3.9215686274509803E-2</v>
      </c>
      <c r="I18" s="202">
        <f t="shared" si="7"/>
        <v>-5882.3529411764703</v>
      </c>
      <c r="J18" s="125">
        <f t="shared" si="8"/>
        <v>198</v>
      </c>
      <c r="K18" s="73">
        <f t="shared" si="9"/>
        <v>-2.9411764705882353E-2</v>
      </c>
      <c r="L18" s="136">
        <f t="shared" si="10"/>
        <v>-4411.7647058823532</v>
      </c>
      <c r="M18" s="39">
        <f t="shared" si="11"/>
        <v>199</v>
      </c>
      <c r="N18" s="73">
        <f t="shared" si="12"/>
        <v>-2.4509803921568627E-2</v>
      </c>
      <c r="O18" s="136">
        <f t="shared" si="13"/>
        <v>-3676.4705882352941</v>
      </c>
      <c r="Q18" s="278"/>
      <c r="R18" s="278"/>
      <c r="S18" s="278"/>
    </row>
    <row r="19" spans="1:19" ht="17.25" customHeight="1" thickBot="1">
      <c r="A19" s="124" t="s">
        <v>264</v>
      </c>
      <c r="B19" s="125">
        <f t="shared" si="0"/>
        <v>149</v>
      </c>
      <c r="C19" s="73">
        <f t="shared" si="1"/>
        <v>6.7567568000000003E-3</v>
      </c>
      <c r="D19" s="125">
        <f t="shared" si="2"/>
        <v>150</v>
      </c>
      <c r="E19" s="73">
        <f t="shared" si="3"/>
        <v>6.7114093959731542E-3</v>
      </c>
      <c r="F19" s="136">
        <f t="shared" si="4"/>
        <v>1006.7114093959731</v>
      </c>
      <c r="G19" s="39">
        <f t="shared" si="5"/>
        <v>145</v>
      </c>
      <c r="H19" s="73">
        <f t="shared" si="6"/>
        <v>-2.6845637583892617E-2</v>
      </c>
      <c r="I19" s="202">
        <f t="shared" si="7"/>
        <v>-4026.8456375838923</v>
      </c>
      <c r="J19" s="125">
        <f t="shared" si="8"/>
        <v>147</v>
      </c>
      <c r="K19" s="73">
        <f t="shared" si="9"/>
        <v>-1.3422818791946308E-2</v>
      </c>
      <c r="L19" s="136">
        <f t="shared" si="10"/>
        <v>-2013.4228187919462</v>
      </c>
      <c r="M19" s="39">
        <f t="shared" si="11"/>
        <v>147</v>
      </c>
      <c r="N19" s="73">
        <f t="shared" si="12"/>
        <v>-1.3422818791946308E-2</v>
      </c>
      <c r="O19" s="136">
        <f t="shared" si="13"/>
        <v>-2013.4228187919462</v>
      </c>
      <c r="Q19" s="268"/>
      <c r="R19" s="268"/>
      <c r="S19" s="268"/>
    </row>
    <row r="20" spans="1:19" ht="17.25" customHeight="1" thickBot="1">
      <c r="A20" s="124" t="s">
        <v>230</v>
      </c>
      <c r="B20" s="125">
        <f t="shared" si="0"/>
        <v>146</v>
      </c>
      <c r="C20" s="73">
        <f t="shared" si="1"/>
        <v>-6.8027210999999999E-3</v>
      </c>
      <c r="D20" s="125">
        <f t="shared" si="2"/>
        <v>159</v>
      </c>
      <c r="E20" s="73">
        <f t="shared" si="3"/>
        <v>8.9041095890410954E-2</v>
      </c>
      <c r="F20" s="136">
        <f t="shared" si="4"/>
        <v>13356.164383561643</v>
      </c>
      <c r="G20" s="39">
        <f t="shared" si="5"/>
        <v>154</v>
      </c>
      <c r="H20" s="73">
        <f t="shared" si="6"/>
        <v>5.4794520547945202E-2</v>
      </c>
      <c r="I20" s="202">
        <f t="shared" si="7"/>
        <v>8219.17808219178</v>
      </c>
      <c r="J20" s="125">
        <f t="shared" si="8"/>
        <v>155</v>
      </c>
      <c r="K20" s="73">
        <f t="shared" si="9"/>
        <v>6.1643835616438353E-2</v>
      </c>
      <c r="L20" s="136">
        <f t="shared" si="10"/>
        <v>9246.5753424657523</v>
      </c>
      <c r="M20" s="39">
        <f t="shared" si="11"/>
        <v>155</v>
      </c>
      <c r="N20" s="73">
        <f t="shared" si="12"/>
        <v>6.1643835616438353E-2</v>
      </c>
      <c r="O20" s="136">
        <f t="shared" si="13"/>
        <v>9246.5753424657523</v>
      </c>
      <c r="Q20" s="268"/>
      <c r="R20" s="268"/>
      <c r="S20" s="268"/>
    </row>
    <row r="21" spans="1:19" ht="17.25" customHeight="1" thickBot="1">
      <c r="A21" s="126" t="s">
        <v>282</v>
      </c>
      <c r="B21" s="127">
        <f t="shared" si="0"/>
        <v>149</v>
      </c>
      <c r="C21" s="74">
        <f t="shared" si="1"/>
        <v>-6.6666666999999997E-3</v>
      </c>
      <c r="D21" s="127">
        <f t="shared" si="2"/>
        <v>154</v>
      </c>
      <c r="E21" s="74">
        <f t="shared" si="3"/>
        <v>3.3557046979865772E-2</v>
      </c>
      <c r="F21" s="203">
        <f t="shared" si="4"/>
        <v>5033.5570469798658</v>
      </c>
      <c r="G21" s="44">
        <f t="shared" si="5"/>
        <v>153</v>
      </c>
      <c r="H21" s="74">
        <f t="shared" si="6"/>
        <v>2.6845637583892617E-2</v>
      </c>
      <c r="I21" s="204">
        <f t="shared" si="7"/>
        <v>4026.8456375838923</v>
      </c>
      <c r="J21" s="127">
        <f t="shared" si="8"/>
        <v>153</v>
      </c>
      <c r="K21" s="74">
        <f t="shared" si="9"/>
        <v>2.6845637583892617E-2</v>
      </c>
      <c r="L21" s="203">
        <f t="shared" si="10"/>
        <v>4026.8456375838923</v>
      </c>
      <c r="M21" s="44">
        <f t="shared" si="11"/>
        <v>151</v>
      </c>
      <c r="N21" s="74">
        <f t="shared" si="12"/>
        <v>1.3422818791946308E-2</v>
      </c>
      <c r="O21" s="203">
        <f t="shared" si="13"/>
        <v>2013.4228187919462</v>
      </c>
      <c r="Q21" s="268"/>
      <c r="R21" s="268"/>
      <c r="S21" s="268"/>
    </row>
    <row r="22" spans="1:19" ht="17.25" customHeight="1" thickBot="1">
      <c r="A22" s="124" t="s">
        <v>240</v>
      </c>
      <c r="B22" s="128">
        <f t="shared" si="0"/>
        <v>159</v>
      </c>
      <c r="C22" s="76">
        <f t="shared" si="1"/>
        <v>4.6052631599999998E-2</v>
      </c>
      <c r="D22" s="128">
        <f t="shared" si="2"/>
        <v>162</v>
      </c>
      <c r="E22" s="76">
        <f t="shared" si="3"/>
        <v>1.8867924528301886E-2</v>
      </c>
      <c r="F22" s="205">
        <f t="shared" si="4"/>
        <v>2830.1886792452829</v>
      </c>
      <c r="G22" s="45">
        <f t="shared" si="5"/>
        <v>157</v>
      </c>
      <c r="H22" s="76">
        <f t="shared" si="6"/>
        <v>-1.2578616352201259E-2</v>
      </c>
      <c r="I22" s="206">
        <f t="shared" si="7"/>
        <v>-1886.7924528301887</v>
      </c>
      <c r="J22" s="128">
        <f t="shared" si="8"/>
        <v>159</v>
      </c>
      <c r="K22" s="76">
        <f t="shared" si="9"/>
        <v>0</v>
      </c>
      <c r="L22" s="205">
        <f t="shared" si="10"/>
        <v>0</v>
      </c>
      <c r="M22" s="45">
        <f t="shared" si="11"/>
        <v>157</v>
      </c>
      <c r="N22" s="76">
        <f t="shared" si="12"/>
        <v>-1.2578616352201259E-2</v>
      </c>
      <c r="O22" s="205">
        <f t="shared" si="13"/>
        <v>-1886.7924528301887</v>
      </c>
      <c r="Q22" s="268"/>
      <c r="R22" s="268"/>
      <c r="S22" s="268"/>
    </row>
    <row r="23" spans="1:19" ht="17.25" customHeight="1" thickBot="1">
      <c r="A23" s="124" t="s">
        <v>246</v>
      </c>
      <c r="B23" s="125">
        <f t="shared" si="0"/>
        <v>322</v>
      </c>
      <c r="C23" s="73">
        <f t="shared" si="1"/>
        <v>-6.1728395E-3</v>
      </c>
      <c r="D23" s="125">
        <f t="shared" si="2"/>
        <v>374</v>
      </c>
      <c r="E23" s="73">
        <f t="shared" si="3"/>
        <v>0.16149068322981366</v>
      </c>
      <c r="F23" s="136">
        <f t="shared" si="4"/>
        <v>24223.602484472049</v>
      </c>
      <c r="G23" s="39">
        <f t="shared" si="5"/>
        <v>351</v>
      </c>
      <c r="H23" s="73">
        <f t="shared" si="6"/>
        <v>9.0062111801242239E-2</v>
      </c>
      <c r="I23" s="202">
        <f t="shared" si="7"/>
        <v>13509.316770186337</v>
      </c>
      <c r="J23" s="125">
        <f t="shared" si="8"/>
        <v>351</v>
      </c>
      <c r="K23" s="73">
        <f t="shared" si="9"/>
        <v>9.0062111801242239E-2</v>
      </c>
      <c r="L23" s="136">
        <f t="shared" si="10"/>
        <v>13509.316770186337</v>
      </c>
      <c r="M23" s="39">
        <f t="shared" si="11"/>
        <v>346</v>
      </c>
      <c r="N23" s="73">
        <f t="shared" si="12"/>
        <v>7.4534161490683232E-2</v>
      </c>
      <c r="O23" s="136">
        <f t="shared" si="13"/>
        <v>11180.124223602485</v>
      </c>
      <c r="Q23" s="268"/>
      <c r="R23" s="268"/>
      <c r="S23" s="268"/>
    </row>
    <row r="24" spans="1:19" ht="17.25" customHeight="1" thickBot="1">
      <c r="A24" s="124" t="s">
        <v>200</v>
      </c>
      <c r="B24" s="125">
        <f t="shared" si="0"/>
        <v>305</v>
      </c>
      <c r="C24" s="73">
        <f t="shared" si="1"/>
        <v>-6.5146580000000004E-3</v>
      </c>
      <c r="D24" s="125">
        <f t="shared" si="2"/>
        <v>316</v>
      </c>
      <c r="E24" s="73">
        <f t="shared" si="3"/>
        <v>3.6065573770491806E-2</v>
      </c>
      <c r="F24" s="136">
        <f t="shared" si="4"/>
        <v>5409.8360655737706</v>
      </c>
      <c r="G24" s="39">
        <f t="shared" si="5"/>
        <v>303</v>
      </c>
      <c r="H24" s="73">
        <f t="shared" si="6"/>
        <v>-6.5573770491803279E-3</v>
      </c>
      <c r="I24" s="202">
        <f t="shared" si="7"/>
        <v>-983.60655737704917</v>
      </c>
      <c r="J24" s="125">
        <f t="shared" si="8"/>
        <v>306</v>
      </c>
      <c r="K24" s="73">
        <f t="shared" si="9"/>
        <v>3.2786885245901639E-3</v>
      </c>
      <c r="L24" s="136">
        <f t="shared" si="10"/>
        <v>491.80327868852459</v>
      </c>
      <c r="M24" s="39">
        <f t="shared" si="11"/>
        <v>305</v>
      </c>
      <c r="N24" s="73">
        <f t="shared" si="12"/>
        <v>0</v>
      </c>
      <c r="O24" s="136">
        <f t="shared" si="13"/>
        <v>0</v>
      </c>
      <c r="Q24" s="268"/>
      <c r="R24" s="268"/>
      <c r="S24" s="268"/>
    </row>
    <row r="25" spans="1:19" ht="17.25" customHeight="1" thickBot="1">
      <c r="A25" s="124" t="s">
        <v>232</v>
      </c>
      <c r="B25" s="125">
        <f t="shared" si="0"/>
        <v>150</v>
      </c>
      <c r="C25" s="73">
        <f t="shared" si="1"/>
        <v>1.3513513499999999E-2</v>
      </c>
      <c r="D25" s="125">
        <f t="shared" si="2"/>
        <v>156</v>
      </c>
      <c r="E25" s="73">
        <f t="shared" si="3"/>
        <v>0.04</v>
      </c>
      <c r="F25" s="136">
        <f t="shared" si="4"/>
        <v>6000</v>
      </c>
      <c r="G25" s="39">
        <f t="shared" si="5"/>
        <v>149</v>
      </c>
      <c r="H25" s="73">
        <f t="shared" si="6"/>
        <v>-6.6666666666666671E-3</v>
      </c>
      <c r="I25" s="202">
        <f t="shared" si="7"/>
        <v>-1000.0000000000001</v>
      </c>
      <c r="J25" s="125">
        <f t="shared" si="8"/>
        <v>150</v>
      </c>
      <c r="K25" s="73">
        <f t="shared" si="9"/>
        <v>0</v>
      </c>
      <c r="L25" s="136">
        <f t="shared" si="10"/>
        <v>0</v>
      </c>
      <c r="M25" s="39">
        <f t="shared" si="11"/>
        <v>151</v>
      </c>
      <c r="N25" s="73">
        <f t="shared" si="12"/>
        <v>6.6666666666666671E-3</v>
      </c>
      <c r="O25" s="136">
        <f t="shared" si="13"/>
        <v>1000.0000000000001</v>
      </c>
      <c r="Q25" s="33"/>
      <c r="R25" s="33"/>
    </row>
    <row r="26" spans="1:19" ht="17.25" customHeight="1" thickBot="1">
      <c r="A26" s="129" t="s">
        <v>174</v>
      </c>
      <c r="B26" s="130">
        <f t="shared" si="0"/>
        <v>252</v>
      </c>
      <c r="C26" s="75">
        <f t="shared" si="1"/>
        <v>2.4390243900000001E-2</v>
      </c>
      <c r="D26" s="130">
        <f t="shared" si="2"/>
        <v>252</v>
      </c>
      <c r="E26" s="75">
        <f t="shared" si="3"/>
        <v>0</v>
      </c>
      <c r="F26" s="137">
        <f t="shared" si="4"/>
        <v>0</v>
      </c>
      <c r="G26" s="37">
        <f t="shared" si="5"/>
        <v>242</v>
      </c>
      <c r="H26" s="75">
        <f t="shared" si="6"/>
        <v>-3.968253968253968E-2</v>
      </c>
      <c r="I26" s="207">
        <f t="shared" si="7"/>
        <v>-5952.3809523809523</v>
      </c>
      <c r="J26" s="130">
        <f t="shared" si="8"/>
        <v>244</v>
      </c>
      <c r="K26" s="75">
        <f t="shared" si="9"/>
        <v>-3.1746031746031744E-2</v>
      </c>
      <c r="L26" s="137">
        <f t="shared" si="10"/>
        <v>-4761.9047619047615</v>
      </c>
      <c r="M26" s="37">
        <f t="shared" si="11"/>
        <v>243</v>
      </c>
      <c r="N26" s="75">
        <f t="shared" si="12"/>
        <v>-3.5714285714285712E-2</v>
      </c>
      <c r="O26" s="137">
        <f t="shared" si="13"/>
        <v>-5357.1428571428569</v>
      </c>
      <c r="Q26" s="269"/>
      <c r="R26" s="270"/>
      <c r="S26" s="271"/>
    </row>
    <row r="27" spans="1:19" ht="17.25" customHeight="1">
      <c r="A27" s="122" t="s">
        <v>112</v>
      </c>
      <c r="B27" s="123">
        <f t="shared" si="0"/>
        <v>230</v>
      </c>
      <c r="C27" s="72">
        <f t="shared" si="1"/>
        <v>-1.28755365E-2</v>
      </c>
      <c r="D27" s="123">
        <f t="shared" si="2"/>
        <v>232</v>
      </c>
      <c r="E27" s="72">
        <f t="shared" si="3"/>
        <v>8.6956521739130436E-3</v>
      </c>
      <c r="F27" s="140">
        <f t="shared" si="4"/>
        <v>1304.3478260869565</v>
      </c>
      <c r="G27" s="38">
        <f t="shared" si="5"/>
        <v>222</v>
      </c>
      <c r="H27" s="72">
        <f t="shared" si="6"/>
        <v>-3.4782608695652174E-2</v>
      </c>
      <c r="I27" s="201">
        <f t="shared" si="7"/>
        <v>-5217.391304347826</v>
      </c>
      <c r="J27" s="123">
        <f t="shared" si="8"/>
        <v>225</v>
      </c>
      <c r="K27" s="72">
        <f t="shared" si="9"/>
        <v>-2.1739130434782608E-2</v>
      </c>
      <c r="L27" s="140">
        <f t="shared" si="10"/>
        <v>-3260.869565217391</v>
      </c>
      <c r="M27" s="38">
        <f t="shared" si="11"/>
        <v>226</v>
      </c>
      <c r="N27" s="72">
        <f t="shared" si="12"/>
        <v>-1.7391304347826087E-2</v>
      </c>
      <c r="O27" s="140">
        <f t="shared" si="13"/>
        <v>-2608.695652173913</v>
      </c>
      <c r="Q27" s="272"/>
      <c r="R27" s="273"/>
      <c r="S27" s="274"/>
    </row>
    <row r="28" spans="1:19" ht="17.25" customHeight="1" thickBot="1">
      <c r="A28" s="124" t="s">
        <v>122</v>
      </c>
      <c r="B28" s="125">
        <f t="shared" si="0"/>
        <v>104</v>
      </c>
      <c r="C28" s="73">
        <f t="shared" si="1"/>
        <v>-9.5238094999999991E-3</v>
      </c>
      <c r="D28" s="125">
        <f t="shared" si="2"/>
        <v>103</v>
      </c>
      <c r="E28" s="73">
        <f t="shared" si="3"/>
        <v>-9.6153846153846159E-3</v>
      </c>
      <c r="F28" s="136">
        <f t="shared" si="4"/>
        <v>-1442.3076923076924</v>
      </c>
      <c r="G28" s="39">
        <f t="shared" si="5"/>
        <v>100</v>
      </c>
      <c r="H28" s="73">
        <f t="shared" si="6"/>
        <v>-3.8461538461538464E-2</v>
      </c>
      <c r="I28" s="202">
        <f t="shared" si="7"/>
        <v>-5769.2307692307695</v>
      </c>
      <c r="J28" s="125">
        <f t="shared" si="8"/>
        <v>102</v>
      </c>
      <c r="K28" s="73">
        <f t="shared" si="9"/>
        <v>-1.9230769230769232E-2</v>
      </c>
      <c r="L28" s="136">
        <f t="shared" si="10"/>
        <v>-2884.6153846153848</v>
      </c>
      <c r="M28" s="39">
        <f t="shared" si="11"/>
        <v>102</v>
      </c>
      <c r="N28" s="73">
        <f t="shared" si="12"/>
        <v>-1.9230769230769232E-2</v>
      </c>
      <c r="O28" s="136">
        <f t="shared" si="13"/>
        <v>-2884.6153846153848</v>
      </c>
      <c r="Q28" s="275"/>
      <c r="R28" s="276"/>
      <c r="S28" s="277"/>
    </row>
    <row r="29" spans="1:19" ht="17.25" customHeight="1" thickBot="1">
      <c r="A29" s="124" t="s">
        <v>202</v>
      </c>
      <c r="B29" s="125">
        <f t="shared" ref="B29:B36" si="14">IF(NOT(ISBLANK(_xlfn.IFNA(VLOOKUP($A29, $A$40:$O$199, 2, FALSE), ))), _xlfn.IFNA(VLOOKUP($A29, $A$40:$O$199, 2, FALSE), ), "")</f>
        <v>166</v>
      </c>
      <c r="C29" s="73">
        <f t="shared" ref="C29:C36" si="15">IF(NOT(ISBLANK(_xlfn.IFNA(VLOOKUP($A29, $A$40:$O$199, 3, FALSE), ))), _xlfn.IFNA(VLOOKUP($A29, $A$40:$O$199, 3, FALSE), ), "")</f>
        <v>-2.35294118E-2</v>
      </c>
      <c r="D29" s="125">
        <f t="shared" ref="D29:D36" si="16">IF(NOT(ISBLANK(_xlfn.IFNA(VLOOKUP($A29, $A$40:$O$199, 4, FALSE), ))), _xlfn.IFNA(VLOOKUP($A29, $A$40:$O$199, 4, FALSE), ), "")</f>
        <v>164</v>
      </c>
      <c r="E29" s="73">
        <f t="shared" ref="E29:E36" si="17">IF(NOT(ISBLANK(_xlfn.IFNA(VLOOKUP($A29, $A$40:$O$199, 5, FALSE), ))), _xlfn.IFNA(VLOOKUP($A29, $A$40:$O$199, 5, FALSE), ), "")</f>
        <v>-1.2048192771084338E-2</v>
      </c>
      <c r="F29" s="136">
        <f t="shared" ref="F29:F36" si="18">IF(NOT(ISBLANK(_xlfn.IFNA(VLOOKUP($A29, $A$40:$O$199, 6, FALSE), ))), _xlfn.IFNA(VLOOKUP($A29, $A$40:$O$199, 6, FALSE), ), "")</f>
        <v>-1807.2289156626507</v>
      </c>
      <c r="G29" s="39">
        <f t="shared" ref="G29:G36" si="19">IF(NOT(ISBLANK(_xlfn.IFNA(VLOOKUP($A29, $A$40:$O$199, 7, FALSE), ))), _xlfn.IFNA(VLOOKUP($A29, $A$40:$O$199, 7, FALSE), ), "")</f>
        <v>161</v>
      </c>
      <c r="H29" s="73">
        <f t="shared" ref="H29:H36" si="20">IF(NOT(ISBLANK(_xlfn.IFNA(VLOOKUP($A29, $A$40:$O$199, 8, FALSE), ))), _xlfn.IFNA(VLOOKUP($A29, $A$40:$O$199, 8, FALSE), ), "")</f>
        <v>-3.0120481927710843E-2</v>
      </c>
      <c r="I29" s="202">
        <f t="shared" ref="I29:I36" si="21">IF(NOT(ISBLANK(_xlfn.IFNA(VLOOKUP($A29, $A$40:$O$199, 9, FALSE), ))), _xlfn.IFNA(VLOOKUP($A29, $A$40:$O$199, 9, FALSE), ), "")</f>
        <v>-4518.0722891566265</v>
      </c>
      <c r="J29" s="125">
        <f t="shared" ref="J29:J36" si="22">IF(NOT(ISBLANK(_xlfn.IFNA(VLOOKUP($A29, $A$40:$O$199, 10, FALSE), ))), _xlfn.IFNA(VLOOKUP($A29, $A$40:$O$199, 10, FALSE), ), "")</f>
        <v>162</v>
      </c>
      <c r="K29" s="73">
        <f t="shared" ref="K29:K36" si="23">IF(NOT(ISBLANK(_xlfn.IFNA(VLOOKUP($A29, $A$40:$O$199, 11, FALSE), ))), _xlfn.IFNA(VLOOKUP($A29, $A$40:$O$199, 11, FALSE), ), "")</f>
        <v>-2.4096385542168676E-2</v>
      </c>
      <c r="L29" s="136">
        <f t="shared" ref="L29:L36" si="24">IF(NOT(ISBLANK(_xlfn.IFNA(VLOOKUP($A29, $A$40:$O$199, 12, FALSE), ))), _xlfn.IFNA(VLOOKUP($A29, $A$40:$O$199, 12, FALSE), ), "")</f>
        <v>-3614.4578313253014</v>
      </c>
      <c r="M29" s="39">
        <f t="shared" ref="M29:M36" si="25">IF(NOT(ISBLANK(_xlfn.IFNA(VLOOKUP($A29, $A$40:$O$199, 13, FALSE), ))), _xlfn.IFNA(VLOOKUP($A29, $A$40:$O$199, 13, FALSE), ), "")</f>
        <v>163</v>
      </c>
      <c r="N29" s="73">
        <f t="shared" ref="N29:N36" si="26">IF(NOT(ISBLANK(_xlfn.IFNA(VLOOKUP($A29, $A$40:$O$199, 14, FALSE), ))), _xlfn.IFNA(VLOOKUP($A29, $A$40:$O$199, 14, FALSE), ), "")</f>
        <v>-1.8072289156626505E-2</v>
      </c>
      <c r="O29" s="136">
        <f t="shared" ref="O29:O36" si="27">IF(NOT(ISBLANK(_xlfn.IFNA(VLOOKUP($A29, $A$40:$O$199, 15, FALSE), ))), _xlfn.IFNA(VLOOKUP($A29, $A$40:$O$199, 15, FALSE), ), "")</f>
        <v>-2710.8433734939758</v>
      </c>
      <c r="Q29" s="268"/>
      <c r="R29" s="268"/>
      <c r="S29" s="268"/>
    </row>
    <row r="30" spans="1:19" ht="17.25" customHeight="1" thickBot="1">
      <c r="A30" s="124" t="s">
        <v>238</v>
      </c>
      <c r="B30" s="125">
        <f t="shared" si="14"/>
        <v>242</v>
      </c>
      <c r="C30" s="73">
        <f t="shared" si="15"/>
        <v>-4.1000000000000003E-3</v>
      </c>
      <c r="D30" s="125">
        <f t="shared" si="16"/>
        <v>253</v>
      </c>
      <c r="E30" s="73">
        <f t="shared" si="17"/>
        <v>4.5454545454545456E-2</v>
      </c>
      <c r="F30" s="136">
        <f t="shared" si="18"/>
        <v>6818.181818181818</v>
      </c>
      <c r="G30" s="39">
        <f t="shared" si="19"/>
        <v>240</v>
      </c>
      <c r="H30" s="73">
        <f t="shared" si="20"/>
        <v>-8.2644628099173556E-3</v>
      </c>
      <c r="I30" s="202">
        <f t="shared" si="21"/>
        <v>-1239.6694214876034</v>
      </c>
      <c r="J30" s="125">
        <f t="shared" si="22"/>
        <v>241</v>
      </c>
      <c r="K30" s="73">
        <f t="shared" si="23"/>
        <v>-4.1322314049586778E-3</v>
      </c>
      <c r="L30" s="136">
        <f t="shared" si="24"/>
        <v>-619.83471074380168</v>
      </c>
      <c r="M30" s="39">
        <f t="shared" si="25"/>
        <v>243</v>
      </c>
      <c r="N30" s="73">
        <f t="shared" si="26"/>
        <v>4.1322314049586778E-3</v>
      </c>
      <c r="O30" s="136">
        <f t="shared" si="27"/>
        <v>619.83471074380168</v>
      </c>
      <c r="Q30" s="278"/>
      <c r="R30" s="278"/>
      <c r="S30" s="278"/>
    </row>
    <row r="31" spans="1:19" ht="17.25" customHeight="1" thickBot="1">
      <c r="A31" s="126" t="s">
        <v>210</v>
      </c>
      <c r="B31" s="127">
        <f t="shared" si="14"/>
        <v>165</v>
      </c>
      <c r="C31" s="74">
        <f t="shared" si="15"/>
        <v>-6.0240963999999998E-3</v>
      </c>
      <c r="D31" s="127">
        <f t="shared" si="16"/>
        <v>176</v>
      </c>
      <c r="E31" s="74">
        <f t="shared" si="17"/>
        <v>6.6666666666666666E-2</v>
      </c>
      <c r="F31" s="203">
        <f t="shared" si="18"/>
        <v>10000</v>
      </c>
      <c r="G31" s="44">
        <f t="shared" si="19"/>
        <v>171</v>
      </c>
      <c r="H31" s="74">
        <f t="shared" si="20"/>
        <v>3.6363636363636362E-2</v>
      </c>
      <c r="I31" s="204">
        <f t="shared" si="21"/>
        <v>5454.545454545454</v>
      </c>
      <c r="J31" s="127">
        <f t="shared" si="22"/>
        <v>173</v>
      </c>
      <c r="K31" s="74">
        <f t="shared" si="23"/>
        <v>4.8484848484848485E-2</v>
      </c>
      <c r="L31" s="203">
        <f t="shared" si="24"/>
        <v>7272.727272727273</v>
      </c>
      <c r="M31" s="44">
        <f t="shared" si="25"/>
        <v>171</v>
      </c>
      <c r="N31" s="74">
        <f t="shared" si="26"/>
        <v>3.6363636363636362E-2</v>
      </c>
      <c r="O31" s="203">
        <f t="shared" si="27"/>
        <v>5454.545454545454</v>
      </c>
      <c r="Q31" s="278"/>
      <c r="R31" s="278"/>
      <c r="S31" s="278"/>
    </row>
    <row r="32" spans="1:19" ht="17.25" customHeight="1" thickBot="1">
      <c r="A32" s="124" t="s">
        <v>212</v>
      </c>
      <c r="B32" s="128">
        <f t="shared" si="14"/>
        <v>127</v>
      </c>
      <c r="C32" s="76">
        <f t="shared" si="15"/>
        <v>0</v>
      </c>
      <c r="D32" s="128">
        <f t="shared" si="16"/>
        <v>125</v>
      </c>
      <c r="E32" s="76">
        <f t="shared" si="17"/>
        <v>-1.5748031496062992E-2</v>
      </c>
      <c r="F32" s="205">
        <f t="shared" si="18"/>
        <v>-2362.2047244094488</v>
      </c>
      <c r="G32" s="45">
        <f t="shared" si="19"/>
        <v>121</v>
      </c>
      <c r="H32" s="76">
        <f t="shared" si="20"/>
        <v>-4.7244094488188976E-2</v>
      </c>
      <c r="I32" s="206">
        <f t="shared" si="21"/>
        <v>-7086.6141732283468</v>
      </c>
      <c r="J32" s="128">
        <f t="shared" si="22"/>
        <v>122</v>
      </c>
      <c r="K32" s="76">
        <f t="shared" si="23"/>
        <v>-3.937007874015748E-2</v>
      </c>
      <c r="L32" s="205">
        <f t="shared" si="24"/>
        <v>-5905.5118110236217</v>
      </c>
      <c r="M32" s="45">
        <f t="shared" si="25"/>
        <v>123</v>
      </c>
      <c r="N32" s="76">
        <f t="shared" si="26"/>
        <v>-3.1496062992125984E-2</v>
      </c>
      <c r="O32" s="205">
        <f t="shared" si="27"/>
        <v>-4724.4094488188975</v>
      </c>
      <c r="Q32" s="268"/>
      <c r="R32" s="268"/>
      <c r="S32" s="268"/>
    </row>
    <row r="33" spans="1:19" ht="17.25" customHeight="1" thickBot="1">
      <c r="A33" s="124" t="s">
        <v>226</v>
      </c>
      <c r="B33" s="125">
        <f t="shared" si="14"/>
        <v>431</v>
      </c>
      <c r="C33" s="73">
        <f t="shared" si="15"/>
        <v>-4.6189376000000002E-3</v>
      </c>
      <c r="D33" s="125">
        <f t="shared" si="16"/>
        <v>468</v>
      </c>
      <c r="E33" s="73">
        <f t="shared" si="17"/>
        <v>8.584686774941995E-2</v>
      </c>
      <c r="F33" s="136">
        <f t="shared" si="18"/>
        <v>12877.030162412993</v>
      </c>
      <c r="G33" s="39">
        <f t="shared" si="19"/>
        <v>453</v>
      </c>
      <c r="H33" s="73">
        <f t="shared" si="20"/>
        <v>5.1044083526682132E-2</v>
      </c>
      <c r="I33" s="202">
        <f t="shared" si="21"/>
        <v>7656.6125290023201</v>
      </c>
      <c r="J33" s="125">
        <f t="shared" si="22"/>
        <v>461</v>
      </c>
      <c r="K33" s="73">
        <f t="shared" si="23"/>
        <v>6.9605568445475635E-2</v>
      </c>
      <c r="L33" s="136">
        <f t="shared" si="24"/>
        <v>10440.835266821345</v>
      </c>
      <c r="M33" s="39">
        <f t="shared" si="25"/>
        <v>446</v>
      </c>
      <c r="N33" s="73">
        <f t="shared" si="26"/>
        <v>3.4802784222737818E-2</v>
      </c>
      <c r="O33" s="136">
        <f t="shared" si="27"/>
        <v>5220.4176334106724</v>
      </c>
      <c r="Q33" s="268"/>
      <c r="R33" s="268"/>
      <c r="S33" s="268"/>
    </row>
    <row r="34" spans="1:19" ht="17.25" customHeight="1" thickBot="1">
      <c r="A34" s="124" t="s">
        <v>236</v>
      </c>
      <c r="B34" s="125">
        <f t="shared" si="14"/>
        <v>69.099999999999994</v>
      </c>
      <c r="C34" s="73">
        <f t="shared" si="15"/>
        <v>-4.2936288099999997E-2</v>
      </c>
      <c r="D34" s="125">
        <f t="shared" si="16"/>
        <v>74.3</v>
      </c>
      <c r="E34" s="73">
        <f t="shared" si="17"/>
        <v>7.5253256150506556E-2</v>
      </c>
      <c r="F34" s="136">
        <f t="shared" si="18"/>
        <v>11287.988422575983</v>
      </c>
      <c r="G34" s="39">
        <f t="shared" si="19"/>
        <v>70</v>
      </c>
      <c r="H34" s="73">
        <f t="shared" si="20"/>
        <v>1.3024602026049287E-2</v>
      </c>
      <c r="I34" s="202">
        <f t="shared" si="21"/>
        <v>1953.6903039073932</v>
      </c>
      <c r="J34" s="125">
        <f t="shared" si="22"/>
        <v>70.7</v>
      </c>
      <c r="K34" s="73">
        <f t="shared" si="23"/>
        <v>2.3154848046309823E-2</v>
      </c>
      <c r="L34" s="136">
        <f t="shared" si="24"/>
        <v>3473.2272069464734</v>
      </c>
      <c r="M34" s="39">
        <f t="shared" si="25"/>
        <v>70.7</v>
      </c>
      <c r="N34" s="73">
        <f t="shared" si="26"/>
        <v>2.3154848046309823E-2</v>
      </c>
      <c r="O34" s="136">
        <f t="shared" si="27"/>
        <v>3473.2272069464734</v>
      </c>
      <c r="Q34" s="268"/>
      <c r="R34" s="268"/>
      <c r="S34" s="268"/>
    </row>
    <row r="35" spans="1:19" ht="17.25" customHeight="1">
      <c r="A35" s="124"/>
      <c r="B35" s="125" t="str">
        <f t="shared" si="14"/>
        <v/>
      </c>
      <c r="C35" s="73" t="str">
        <f t="shared" si="15"/>
        <v/>
      </c>
      <c r="D35" s="125" t="str">
        <f t="shared" si="16"/>
        <v/>
      </c>
      <c r="E35" s="73" t="str">
        <f t="shared" si="17"/>
        <v/>
      </c>
      <c r="F35" s="136" t="str">
        <f t="shared" si="18"/>
        <v/>
      </c>
      <c r="G35" s="39" t="str">
        <f t="shared" si="19"/>
        <v/>
      </c>
      <c r="H35" s="73" t="str">
        <f t="shared" si="20"/>
        <v/>
      </c>
      <c r="I35" s="202" t="str">
        <f t="shared" si="21"/>
        <v/>
      </c>
      <c r="J35" s="125" t="str">
        <f t="shared" si="22"/>
        <v/>
      </c>
      <c r="K35" s="73" t="str">
        <f t="shared" si="23"/>
        <v/>
      </c>
      <c r="L35" s="136" t="str">
        <f t="shared" si="24"/>
        <v/>
      </c>
      <c r="M35" s="39" t="str">
        <f t="shared" si="25"/>
        <v/>
      </c>
      <c r="N35" s="73" t="str">
        <f t="shared" si="26"/>
        <v/>
      </c>
      <c r="O35" s="136" t="str">
        <f t="shared" si="27"/>
        <v/>
      </c>
      <c r="Q35" s="257"/>
      <c r="R35" s="258"/>
      <c r="S35" s="259"/>
    </row>
    <row r="36" spans="1:19" ht="17.25" customHeight="1" thickBot="1">
      <c r="A36" s="129"/>
      <c r="B36" s="130" t="str">
        <f t="shared" si="14"/>
        <v/>
      </c>
      <c r="C36" s="75" t="str">
        <f t="shared" si="15"/>
        <v/>
      </c>
      <c r="D36" s="130" t="str">
        <f t="shared" si="16"/>
        <v/>
      </c>
      <c r="E36" s="75" t="str">
        <f t="shared" si="17"/>
        <v/>
      </c>
      <c r="F36" s="137" t="str">
        <f t="shared" si="18"/>
        <v/>
      </c>
      <c r="G36" s="37" t="str">
        <f t="shared" si="19"/>
        <v/>
      </c>
      <c r="H36" s="75" t="str">
        <f t="shared" si="20"/>
        <v/>
      </c>
      <c r="I36" s="207" t="str">
        <f t="shared" si="21"/>
        <v/>
      </c>
      <c r="J36" s="130" t="str">
        <f t="shared" si="22"/>
        <v/>
      </c>
      <c r="K36" s="75" t="str">
        <f t="shared" si="23"/>
        <v/>
      </c>
      <c r="L36" s="137" t="str">
        <f t="shared" si="24"/>
        <v/>
      </c>
      <c r="M36" s="37" t="str">
        <f t="shared" si="25"/>
        <v/>
      </c>
      <c r="N36" s="75" t="str">
        <f t="shared" si="26"/>
        <v/>
      </c>
      <c r="O36" s="137" t="str">
        <f t="shared" si="27"/>
        <v/>
      </c>
      <c r="Q36" s="260"/>
      <c r="R36" s="261"/>
      <c r="S36" s="262"/>
    </row>
    <row r="37" spans="1:19" ht="17.25" customHeight="1" thickBot="1">
      <c r="A37" s="131" t="s">
        <v>42</v>
      </c>
      <c r="B37" s="330">
        <v>150000</v>
      </c>
      <c r="C37" s="331"/>
      <c r="D37" s="131" t="s">
        <v>43</v>
      </c>
      <c r="E37" s="236">
        <f>IF(COUNT(E17:E36), SUM(E17:E36) / COUNT(E17:E36), 0)</f>
        <v>3.4854424221288559E-2</v>
      </c>
      <c r="F37" s="208">
        <f>SUM(F17:F36)</f>
        <v>94106.94539747911</v>
      </c>
      <c r="G37" s="131" t="s">
        <v>43</v>
      </c>
      <c r="H37" s="236">
        <f>IF(COUNT(H17:H36), SUM(H17:H36) / COUNT(H17:H36), 0)</f>
        <v>-2.173247304215759E-3</v>
      </c>
      <c r="I37" s="208">
        <f>SUM(I17:I36)</f>
        <v>-5867.7677213825473</v>
      </c>
      <c r="J37" s="131" t="s">
        <v>43</v>
      </c>
      <c r="K37" s="236">
        <f>IF(COUNT(K17:K36), SUM(K17:K36) / COUNT(K17:K36), 0)</f>
        <v>6.6162774762648282E-3</v>
      </c>
      <c r="L37" s="208">
        <f>SUM(L17:L36)</f>
        <v>17863.949185915033</v>
      </c>
      <c r="M37" s="131" t="s">
        <v>43</v>
      </c>
      <c r="N37" s="236">
        <f>IF(COUNT(N17:N36), SUM(N17:N36) / COUNT(N17:N36), 0)</f>
        <v>3.8008968448410355E-3</v>
      </c>
      <c r="O37" s="208">
        <f>SUM(O17:O36)</f>
        <v>10262.421481070794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33" t="s">
        <v>298</v>
      </c>
      <c r="B41" s="279" t="s">
        <v>36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55555000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-3.6323266700000002E-2</v>
      </c>
      <c r="N41" s="286"/>
      <c r="O41" s="287"/>
      <c r="Q41" s="278"/>
      <c r="R41" s="278"/>
      <c r="S41" s="278"/>
    </row>
    <row r="42" spans="1:19" ht="17.25" customHeight="1" thickBot="1">
      <c r="A42" s="332" t="s">
        <v>55</v>
      </c>
      <c r="B42" s="328" t="str">
        <f>TEXT($G$1, "[$-ko-KR]yyyy-mm-dd(ddd) ") &amp; "오전 00:00"</f>
        <v>2021-05-15(토) 오전 00:00</v>
      </c>
      <c r="C42" s="329"/>
      <c r="D42" s="279" t="str">
        <f>TEXT($G$1, "[$-ko-KR]yyyy-mm-dd(ddd) ") &amp; "오후 14:00"</f>
        <v>2021-05-15(토) 오후 14:00</v>
      </c>
      <c r="E42" s="280"/>
      <c r="F42" s="281"/>
      <c r="G42" s="279" t="str">
        <f>TEXT($G$1, "[$-ko-KR]yyyy-mm-dd(ddd) ") &amp; "오후 19:00"</f>
        <v>2021-05-15(토) 오후 19:00</v>
      </c>
      <c r="H42" s="280"/>
      <c r="I42" s="281"/>
      <c r="J42" s="279" t="str">
        <f>TEXT($G$1, "[$-ko-KR]yyyy-mm-dd(ddd) ") &amp; "오후 21:00"</f>
        <v>2021-05-15(토) 오후 21:00</v>
      </c>
      <c r="K42" s="280"/>
      <c r="L42" s="281"/>
      <c r="M42" s="279" t="str">
        <f>TEXT($G$1+1, "[$-ko-KR]yyyy-mm-dd(ddd) ") &amp; "오전 00:00"</f>
        <v>2021-05-16(일) 오전 00:00</v>
      </c>
      <c r="N42" s="280"/>
      <c r="O42" s="281"/>
      <c r="Q42" s="278"/>
      <c r="R42" s="278"/>
      <c r="S42" s="278"/>
    </row>
    <row r="43" spans="1:19" ht="17.25" customHeight="1" thickBot="1">
      <c r="A43" s="333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268"/>
      <c r="R43" s="268"/>
      <c r="S43" s="268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>
        <v>23</v>
      </c>
      <c r="E44" s="72">
        <f>IF(ISNUMBER(D44), (D44 - $B44) / $B44, "")</f>
        <v>-1.7094017094017033E-2</v>
      </c>
      <c r="F44" s="140">
        <f>IF(ISNUMBER(D44), $B64 * E44, "")</f>
        <v>-2564.1025641025549</v>
      </c>
      <c r="G44" s="38">
        <v>22.3</v>
      </c>
      <c r="H44" s="72">
        <f>IF(ISNUMBER(G44), (G44 - $B44) / $B44, "")</f>
        <v>-4.7008547008546918E-2</v>
      </c>
      <c r="I44" s="201">
        <f>IF(ISNUMBER(G44), $B64 * H44, "")</f>
        <v>-7051.2820512820381</v>
      </c>
      <c r="J44" s="123">
        <v>22.3</v>
      </c>
      <c r="K44" s="72">
        <f>IF(ISNUMBER(J44), (J44 - $B44) / $B44, "")</f>
        <v>-4.7008547008546918E-2</v>
      </c>
      <c r="L44" s="140">
        <f>IF(ISNUMBER(J44), $B64 * K44, "")</f>
        <v>-7051.2820512820381</v>
      </c>
      <c r="M44" s="38">
        <v>22.4</v>
      </c>
      <c r="N44" s="72">
        <f>IF(ISNUMBER(M44), (M44 - $B44) / $B44, "")</f>
        <v>-4.2735042735042736E-2</v>
      </c>
      <c r="O44" s="140">
        <f>IF(ISNUMBER(M44), $B64 * N44, "")</f>
        <v>-6410.2564102564102</v>
      </c>
      <c r="Q44" s="278"/>
      <c r="R44" s="278"/>
      <c r="S44" s="278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>
        <v>50.8</v>
      </c>
      <c r="E45" s="73">
        <f t="shared" ref="E45:E48" si="28">IF(ISNUMBER(D45), (D45 - $B45) / $B45, "")</f>
        <v>-2.307692307692313E-2</v>
      </c>
      <c r="F45" s="136">
        <f>IF(ISNUMBER(D45), $B64 * E45, "")</f>
        <v>-3461.5384615384696</v>
      </c>
      <c r="G45" s="39">
        <v>49</v>
      </c>
      <c r="H45" s="73">
        <f t="shared" ref="H45:H48" si="29">IF(ISNUMBER(G45), (G45 - $B45) / $B45, "")</f>
        <v>-5.7692307692307696E-2</v>
      </c>
      <c r="I45" s="202">
        <f>IF(ISNUMBER(G45), $B64 * H45, "")</f>
        <v>-8653.8461538461543</v>
      </c>
      <c r="J45" s="125">
        <v>49.7</v>
      </c>
      <c r="K45" s="73">
        <f t="shared" ref="K45:K48" si="30">IF(ISNUMBER(J45), (J45 - $B45) / $B45, "")</f>
        <v>-4.4230769230769178E-2</v>
      </c>
      <c r="L45" s="136">
        <f>IF(ISNUMBER(J45), $B64 * K45, "")</f>
        <v>-6634.6153846153766</v>
      </c>
      <c r="M45" s="39">
        <v>49.7</v>
      </c>
      <c r="N45" s="73">
        <f t="shared" ref="N45:N48" si="31">IF(ISNUMBER(M45), (M45 - $B45) / $B45, "")</f>
        <v>-4.4230769230769178E-2</v>
      </c>
      <c r="O45" s="136">
        <f>IF(ISNUMBER(M45), $B64 * N45, "")</f>
        <v>-6634.6153846153766</v>
      </c>
      <c r="Q45" s="278"/>
      <c r="R45" s="278"/>
      <c r="S45" s="278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>
        <v>39.200000000000003</v>
      </c>
      <c r="E46" s="73">
        <f t="shared" si="28"/>
        <v>-1.7543859649122702E-2</v>
      </c>
      <c r="F46" s="136">
        <f>IF(ISNUMBER(D46), $B64 * E46, "")</f>
        <v>-2631.5789473684054</v>
      </c>
      <c r="G46" s="39">
        <v>37.4</v>
      </c>
      <c r="H46" s="73">
        <f t="shared" si="29"/>
        <v>-6.2656641604010022E-2</v>
      </c>
      <c r="I46" s="202">
        <f>IF(ISNUMBER(G46), $B64 * H46, "")</f>
        <v>-9398.4962406015038</v>
      </c>
      <c r="J46" s="125">
        <v>37.6</v>
      </c>
      <c r="K46" s="73">
        <f t="shared" si="30"/>
        <v>-5.764411027568915E-2</v>
      </c>
      <c r="L46" s="136">
        <f>IF(ISNUMBER(J46), $B64 * K46, "")</f>
        <v>-8646.6165413533727</v>
      </c>
      <c r="M46" s="39">
        <v>37.9</v>
      </c>
      <c r="N46" s="73">
        <f t="shared" si="31"/>
        <v>-5.0125313283208024E-2</v>
      </c>
      <c r="O46" s="136">
        <f>IF(ISNUMBER(M46), $B64 * N46, "")</f>
        <v>-7518.7969924812032</v>
      </c>
      <c r="Q46" s="268"/>
      <c r="R46" s="268"/>
      <c r="S46" s="268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>
        <v>18.7</v>
      </c>
      <c r="E47" s="73">
        <f t="shared" si="28"/>
        <v>4.4692737430167641E-2</v>
      </c>
      <c r="F47" s="136">
        <f>IF(ISNUMBER(D47), $B64 * E47, "")</f>
        <v>6703.9106145251462</v>
      </c>
      <c r="G47" s="39">
        <v>18.3</v>
      </c>
      <c r="H47" s="73">
        <f t="shared" si="29"/>
        <v>2.2346368715083921E-2</v>
      </c>
      <c r="I47" s="202">
        <f>IF(ISNUMBER(G47), $B64 * H47, "")</f>
        <v>3351.9553072625881</v>
      </c>
      <c r="J47" s="125">
        <v>18.7</v>
      </c>
      <c r="K47" s="73">
        <f t="shared" si="30"/>
        <v>4.4692737430167641E-2</v>
      </c>
      <c r="L47" s="136">
        <f>IF(ISNUMBER(J47), $B64 * K47, "")</f>
        <v>6703.9106145251462</v>
      </c>
      <c r="M47" s="39">
        <v>18.399999999999999</v>
      </c>
      <c r="N47" s="73">
        <f t="shared" si="31"/>
        <v>2.793296089385475E-2</v>
      </c>
      <c r="O47" s="136">
        <f>IF(ISNUMBER(M47), $B64 * N47, "")</f>
        <v>4189.9441340782123</v>
      </c>
      <c r="Q47" s="268"/>
      <c r="R47" s="268"/>
      <c r="S47" s="268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>
        <v>16</v>
      </c>
      <c r="E48" s="74">
        <f t="shared" si="28"/>
        <v>-6.2111801242236905E-3</v>
      </c>
      <c r="F48" s="203">
        <f>IF(ISNUMBER(D48), $B64 * E48, "")</f>
        <v>-931.67701863355353</v>
      </c>
      <c r="G48" s="44">
        <v>15.7</v>
      </c>
      <c r="H48" s="74">
        <f t="shared" si="29"/>
        <v>-2.484472049689454E-2</v>
      </c>
      <c r="I48" s="204">
        <f>IF(ISNUMBER(G48), $B64 * H48, "")</f>
        <v>-3726.7080745341809</v>
      </c>
      <c r="J48" s="127">
        <v>15.7</v>
      </c>
      <c r="K48" s="74">
        <f t="shared" si="30"/>
        <v>-2.484472049689454E-2</v>
      </c>
      <c r="L48" s="203">
        <f>IF(ISNUMBER(J48), $B64 * K48, "")</f>
        <v>-3726.7080745341809</v>
      </c>
      <c r="M48" s="44">
        <v>15.7</v>
      </c>
      <c r="N48" s="74">
        <f t="shared" si="31"/>
        <v>-2.484472049689454E-2</v>
      </c>
      <c r="O48" s="203">
        <f>IF(ISNUMBER(M48), $B64 * N48, "")</f>
        <v>-3726.7080745341809</v>
      </c>
      <c r="Q48" s="268"/>
      <c r="R48" s="268"/>
      <c r="S48" s="268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>
        <v>63.8</v>
      </c>
      <c r="E49" s="76">
        <f>IF(ISNUMBER(D49), (D49 - $B49) / $B49, "")</f>
        <v>-9.3167701863355358E-3</v>
      </c>
      <c r="F49" s="205">
        <f>IF(ISNUMBER(D49), $B64 * E49, "")</f>
        <v>-1397.5155279503304</v>
      </c>
      <c r="G49" s="45">
        <v>61.1</v>
      </c>
      <c r="H49" s="76">
        <f>IF(ISNUMBER(G49), (G49 - $B49) / $B49, "")</f>
        <v>-5.1242236024844783E-2</v>
      </c>
      <c r="I49" s="206">
        <f>IF(ISNUMBER(G49), $B64 * H49, "")</f>
        <v>-7686.3354037267172</v>
      </c>
      <c r="J49" s="128">
        <v>61.4</v>
      </c>
      <c r="K49" s="76">
        <f>IF(ISNUMBER(J49), (J49 - $B49) / $B49, "")</f>
        <v>-4.6583850931677127E-2</v>
      </c>
      <c r="L49" s="205">
        <f>IF(ISNUMBER(J49), $B64 * K49, "")</f>
        <v>-6987.5776397515692</v>
      </c>
      <c r="M49" s="45">
        <v>61.6</v>
      </c>
      <c r="N49" s="76">
        <f>IF(ISNUMBER(M49), (M49 - $B49) / $B49, "")</f>
        <v>-4.3478260869565279E-2</v>
      </c>
      <c r="O49" s="205">
        <f>IF(ISNUMBER(M49), $B64 * N49, "")</f>
        <v>-6521.7391304347921</v>
      </c>
      <c r="Q49" s="268"/>
      <c r="R49" s="268"/>
      <c r="S49" s="268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>
        <v>24</v>
      </c>
      <c r="E50" s="73">
        <f t="shared" ref="E50:E53" si="32">IF(ISNUMBER(D50), (D50 - $B50) / $B50, "")</f>
        <v>-4.1493775933610548E-3</v>
      </c>
      <c r="F50" s="136">
        <f>IF(ISNUMBER(D50), $B64 * E50, "")</f>
        <v>-622.40663900415825</v>
      </c>
      <c r="G50" s="39">
        <v>23</v>
      </c>
      <c r="H50" s="73">
        <f t="shared" ref="H50:H53" si="33">IF(ISNUMBER(G50), (G50 - $B50) / $B50, "")</f>
        <v>-4.5643153526971007E-2</v>
      </c>
      <c r="I50" s="202">
        <f>IF(ISNUMBER(G50), $B64 * H50, "")</f>
        <v>-6846.4730290456509</v>
      </c>
      <c r="J50" s="125">
        <v>23.2</v>
      </c>
      <c r="K50" s="73">
        <f t="shared" ref="K50:K53" si="34">IF(ISNUMBER(J50), (J50 - $B50) / $B50, "")</f>
        <v>-3.7344398340249052E-2</v>
      </c>
      <c r="L50" s="136">
        <f>IF(ISNUMBER(J50), $B64 * K50, "")</f>
        <v>-5601.6597510373576</v>
      </c>
      <c r="M50" s="39">
        <v>23.4</v>
      </c>
      <c r="N50" s="73">
        <f t="shared" ref="N50:N53" si="35">IF(ISNUMBER(M50), (M50 - $B50) / $B50, "")</f>
        <v>-2.9045643153527086E-2</v>
      </c>
      <c r="O50" s="136">
        <f>IF(ISNUMBER(M50), $B64 * N50, "")</f>
        <v>-4356.8464730290625</v>
      </c>
      <c r="Q50" s="268"/>
      <c r="R50" s="268"/>
      <c r="S50" s="268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>
        <v>15.9</v>
      </c>
      <c r="E51" s="73">
        <f t="shared" si="32"/>
        <v>-6.2499999999999778E-3</v>
      </c>
      <c r="F51" s="136">
        <f>IF(ISNUMBER(D51), $B64 * E51, "")</f>
        <v>-937.4999999999967</v>
      </c>
      <c r="G51" s="39">
        <v>15.3</v>
      </c>
      <c r="H51" s="73">
        <f t="shared" si="33"/>
        <v>-4.3749999999999956E-2</v>
      </c>
      <c r="I51" s="202">
        <f>IF(ISNUMBER(G51), $B64 * H51, "")</f>
        <v>-6562.4999999999936</v>
      </c>
      <c r="J51" s="125">
        <v>15.6</v>
      </c>
      <c r="K51" s="73">
        <f t="shared" si="34"/>
        <v>-2.5000000000000022E-2</v>
      </c>
      <c r="L51" s="136">
        <f>IF(ISNUMBER(J51), $B64 * K51, "")</f>
        <v>-3750.0000000000032</v>
      </c>
      <c r="M51" s="39">
        <v>15.4</v>
      </c>
      <c r="N51" s="73">
        <f t="shared" si="35"/>
        <v>-3.7499999999999978E-2</v>
      </c>
      <c r="O51" s="136">
        <f>IF(ISNUMBER(M51), $B64 * N51, "")</f>
        <v>-5624.9999999999964</v>
      </c>
      <c r="Q51" s="268"/>
      <c r="R51" s="268"/>
      <c r="S51" s="268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>
        <v>18.2</v>
      </c>
      <c r="E52" s="73">
        <f t="shared" si="32"/>
        <v>2.247191011235947E-2</v>
      </c>
      <c r="F52" s="136">
        <f>IF(ISNUMBER(D52), $B64 * E52, "")</f>
        <v>3370.7865168539206</v>
      </c>
      <c r="G52" s="39">
        <v>17.399999999999999</v>
      </c>
      <c r="H52" s="73">
        <f t="shared" si="33"/>
        <v>-2.2471910112359668E-2</v>
      </c>
      <c r="I52" s="202">
        <f>IF(ISNUMBER(G52), $B64 * H52, "")</f>
        <v>-3370.7865168539502</v>
      </c>
      <c r="J52" s="125">
        <v>17.5</v>
      </c>
      <c r="K52" s="73">
        <f t="shared" si="34"/>
        <v>-1.6853932584269701E-2</v>
      </c>
      <c r="L52" s="136">
        <f>IF(ISNUMBER(J52), $B64 * K52, "")</f>
        <v>-2528.0898876404549</v>
      </c>
      <c r="M52" s="39">
        <v>17.600000000000001</v>
      </c>
      <c r="N52" s="73">
        <f t="shared" si="35"/>
        <v>-1.1235955056179735E-2</v>
      </c>
      <c r="O52" s="136">
        <f>IF(ISNUMBER(M52), $B64 * N52, "")</f>
        <v>-1685.3932584269603</v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>
        <v>17.899999999999999</v>
      </c>
      <c r="E53" s="75">
        <f t="shared" si="32"/>
        <v>5.6179775280897678E-3</v>
      </c>
      <c r="F53" s="137">
        <f>IF(ISNUMBER(D53), $B64 * E53, "")</f>
        <v>842.69662921346514</v>
      </c>
      <c r="G53" s="37">
        <v>17.399999999999999</v>
      </c>
      <c r="H53" s="75">
        <f t="shared" si="33"/>
        <v>-2.2471910112359668E-2</v>
      </c>
      <c r="I53" s="207">
        <f>IF(ISNUMBER(G53), $B64 * H53, "")</f>
        <v>-3370.7865168539502</v>
      </c>
      <c r="J53" s="130">
        <v>17.5</v>
      </c>
      <c r="K53" s="75">
        <f t="shared" si="34"/>
        <v>-1.6853932584269701E-2</v>
      </c>
      <c r="L53" s="137">
        <f>IF(ISNUMBER(J53), $B64 * K53, "")</f>
        <v>-2528.0898876404549</v>
      </c>
      <c r="M53" s="37">
        <v>17.600000000000001</v>
      </c>
      <c r="N53" s="75">
        <f t="shared" si="35"/>
        <v>-1.1235955056179735E-2</v>
      </c>
      <c r="O53" s="137">
        <f>IF(ISNUMBER(M53), $B64 * N53, "")</f>
        <v>-1685.3932584269603</v>
      </c>
      <c r="Q53" s="269"/>
      <c r="R53" s="270"/>
      <c r="S53" s="271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>
        <v>23.6</v>
      </c>
      <c r="E54" s="72">
        <f>IF(ISNUMBER(D54), (D54 - $B54) / $B54, "")</f>
        <v>0</v>
      </c>
      <c r="F54" s="140">
        <f>IF(ISNUMBER(D54), $B64 * E54, "")</f>
        <v>0</v>
      </c>
      <c r="G54" s="38">
        <v>22.7</v>
      </c>
      <c r="H54" s="72">
        <f>IF(ISNUMBER(G54), (G54 - $B54) / $B54, "")</f>
        <v>-3.8135593220339069E-2</v>
      </c>
      <c r="I54" s="201">
        <f>IF(ISNUMBER(G54), $B64 * H54, "")</f>
        <v>-5720.3389830508604</v>
      </c>
      <c r="J54" s="123">
        <v>22.9</v>
      </c>
      <c r="K54" s="72">
        <f>IF(ISNUMBER(J54), (J54 - $B54) / $B54, "")</f>
        <v>-2.9661016949152661E-2</v>
      </c>
      <c r="L54" s="140">
        <f>IF(ISNUMBER(J54), $B64 * K54, "")</f>
        <v>-4449.152542372899</v>
      </c>
      <c r="M54" s="38">
        <v>23</v>
      </c>
      <c r="N54" s="72">
        <f>IF(ISNUMBER(M54), (M54 - $B54) / $B54, "")</f>
        <v>-2.5423728813559379E-2</v>
      </c>
      <c r="O54" s="140">
        <f>IF(ISNUMBER(M54), $B64 * N54, "")</f>
        <v>-3813.5593220339069</v>
      </c>
      <c r="Q54" s="272"/>
      <c r="R54" s="273"/>
      <c r="S54" s="274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>
        <v>89.5</v>
      </c>
      <c r="E55" s="73">
        <f t="shared" ref="E55:E58" si="36">IF(ISNUMBER(D55), (D55 - $B55) / $B55, "")</f>
        <v>4.6783625730994149E-2</v>
      </c>
      <c r="F55" s="136">
        <f>IF(ISNUMBER(D55), $B64 * E55, "")</f>
        <v>7017.5438596491222</v>
      </c>
      <c r="G55" s="39">
        <v>86.9</v>
      </c>
      <c r="H55" s="73">
        <f t="shared" ref="H55:H58" si="37">IF(ISNUMBER(G55), (G55 - $B55) / $B55, "")</f>
        <v>1.637426900584802E-2</v>
      </c>
      <c r="I55" s="202">
        <f>IF(ISNUMBER(G55), $B64 * H55, "")</f>
        <v>2456.1403508772032</v>
      </c>
      <c r="J55" s="125">
        <v>88</v>
      </c>
      <c r="K55" s="73">
        <f t="shared" ref="K55:K58" si="38">IF(ISNUMBER(J55), (J55 - $B55) / $B55, "")</f>
        <v>2.9239766081871343E-2</v>
      </c>
      <c r="L55" s="136">
        <f>IF(ISNUMBER(J55), $B64 * K55, "")</f>
        <v>4385.9649122807014</v>
      </c>
      <c r="M55" s="39">
        <v>88</v>
      </c>
      <c r="N55" s="73">
        <f t="shared" ref="N55:N58" si="39">IF(ISNUMBER(M55), (M55 - $B55) / $B55, "")</f>
        <v>2.9239766081871343E-2</v>
      </c>
      <c r="O55" s="136">
        <f>IF(ISNUMBER(M55), $B64 * N55, "")</f>
        <v>4385.9649122807014</v>
      </c>
      <c r="Q55" s="275"/>
      <c r="R55" s="276"/>
      <c r="S55" s="277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>
        <v>7.41</v>
      </c>
      <c r="E56" s="73">
        <f t="shared" si="36"/>
        <v>-1.5936254980079695E-2</v>
      </c>
      <c r="F56" s="136">
        <f>IF(ISNUMBER(D56), $B64 * E56, "")</f>
        <v>-2390.4382470119544</v>
      </c>
      <c r="G56" s="39">
        <v>7.24</v>
      </c>
      <c r="H56" s="73">
        <f t="shared" si="37"/>
        <v>-3.851261620185923E-2</v>
      </c>
      <c r="I56" s="202">
        <f>IF(ISNUMBER(G56), $B64 * H56, "")</f>
        <v>-5776.8924302788846</v>
      </c>
      <c r="J56" s="125">
        <v>7.28</v>
      </c>
      <c r="K56" s="73">
        <f t="shared" si="38"/>
        <v>-3.3200531208499334E-2</v>
      </c>
      <c r="L56" s="136">
        <f>IF(ISNUMBER(J56), $B64 * K56, "")</f>
        <v>-4980.0796812749004</v>
      </c>
      <c r="M56" s="39">
        <v>7.38</v>
      </c>
      <c r="N56" s="73">
        <f t="shared" si="39"/>
        <v>-1.992031872509965E-2</v>
      </c>
      <c r="O56" s="136">
        <f>IF(ISNUMBER(M56), $B64 * N56, "")</f>
        <v>-2988.0478087649476</v>
      </c>
      <c r="Q56" s="268"/>
      <c r="R56" s="268"/>
      <c r="S56" s="268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>
        <v>74.7</v>
      </c>
      <c r="E57" s="73">
        <f t="shared" si="36"/>
        <v>2.4691358024691318E-2</v>
      </c>
      <c r="F57" s="136">
        <f>IF(ISNUMBER(D57), $B64 * E57, "")</f>
        <v>3703.7037037036976</v>
      </c>
      <c r="G57" s="39">
        <v>71.099999999999994</v>
      </c>
      <c r="H57" s="73">
        <f t="shared" si="37"/>
        <v>-2.4691358024691513E-2</v>
      </c>
      <c r="I57" s="202">
        <f>IF(ISNUMBER(G57), $B64 * H57, "")</f>
        <v>-3703.7037037037271</v>
      </c>
      <c r="J57" s="125">
        <v>71.8</v>
      </c>
      <c r="K57" s="73">
        <f t="shared" si="38"/>
        <v>-1.5089163237311501E-2</v>
      </c>
      <c r="L57" s="136">
        <f>IF(ISNUMBER(J57), $B64 * K57, "")</f>
        <v>-2263.3744855967252</v>
      </c>
      <c r="M57" s="39">
        <v>71.7</v>
      </c>
      <c r="N57" s="73">
        <f t="shared" si="39"/>
        <v>-1.6460905349794275E-2</v>
      </c>
      <c r="O57" s="136">
        <f>IF(ISNUMBER(M57), $B64 * N57, "")</f>
        <v>-2469.1358024691413</v>
      </c>
      <c r="Q57" s="278"/>
      <c r="R57" s="278"/>
      <c r="S57" s="278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>
        <v>19.7</v>
      </c>
      <c r="E58" s="74">
        <f t="shared" si="36"/>
        <v>1.025641025641022E-2</v>
      </c>
      <c r="F58" s="203">
        <f>IF(ISNUMBER(D58), $B64 * E58, "")</f>
        <v>1538.4615384615331</v>
      </c>
      <c r="G58" s="44">
        <v>19</v>
      </c>
      <c r="H58" s="74">
        <f t="shared" si="37"/>
        <v>-2.564102564102564E-2</v>
      </c>
      <c r="I58" s="204">
        <f>IF(ISNUMBER(G58), $B64 * H58, "")</f>
        <v>-3846.1538461538462</v>
      </c>
      <c r="J58" s="127">
        <v>19.2</v>
      </c>
      <c r="K58" s="74">
        <f t="shared" si="38"/>
        <v>-1.5384615384615422E-2</v>
      </c>
      <c r="L58" s="203">
        <f>IF(ISNUMBER(J58), $B64 * K58, "")</f>
        <v>-2307.6923076923131</v>
      </c>
      <c r="M58" s="44">
        <v>19.100000000000001</v>
      </c>
      <c r="N58" s="74">
        <f t="shared" si="39"/>
        <v>-2.051282051282044E-2</v>
      </c>
      <c r="O58" s="203">
        <f>IF(ISNUMBER(M58), $B64 * N58, "")</f>
        <v>-3076.9230769230662</v>
      </c>
      <c r="Q58" s="278"/>
      <c r="R58" s="278"/>
      <c r="S58" s="278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>
        <v>32.1</v>
      </c>
      <c r="E59" s="76">
        <f>IF(ISNUMBER(D59), (D59 - $B59) / $B59, "")</f>
        <v>1.2618296529968522E-2</v>
      </c>
      <c r="F59" s="205">
        <f>IF(ISNUMBER(D59), $B64 * E59, "")</f>
        <v>1892.7444794952783</v>
      </c>
      <c r="G59" s="45">
        <v>30.6</v>
      </c>
      <c r="H59" s="76">
        <f>IF(ISNUMBER(G59), (G59 - $B59) / $B59, "")</f>
        <v>-3.4700315457413186E-2</v>
      </c>
      <c r="I59" s="206">
        <f>IF(ISNUMBER(G59), $B64 * H59, "")</f>
        <v>-5205.047318611978</v>
      </c>
      <c r="J59" s="128">
        <v>30.7</v>
      </c>
      <c r="K59" s="76">
        <f>IF(ISNUMBER(J59), (J59 - $B59) / $B59, "")</f>
        <v>-3.1545741324921134E-2</v>
      </c>
      <c r="L59" s="205">
        <f>IF(ISNUMBER(J59), $B64 * K59, "")</f>
        <v>-4731.8611987381701</v>
      </c>
      <c r="M59" s="45">
        <v>31.2</v>
      </c>
      <c r="N59" s="76">
        <f>IF(ISNUMBER(M59), (M59 - $B59) / $B59, "")</f>
        <v>-1.5772870662460567E-2</v>
      </c>
      <c r="O59" s="205">
        <f>IF(ISNUMBER(M59), $B64 * N59, "")</f>
        <v>-2365.930599369085</v>
      </c>
      <c r="Q59" s="268"/>
      <c r="R59" s="268"/>
      <c r="S59" s="268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>
        <v>80.900000000000006</v>
      </c>
      <c r="E60" s="73">
        <f t="shared" ref="E60:E63" si="40">IF(ISNUMBER(D60), (D60 - $B60) / $B60, "")</f>
        <v>1.7610062893081833E-2</v>
      </c>
      <c r="F60" s="136">
        <f>IF(ISNUMBER(D60), $B64 * E60, "")</f>
        <v>2641.5094339622751</v>
      </c>
      <c r="G60" s="39">
        <v>77.900000000000006</v>
      </c>
      <c r="H60" s="73">
        <f t="shared" ref="H60:H63" si="41">IF(ISNUMBER(G60), (G60 - $B60) / $B60, "")</f>
        <v>-2.0125786163521942E-2</v>
      </c>
      <c r="I60" s="202">
        <f>IF(ISNUMBER(G60), $B64 * H60, "")</f>
        <v>-3018.8679245282915</v>
      </c>
      <c r="J60" s="125">
        <v>78.400000000000006</v>
      </c>
      <c r="K60" s="73">
        <f t="shared" ref="K60:K63" si="42">IF(ISNUMBER(J60), (J60 - $B60) / $B60, "")</f>
        <v>-1.3836477987421313E-2</v>
      </c>
      <c r="L60" s="136">
        <f>IF(ISNUMBER(J60), $B64 * K60, "")</f>
        <v>-2075.4716981131969</v>
      </c>
      <c r="M60" s="39">
        <v>79</v>
      </c>
      <c r="N60" s="73">
        <f t="shared" ref="N60:N63" si="43">IF(ISNUMBER(M60), (M60 - $B60) / $B60, "")</f>
        <v>-6.2893081761006293E-3</v>
      </c>
      <c r="O60" s="136">
        <f>IF(ISNUMBER(M60), $B64 * N60, "")</f>
        <v>-943.39622641509436</v>
      </c>
      <c r="Q60" s="268"/>
      <c r="R60" s="268"/>
      <c r="S60" s="268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>
        <v>74.3</v>
      </c>
      <c r="E61" s="73">
        <f t="shared" si="40"/>
        <v>7.5253256150506556E-2</v>
      </c>
      <c r="F61" s="136">
        <f>IF(ISNUMBER(D61), $B64 * E61, "")</f>
        <v>11287.988422575983</v>
      </c>
      <c r="G61" s="39">
        <v>70</v>
      </c>
      <c r="H61" s="73">
        <f t="shared" si="41"/>
        <v>1.3024602026049287E-2</v>
      </c>
      <c r="I61" s="202">
        <f>IF(ISNUMBER(G61), $B64 * H61, "")</f>
        <v>1953.6903039073932</v>
      </c>
      <c r="J61" s="125">
        <v>70.7</v>
      </c>
      <c r="K61" s="73">
        <f t="shared" si="42"/>
        <v>2.3154848046309823E-2</v>
      </c>
      <c r="L61" s="136">
        <f>IF(ISNUMBER(J61), $B64 * K61, "")</f>
        <v>3473.2272069464734</v>
      </c>
      <c r="M61" s="39">
        <v>70.7</v>
      </c>
      <c r="N61" s="73">
        <f t="shared" si="43"/>
        <v>2.3154848046309823E-2</v>
      </c>
      <c r="O61" s="136">
        <f>IF(ISNUMBER(M61), $B64 * N61, "")</f>
        <v>3473.2272069464734</v>
      </c>
      <c r="Q61" s="268"/>
      <c r="R61" s="268"/>
      <c r="S61" s="268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>
        <v>22.9</v>
      </c>
      <c r="E62" s="73">
        <f t="shared" si="40"/>
        <v>-4.3478260869565834E-3</v>
      </c>
      <c r="F62" s="136">
        <f>IF(ISNUMBER(D62), $B64 * E62, "")</f>
        <v>-652.17391304348746</v>
      </c>
      <c r="G62" s="39">
        <v>22.4</v>
      </c>
      <c r="H62" s="73">
        <f t="shared" si="41"/>
        <v>-2.6086956521739191E-2</v>
      </c>
      <c r="I62" s="202">
        <f>IF(ISNUMBER(G62), $B64 * H62, "")</f>
        <v>-3913.0434782608786</v>
      </c>
      <c r="J62" s="125">
        <v>22.6</v>
      </c>
      <c r="K62" s="73">
        <f t="shared" si="42"/>
        <v>-1.7391304347826025E-2</v>
      </c>
      <c r="L62" s="136">
        <f>IF(ISNUMBER(J62), $B64 * K62, "")</f>
        <v>-2608.6956521739039</v>
      </c>
      <c r="M62" s="39">
        <v>22.5</v>
      </c>
      <c r="N62" s="73">
        <f t="shared" si="43"/>
        <v>-2.1739130434782608E-2</v>
      </c>
      <c r="O62" s="136">
        <f>IF(ISNUMBER(M62), $B64 * N62, "")</f>
        <v>-3260.869565217391</v>
      </c>
      <c r="Q62" s="257"/>
      <c r="R62" s="258"/>
      <c r="S62" s="259"/>
    </row>
    <row r="63" spans="1:19" ht="17.25" customHeight="1" thickBot="1">
      <c r="A63" s="129" t="s">
        <v>405</v>
      </c>
      <c r="B63" s="130">
        <v>242</v>
      </c>
      <c r="C63" s="75">
        <v>-4.1000000000000003E-3</v>
      </c>
      <c r="D63" s="130">
        <v>253</v>
      </c>
      <c r="E63" s="75">
        <f t="shared" si="40"/>
        <v>4.5454545454545456E-2</v>
      </c>
      <c r="F63" s="137">
        <f>IF(ISNUMBER(D63), $B64 * E63, "")</f>
        <v>6818.181818181818</v>
      </c>
      <c r="G63" s="37">
        <v>240</v>
      </c>
      <c r="H63" s="75">
        <f t="shared" si="41"/>
        <v>-8.2644628099173556E-3</v>
      </c>
      <c r="I63" s="207">
        <f>IF(ISNUMBER(G63), $B64 * H63, "")</f>
        <v>-1239.6694214876034</v>
      </c>
      <c r="J63" s="130">
        <v>241</v>
      </c>
      <c r="K63" s="75">
        <f t="shared" si="42"/>
        <v>-4.1322314049586778E-3</v>
      </c>
      <c r="L63" s="137">
        <f>IF(ISNUMBER(J63), $B64 * K63, "")</f>
        <v>-619.83471074380168</v>
      </c>
      <c r="M63" s="37">
        <v>243</v>
      </c>
      <c r="N63" s="75">
        <f t="shared" si="43"/>
        <v>4.1322314049586778E-3</v>
      </c>
      <c r="O63" s="137">
        <f>IF(ISNUMBER(M63), $B64 * N63, "")</f>
        <v>619.83471074380168</v>
      </c>
      <c r="Q63" s="260"/>
      <c r="R63" s="261"/>
      <c r="S63" s="262"/>
    </row>
    <row r="64" spans="1:19" ht="17.25" customHeight="1" thickBot="1">
      <c r="A64" s="131" t="s">
        <v>301</v>
      </c>
      <c r="B64" s="330">
        <f>$B$37</f>
        <v>150000</v>
      </c>
      <c r="C64" s="331"/>
      <c r="D64" s="131" t="s">
        <v>302</v>
      </c>
      <c r="E64" s="236">
        <f>IF(COUNT(E44:E63), SUM(E44:E63) / COUNT(E44:E63), 0)</f>
        <v>1.0076198565989777E-2</v>
      </c>
      <c r="F64" s="208">
        <f>SUM(F44:F63)</f>
        <v>30228.595697969329</v>
      </c>
      <c r="G64" s="131" t="s">
        <v>302</v>
      </c>
      <c r="H64" s="236">
        <f>IF(COUNT(H44:H63), SUM(H44:H63) / COUNT(H44:H63), 0)</f>
        <v>-2.7109715043591005E-2</v>
      </c>
      <c r="I64" s="208">
        <f>SUM(I44:I63)</f>
        <v>-81329.145130773031</v>
      </c>
      <c r="J64" s="131" t="s">
        <v>302</v>
      </c>
      <c r="K64" s="236">
        <f>IF(COUNT(K44:K63), SUM(K44:K63) / COUNT(K44:K63), 0)</f>
        <v>-1.8975899586936136E-2</v>
      </c>
      <c r="L64" s="208">
        <f>SUM(L44:L63)</f>
        <v>-56927.698760808395</v>
      </c>
      <c r="M64" s="131" t="s">
        <v>302</v>
      </c>
      <c r="N64" s="236">
        <f>IF(COUNT(N44:N63), SUM(N44:N63) / COUNT(N44:N63), 0)</f>
        <v>-1.6804546806449459E-2</v>
      </c>
      <c r="O64" s="208">
        <f>SUM(O44:O63)</f>
        <v>-50413.640419348376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33" t="s">
        <v>298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55555000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-3.6323266700000002E-2</v>
      </c>
      <c r="N68" s="286"/>
      <c r="O68" s="287"/>
      <c r="Q68" s="278"/>
      <c r="R68" s="278"/>
      <c r="S68" s="278"/>
    </row>
    <row r="69" spans="1:19" ht="17.25" thickBot="1">
      <c r="A69" s="332" t="s">
        <v>55</v>
      </c>
      <c r="B69" s="328" t="str">
        <f>TEXT($G$1, "[$-ko-KR]yyyy-mm-dd(ddd) ") &amp; "오전 00:00"</f>
        <v>2021-05-15(토) 오전 00:00</v>
      </c>
      <c r="C69" s="329"/>
      <c r="D69" s="279" t="str">
        <f>TEXT($G$1, "[$-ko-KR]yyyy-mm-dd(ddd) ") &amp; "오후 14:00"</f>
        <v>2021-05-15(토) 오후 14:00</v>
      </c>
      <c r="E69" s="280"/>
      <c r="F69" s="281"/>
      <c r="G69" s="279" t="str">
        <f>TEXT($G$1, "[$-ko-KR]yyyy-mm-dd(ddd) ") &amp; "오후 19:00"</f>
        <v>2021-05-15(토) 오후 19:00</v>
      </c>
      <c r="H69" s="280"/>
      <c r="I69" s="281"/>
      <c r="J69" s="279" t="str">
        <f>TEXT($G$1, "[$-ko-KR]yyyy-mm-dd(ddd) ") &amp; "오후 21:00"</f>
        <v>2021-05-15(토) 오후 21:00</v>
      </c>
      <c r="K69" s="280"/>
      <c r="L69" s="281"/>
      <c r="M69" s="279" t="str">
        <f>TEXT($G$1+1, "[$-ko-KR]yyyy-mm-dd(ddd) ") &amp; "오전 00:00"</f>
        <v>2021-05-16(일) 오전 00:00</v>
      </c>
      <c r="N69" s="280"/>
      <c r="O69" s="281"/>
      <c r="Q69" s="278"/>
      <c r="R69" s="278"/>
      <c r="S69" s="278"/>
    </row>
    <row r="70" spans="1:19" ht="17.25" thickBot="1">
      <c r="A70" s="333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268"/>
      <c r="R70" s="268"/>
      <c r="S70" s="268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>
        <v>661</v>
      </c>
      <c r="E71" s="72">
        <f>IF(ISNUMBER(D71), (D71 - $B71) / $B71, "")</f>
        <v>-1.5105740181268882E-3</v>
      </c>
      <c r="F71" s="140">
        <f>IF(ISNUMBER(D71), $B91 * E71, "")</f>
        <v>-226.58610271903322</v>
      </c>
      <c r="G71" s="38">
        <v>636</v>
      </c>
      <c r="H71" s="72">
        <f>IF(ISNUMBER(G71), (G71 - $B71) / $B71, "")</f>
        <v>-3.9274924471299093E-2</v>
      </c>
      <c r="I71" s="201">
        <f>IF(ISNUMBER(G71), $B91 * H71, "")</f>
        <v>-5891.2386706948637</v>
      </c>
      <c r="J71" s="123">
        <v>643</v>
      </c>
      <c r="K71" s="72">
        <f>IF(ISNUMBER(J71), (J71 - $B71) / $B71, "")</f>
        <v>-2.8700906344410877E-2</v>
      </c>
      <c r="L71" s="140">
        <f>IF(ISNUMBER(J71), $B91 * K71, "")</f>
        <v>-4305.1359516616312</v>
      </c>
      <c r="M71" s="38">
        <v>643</v>
      </c>
      <c r="N71" s="72">
        <f>IF(ISNUMBER(M71), (M71 - $B71) / $B71, "")</f>
        <v>-2.8700906344410877E-2</v>
      </c>
      <c r="O71" s="140">
        <f>IF(ISNUMBER(M71), $B91 * N71, "")</f>
        <v>-4305.1359516616312</v>
      </c>
      <c r="Q71" s="278"/>
      <c r="R71" s="278"/>
      <c r="S71" s="278"/>
    </row>
    <row r="72" spans="1:19" ht="17.25" thickBot="1">
      <c r="A72" s="124" t="s">
        <v>136</v>
      </c>
      <c r="B72" s="125">
        <v>243</v>
      </c>
      <c r="C72" s="73">
        <v>5.19480519E-2</v>
      </c>
      <c r="D72" s="125">
        <v>239</v>
      </c>
      <c r="E72" s="73">
        <f t="shared" ref="E72:E75" si="44">IF(ISNUMBER(D72), (D72 - $B72) / $B72, "")</f>
        <v>-1.646090534979424E-2</v>
      </c>
      <c r="F72" s="136">
        <f>IF(ISNUMBER(D72), $B91 * E72, "")</f>
        <v>-2469.1358024691358</v>
      </c>
      <c r="G72" s="39">
        <v>232</v>
      </c>
      <c r="H72" s="73">
        <f t="shared" ref="H72:H75" si="45">IF(ISNUMBER(G72), (G72 - $B72) / $B72, "")</f>
        <v>-4.5267489711934158E-2</v>
      </c>
      <c r="I72" s="202">
        <f>IF(ISNUMBER(G72), $B91 * H72, "")</f>
        <v>-6790.1234567901238</v>
      </c>
      <c r="J72" s="125">
        <v>235</v>
      </c>
      <c r="K72" s="73">
        <f t="shared" ref="K72:K75" si="46">IF(ISNUMBER(J72), (J72 - $B72) / $B72, "")</f>
        <v>-3.292181069958848E-2</v>
      </c>
      <c r="L72" s="136">
        <f>IF(ISNUMBER(J72), $B91 * K72, "")</f>
        <v>-4938.2716049382716</v>
      </c>
      <c r="M72" s="39">
        <v>235</v>
      </c>
      <c r="N72" s="73">
        <f t="shared" ref="N72:N75" si="47">IF(ISNUMBER(M72), (M72 - $B72) / $B72, "")</f>
        <v>-3.292181069958848E-2</v>
      </c>
      <c r="O72" s="136">
        <f>IF(ISNUMBER(M72), $B91 * N72, "")</f>
        <v>-4938.2716049382716</v>
      </c>
      <c r="Q72" s="278"/>
      <c r="R72" s="278"/>
      <c r="S72" s="278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>
        <v>162</v>
      </c>
      <c r="E73" s="73">
        <f t="shared" si="44"/>
        <v>1.8867924528301886E-2</v>
      </c>
      <c r="F73" s="136">
        <f>IF(ISNUMBER(D73), $B91 * E73, "")</f>
        <v>2830.1886792452829</v>
      </c>
      <c r="G73" s="39">
        <v>157</v>
      </c>
      <c r="H73" s="73">
        <f t="shared" si="45"/>
        <v>-1.2578616352201259E-2</v>
      </c>
      <c r="I73" s="202">
        <f>IF(ISNUMBER(G73), $B91 * H73, "")</f>
        <v>-1886.7924528301887</v>
      </c>
      <c r="J73" s="125">
        <v>159</v>
      </c>
      <c r="K73" s="73">
        <f t="shared" si="46"/>
        <v>0</v>
      </c>
      <c r="L73" s="136">
        <f>IF(ISNUMBER(J73), $B91 * K73, "")</f>
        <v>0</v>
      </c>
      <c r="M73" s="39">
        <v>157</v>
      </c>
      <c r="N73" s="73">
        <f t="shared" si="47"/>
        <v>-1.2578616352201259E-2</v>
      </c>
      <c r="O73" s="136">
        <f>IF(ISNUMBER(M73), $B91 * N73, "")</f>
        <v>-1886.7924528301887</v>
      </c>
      <c r="Q73" s="268"/>
      <c r="R73" s="268"/>
      <c r="S73" s="268"/>
    </row>
    <row r="74" spans="1:19" ht="17.25" thickBot="1">
      <c r="A74" s="124" t="s">
        <v>260</v>
      </c>
      <c r="B74" s="125">
        <v>123</v>
      </c>
      <c r="C74" s="73">
        <v>4.23728814E-2</v>
      </c>
      <c r="D74" s="125">
        <v>131</v>
      </c>
      <c r="E74" s="73">
        <f t="shared" si="44"/>
        <v>6.5040650406504072E-2</v>
      </c>
      <c r="F74" s="136">
        <f>IF(ISNUMBER(D74), $B91 * E74, "")</f>
        <v>9756.0975609756115</v>
      </c>
      <c r="G74" s="39">
        <v>127</v>
      </c>
      <c r="H74" s="73">
        <f t="shared" si="45"/>
        <v>3.2520325203252036E-2</v>
      </c>
      <c r="I74" s="202">
        <f>IF(ISNUMBER(G74), $B91 * H74, "")</f>
        <v>4878.0487804878057</v>
      </c>
      <c r="J74" s="125">
        <v>128</v>
      </c>
      <c r="K74" s="73">
        <f t="shared" si="46"/>
        <v>4.065040650406504E-2</v>
      </c>
      <c r="L74" s="136">
        <f>IF(ISNUMBER(J74), $B91 * K74, "")</f>
        <v>6097.5609756097556</v>
      </c>
      <c r="M74" s="39">
        <v>131</v>
      </c>
      <c r="N74" s="73">
        <f t="shared" si="47"/>
        <v>6.5040650406504072E-2</v>
      </c>
      <c r="O74" s="136">
        <f>IF(ISNUMBER(M74), $B91 * N74, "")</f>
        <v>9756.0975609756115</v>
      </c>
      <c r="Q74" s="268"/>
      <c r="R74" s="268"/>
      <c r="S74" s="268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>
        <v>412</v>
      </c>
      <c r="E75" s="74">
        <f t="shared" si="44"/>
        <v>-2.3696682464454975E-2</v>
      </c>
      <c r="F75" s="203">
        <f>IF(ISNUMBER(D75), $B91 * E75, "")</f>
        <v>-3554.502369668246</v>
      </c>
      <c r="G75" s="44">
        <v>402</v>
      </c>
      <c r="H75" s="74">
        <f t="shared" si="45"/>
        <v>-4.7393364928909949E-2</v>
      </c>
      <c r="I75" s="204">
        <f>IF(ISNUMBER(G75), $B91 * H75, "")</f>
        <v>-7109.0047393364921</v>
      </c>
      <c r="J75" s="127">
        <v>403</v>
      </c>
      <c r="K75" s="74">
        <f t="shared" si="46"/>
        <v>-4.5023696682464455E-2</v>
      </c>
      <c r="L75" s="203">
        <f>IF(ISNUMBER(J75), $B91 * K75, "")</f>
        <v>-6753.5545023696686</v>
      </c>
      <c r="M75" s="44">
        <v>407</v>
      </c>
      <c r="N75" s="74">
        <f t="shared" si="47"/>
        <v>-3.5545023696682464E-2</v>
      </c>
      <c r="O75" s="203">
        <f>IF(ISNUMBER(M75), $B91 * N75, "")</f>
        <v>-5331.7535545023693</v>
      </c>
      <c r="Q75" s="268"/>
      <c r="R75" s="268"/>
      <c r="S75" s="268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>
        <v>574</v>
      </c>
      <c r="E76" s="76">
        <f>IF(ISNUMBER(D76), (D76 - $B76) / $B76, "")</f>
        <v>3.9855072463768113E-2</v>
      </c>
      <c r="F76" s="205">
        <f>IF(ISNUMBER(D76), $B91 * E76, "")</f>
        <v>5978.260869565217</v>
      </c>
      <c r="G76" s="45">
        <v>569</v>
      </c>
      <c r="H76" s="76">
        <f>IF(ISNUMBER(G76), (G76 - $B76) / $B76, "")</f>
        <v>3.0797101449275364E-2</v>
      </c>
      <c r="I76" s="206">
        <f>IF(ISNUMBER(G76), $B91 * H76, "")</f>
        <v>4619.5652173913049</v>
      </c>
      <c r="J76" s="128">
        <v>606</v>
      </c>
      <c r="K76" s="76">
        <f>IF(ISNUMBER(J76), (J76 - $B76) / $B76, "")</f>
        <v>9.7826086956521743E-2</v>
      </c>
      <c r="L76" s="205">
        <f>IF(ISNUMBER(J76), $B91 * K76, "")</f>
        <v>14673.913043478262</v>
      </c>
      <c r="M76" s="45">
        <v>588</v>
      </c>
      <c r="N76" s="76">
        <f>IF(ISNUMBER(M76), (M76 - $B76) / $B76, "")</f>
        <v>6.5217391304347824E-2</v>
      </c>
      <c r="O76" s="205">
        <f>IF(ISNUMBER(M76), $B91 * N76, "")</f>
        <v>9782.608695652174</v>
      </c>
      <c r="Q76" s="268"/>
      <c r="R76" s="268"/>
      <c r="S76" s="268"/>
    </row>
    <row r="77" spans="1:19" ht="17.25" thickBot="1">
      <c r="A77" s="124" t="s">
        <v>216</v>
      </c>
      <c r="B77" s="125">
        <v>444</v>
      </c>
      <c r="C77" s="73">
        <v>2.77777778E-2</v>
      </c>
      <c r="D77" s="125">
        <v>438</v>
      </c>
      <c r="E77" s="73">
        <f t="shared" ref="E77:E80" si="48">IF(ISNUMBER(D77), (D77 - $B77) / $B77, "")</f>
        <v>-1.3513513513513514E-2</v>
      </c>
      <c r="F77" s="136">
        <f>IF(ISNUMBER(D77), $B91 * E77, "")</f>
        <v>-2027.0270270270271</v>
      </c>
      <c r="G77" s="39">
        <v>426</v>
      </c>
      <c r="H77" s="73">
        <f t="shared" ref="H77:H80" si="49">IF(ISNUMBER(G77), (G77 - $B77) / $B77, "")</f>
        <v>-4.0540540540540543E-2</v>
      </c>
      <c r="I77" s="202">
        <f>IF(ISNUMBER(G77), $B91 * H77, "")</f>
        <v>-6081.0810810810817</v>
      </c>
      <c r="J77" s="125">
        <v>435</v>
      </c>
      <c r="K77" s="73">
        <f t="shared" ref="K77:K80" si="50">IF(ISNUMBER(J77), (J77 - $B77) / $B77, "")</f>
        <v>-2.0270270270270271E-2</v>
      </c>
      <c r="L77" s="136">
        <f>IF(ISNUMBER(J77), $B91 * K77, "")</f>
        <v>-3040.5405405405409</v>
      </c>
      <c r="M77" s="39">
        <v>438</v>
      </c>
      <c r="N77" s="73">
        <f t="shared" ref="N77:N80" si="51">IF(ISNUMBER(M77), (M77 - $B77) / $B77, "")</f>
        <v>-1.3513513513513514E-2</v>
      </c>
      <c r="O77" s="136">
        <f>IF(ISNUMBER(M77), $B91 * N77, "")</f>
        <v>-2027.0270270270271</v>
      </c>
      <c r="Q77" s="268"/>
      <c r="R77" s="268"/>
      <c r="S77" s="268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>
        <v>242</v>
      </c>
      <c r="E78" s="73">
        <f t="shared" si="48"/>
        <v>4.1493775933609959E-3</v>
      </c>
      <c r="F78" s="136">
        <f>IF(ISNUMBER(D78), $B91 * E78, "")</f>
        <v>622.40663900414938</v>
      </c>
      <c r="G78" s="39">
        <v>238</v>
      </c>
      <c r="H78" s="73">
        <f t="shared" si="49"/>
        <v>-1.2448132780082987E-2</v>
      </c>
      <c r="I78" s="202">
        <f>IF(ISNUMBER(G78), $B91 * H78, "")</f>
        <v>-1867.2199170124479</v>
      </c>
      <c r="J78" s="125">
        <v>241</v>
      </c>
      <c r="K78" s="73">
        <f t="shared" si="50"/>
        <v>0</v>
      </c>
      <c r="L78" s="136">
        <f>IF(ISNUMBER(J78), $B91 * K78, "")</f>
        <v>0</v>
      </c>
      <c r="M78" s="39">
        <v>240</v>
      </c>
      <c r="N78" s="73">
        <f t="shared" si="51"/>
        <v>-4.1493775933609959E-3</v>
      </c>
      <c r="O78" s="136">
        <f>IF(ISNUMBER(M78), $B91 * N78, "")</f>
        <v>-622.40663900414938</v>
      </c>
      <c r="Q78" s="268"/>
      <c r="R78" s="268"/>
      <c r="S78" s="268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>
        <v>252</v>
      </c>
      <c r="E79" s="73">
        <f t="shared" si="48"/>
        <v>0</v>
      </c>
      <c r="F79" s="136">
        <f>IF(ISNUMBER(D79), $B91 * E79, "")</f>
        <v>0</v>
      </c>
      <c r="G79" s="39">
        <v>242</v>
      </c>
      <c r="H79" s="73">
        <f t="shared" si="49"/>
        <v>-3.968253968253968E-2</v>
      </c>
      <c r="I79" s="202">
        <f>IF(ISNUMBER(G79), $B91 * H79, "")</f>
        <v>-5952.3809523809523</v>
      </c>
      <c r="J79" s="125">
        <v>244</v>
      </c>
      <c r="K79" s="73">
        <f t="shared" si="50"/>
        <v>-3.1746031746031744E-2</v>
      </c>
      <c r="L79" s="136">
        <f>IF(ISNUMBER(J79), $B91 * K79, "")</f>
        <v>-4761.9047619047615</v>
      </c>
      <c r="M79" s="39">
        <v>243</v>
      </c>
      <c r="N79" s="73">
        <f t="shared" si="51"/>
        <v>-3.5714285714285712E-2</v>
      </c>
      <c r="O79" s="136">
        <f>IF(ISNUMBER(M79), $B91 * N79, "")</f>
        <v>-5357.1428571428569</v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>
        <v>605</v>
      </c>
      <c r="E80" s="75">
        <f t="shared" si="48"/>
        <v>1.001669449081803E-2</v>
      </c>
      <c r="F80" s="137">
        <f>IF(ISNUMBER(D80), $B91 * E80, "")</f>
        <v>1502.5041736227045</v>
      </c>
      <c r="G80" s="37">
        <v>581</v>
      </c>
      <c r="H80" s="75">
        <f t="shared" si="49"/>
        <v>-3.0050083472454091E-2</v>
      </c>
      <c r="I80" s="207">
        <f>IF(ISNUMBER(G80), $B91 * H80, "")</f>
        <v>-4507.5125208681138</v>
      </c>
      <c r="J80" s="130">
        <v>584</v>
      </c>
      <c r="K80" s="75">
        <f t="shared" si="50"/>
        <v>-2.5041736227045076E-2</v>
      </c>
      <c r="L80" s="137">
        <f>IF(ISNUMBER(J80), $B91 * K80, "")</f>
        <v>-3756.2604340567614</v>
      </c>
      <c r="M80" s="37">
        <v>585</v>
      </c>
      <c r="N80" s="75">
        <f t="shared" si="51"/>
        <v>-2.337228714524207E-2</v>
      </c>
      <c r="O80" s="137">
        <f>IF(ISNUMBER(M80), $B91 * N80, "")</f>
        <v>-3505.8430717863107</v>
      </c>
      <c r="Q80" s="269"/>
      <c r="R80" s="270"/>
      <c r="S80" s="271"/>
    </row>
    <row r="81" spans="1:19">
      <c r="A81" s="122" t="s">
        <v>148</v>
      </c>
      <c r="B81" s="123">
        <v>174</v>
      </c>
      <c r="C81" s="72">
        <v>1.75438596E-2</v>
      </c>
      <c r="D81" s="123">
        <v>176</v>
      </c>
      <c r="E81" s="72">
        <f>IF(ISNUMBER(D81), (D81 - $B81) / $B81, "")</f>
        <v>1.1494252873563218E-2</v>
      </c>
      <c r="F81" s="140">
        <f>IF(ISNUMBER(D81), $B91 * E81, "")</f>
        <v>1724.1379310344828</v>
      </c>
      <c r="G81" s="38">
        <v>171</v>
      </c>
      <c r="H81" s="72">
        <f>IF(ISNUMBER(G81), (G81 - $B81) / $B81, "")</f>
        <v>-1.7241379310344827E-2</v>
      </c>
      <c r="I81" s="201">
        <f>IF(ISNUMBER(G81), $B91 * H81, "")</f>
        <v>-2586.2068965517242</v>
      </c>
      <c r="J81" s="123">
        <v>172</v>
      </c>
      <c r="K81" s="72">
        <f>IF(ISNUMBER(J81), (J81 - $B81) / $B81, "")</f>
        <v>-1.1494252873563218E-2</v>
      </c>
      <c r="L81" s="140">
        <f>IF(ISNUMBER(J81), $B91 * K81, "")</f>
        <v>-1724.1379310344828</v>
      </c>
      <c r="M81" s="38">
        <v>170</v>
      </c>
      <c r="N81" s="72">
        <f>IF(ISNUMBER(M81), (M81 - $B81) / $B81, "")</f>
        <v>-2.2988505747126436E-2</v>
      </c>
      <c r="O81" s="140">
        <f>IF(ISNUMBER(M81), $B91 * N81, "")</f>
        <v>-3448.2758620689656</v>
      </c>
      <c r="Q81" s="272"/>
      <c r="R81" s="273"/>
      <c r="S81" s="274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>
        <v>183</v>
      </c>
      <c r="E82" s="73">
        <f t="shared" ref="E82:E85" si="52">IF(ISNUMBER(D82), (D82 - $B82) / $B82, "")</f>
        <v>2.23463687150838E-2</v>
      </c>
      <c r="F82" s="136">
        <f>IF(ISNUMBER(D82), $B91 * E82, "")</f>
        <v>3351.9553072625699</v>
      </c>
      <c r="G82" s="39">
        <v>174</v>
      </c>
      <c r="H82" s="73">
        <f t="shared" ref="H82:H85" si="53">IF(ISNUMBER(G82), (G82 - $B82) / $B82, "")</f>
        <v>-2.7932960893854747E-2</v>
      </c>
      <c r="I82" s="202">
        <f>IF(ISNUMBER(G82), $B91 * H82, "")</f>
        <v>-4189.9441340782123</v>
      </c>
      <c r="J82" s="125">
        <v>176</v>
      </c>
      <c r="K82" s="73">
        <f t="shared" ref="K82:K85" si="54">IF(ISNUMBER(J82), (J82 - $B82) / $B82, "")</f>
        <v>-1.6759776536312849E-2</v>
      </c>
      <c r="L82" s="136">
        <f>IF(ISNUMBER(J82), $B91 * K82, "")</f>
        <v>-2513.9664804469271</v>
      </c>
      <c r="M82" s="39">
        <v>177</v>
      </c>
      <c r="N82" s="73">
        <f t="shared" ref="N82:N85" si="55">IF(ISNUMBER(M82), (M82 - $B82) / $B82, "")</f>
        <v>-1.11731843575419E-2</v>
      </c>
      <c r="O82" s="136">
        <f>IF(ISNUMBER(M82), $B91 * N82, "")</f>
        <v>-1675.977653631285</v>
      </c>
      <c r="Q82" s="275"/>
      <c r="R82" s="276"/>
      <c r="S82" s="277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>
        <v>156</v>
      </c>
      <c r="E83" s="73">
        <f t="shared" si="52"/>
        <v>0.04</v>
      </c>
      <c r="F83" s="136">
        <f>IF(ISNUMBER(D83), $B91 * E83, "")</f>
        <v>6000</v>
      </c>
      <c r="G83" s="39">
        <v>149</v>
      </c>
      <c r="H83" s="73">
        <f t="shared" si="53"/>
        <v>-6.6666666666666671E-3</v>
      </c>
      <c r="I83" s="202">
        <f>IF(ISNUMBER(G83), $B91 * H83, "")</f>
        <v>-1000.0000000000001</v>
      </c>
      <c r="J83" s="125">
        <v>150</v>
      </c>
      <c r="K83" s="73">
        <f t="shared" si="54"/>
        <v>0</v>
      </c>
      <c r="L83" s="136">
        <f>IF(ISNUMBER(J83), $B91 * K83, "")</f>
        <v>0</v>
      </c>
      <c r="M83" s="39">
        <v>151</v>
      </c>
      <c r="N83" s="73">
        <f t="shared" si="55"/>
        <v>6.6666666666666671E-3</v>
      </c>
      <c r="O83" s="136">
        <f>IF(ISNUMBER(M83), $B91 * N83, "")</f>
        <v>1000.0000000000001</v>
      </c>
      <c r="Q83" s="268"/>
      <c r="R83" s="268"/>
      <c r="S83" s="268"/>
    </row>
    <row r="84" spans="1:19" ht="17.25" thickBot="1">
      <c r="A84" s="124" t="s">
        <v>156</v>
      </c>
      <c r="B84" s="125">
        <v>155</v>
      </c>
      <c r="C84" s="73">
        <v>1.30718954E-2</v>
      </c>
      <c r="D84" s="125">
        <v>153</v>
      </c>
      <c r="E84" s="73">
        <f t="shared" si="52"/>
        <v>-1.2903225806451613E-2</v>
      </c>
      <c r="F84" s="136">
        <f>IF(ISNUMBER(D84), $B91 * E84, "")</f>
        <v>-1935.483870967742</v>
      </c>
      <c r="G84" s="39">
        <v>150</v>
      </c>
      <c r="H84" s="73">
        <f t="shared" si="53"/>
        <v>-3.2258064516129031E-2</v>
      </c>
      <c r="I84" s="202">
        <f>IF(ISNUMBER(G84), $B91 * H84, "")</f>
        <v>-4838.7096774193551</v>
      </c>
      <c r="J84" s="125">
        <v>151</v>
      </c>
      <c r="K84" s="73">
        <f t="shared" si="54"/>
        <v>-2.5806451612903226E-2</v>
      </c>
      <c r="L84" s="136">
        <f>IF(ISNUMBER(J84), $B91 * K84, "")</f>
        <v>-3870.9677419354839</v>
      </c>
      <c r="M84" s="39">
        <v>154</v>
      </c>
      <c r="N84" s="73">
        <f t="shared" si="55"/>
        <v>-6.4516129032258064E-3</v>
      </c>
      <c r="O84" s="136">
        <f>IF(ISNUMBER(M84), $B91 * N84, "")</f>
        <v>-967.74193548387098</v>
      </c>
      <c r="Q84" s="278"/>
      <c r="R84" s="278"/>
      <c r="S84" s="278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>
        <v>392</v>
      </c>
      <c r="E85" s="74">
        <f t="shared" si="52"/>
        <v>-7.5949367088607592E-3</v>
      </c>
      <c r="F85" s="203">
        <f>IF(ISNUMBER(D85), $B91 * E85, "")</f>
        <v>-1139.2405063291139</v>
      </c>
      <c r="G85" s="44">
        <v>380</v>
      </c>
      <c r="H85" s="74">
        <f t="shared" si="53"/>
        <v>-3.7974683544303799E-2</v>
      </c>
      <c r="I85" s="204">
        <f>IF(ISNUMBER(G85), $B91 * H85, "")</f>
        <v>-5696.2025316455702</v>
      </c>
      <c r="J85" s="127">
        <v>384</v>
      </c>
      <c r="K85" s="74">
        <f t="shared" si="54"/>
        <v>-2.7848101265822784E-2</v>
      </c>
      <c r="L85" s="203">
        <f>IF(ISNUMBER(J85), $B91 * K85, "")</f>
        <v>-4177.2151898734173</v>
      </c>
      <c r="M85" s="44">
        <v>395</v>
      </c>
      <c r="N85" s="74">
        <f t="shared" si="55"/>
        <v>0</v>
      </c>
      <c r="O85" s="203">
        <f>IF(ISNUMBER(M85), $B91 * N85, "")</f>
        <v>0</v>
      </c>
      <c r="Q85" s="278"/>
      <c r="R85" s="278"/>
      <c r="S85" s="278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>
        <v>145</v>
      </c>
      <c r="E86" s="76">
        <f>IF(ISNUMBER(D86), (D86 - $B86) / $B86, "")</f>
        <v>6.9444444444444441E-3</v>
      </c>
      <c r="F86" s="205">
        <f>IF(ISNUMBER(D86), $B91 * E86, "")</f>
        <v>1041.6666666666665</v>
      </c>
      <c r="G86" s="45">
        <v>141</v>
      </c>
      <c r="H86" s="76">
        <f>IF(ISNUMBER(G86), (G86 - $B86) / $B86, "")</f>
        <v>-2.0833333333333332E-2</v>
      </c>
      <c r="I86" s="206">
        <f>IF(ISNUMBER(G86), $B91 * H86, "")</f>
        <v>-3125</v>
      </c>
      <c r="J86" s="128">
        <v>141</v>
      </c>
      <c r="K86" s="76">
        <f>IF(ISNUMBER(J86), (J86 - $B86) / $B86, "")</f>
        <v>-2.0833333333333332E-2</v>
      </c>
      <c r="L86" s="205">
        <f>IF(ISNUMBER(J86), $B91 * K86, "")</f>
        <v>-3125</v>
      </c>
      <c r="M86" s="45">
        <v>142</v>
      </c>
      <c r="N86" s="76">
        <f>IF(ISNUMBER(M86), (M86 - $B86) / $B86, "")</f>
        <v>-1.3888888888888888E-2</v>
      </c>
      <c r="O86" s="205">
        <f>IF(ISNUMBER(M86), $B91 * N86, "")</f>
        <v>-2083.333333333333</v>
      </c>
      <c r="Q86" s="268"/>
      <c r="R86" s="268"/>
      <c r="S86" s="268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>
        <v>150</v>
      </c>
      <c r="E87" s="73">
        <f t="shared" ref="E87:E90" si="56">IF(ISNUMBER(D87), (D87 - $B87) / $B87, "")</f>
        <v>6.7114093959731542E-3</v>
      </c>
      <c r="F87" s="136">
        <f>IF(ISNUMBER(D87), $B91 * E87, "")</f>
        <v>1006.7114093959731</v>
      </c>
      <c r="G87" s="39">
        <v>145</v>
      </c>
      <c r="H87" s="73">
        <f t="shared" ref="H87:H90" si="57">IF(ISNUMBER(G87), (G87 - $B87) / $B87, "")</f>
        <v>-2.6845637583892617E-2</v>
      </c>
      <c r="I87" s="202">
        <f>IF(ISNUMBER(G87), $B91 * H87, "")</f>
        <v>-4026.8456375838923</v>
      </c>
      <c r="J87" s="125">
        <v>147</v>
      </c>
      <c r="K87" s="73">
        <f t="shared" ref="K87:K90" si="58">IF(ISNUMBER(J87), (J87 - $B87) / $B87, "")</f>
        <v>-1.3422818791946308E-2</v>
      </c>
      <c r="L87" s="136">
        <f>IF(ISNUMBER(J87), $B91 * K87, "")</f>
        <v>-2013.4228187919462</v>
      </c>
      <c r="M87" s="39">
        <v>147</v>
      </c>
      <c r="N87" s="73">
        <f t="shared" ref="N87:N90" si="59">IF(ISNUMBER(M87), (M87 - $B87) / $B87, "")</f>
        <v>-1.3422818791946308E-2</v>
      </c>
      <c r="O87" s="136">
        <f>IF(ISNUMBER(M87), $B91 * N87, "")</f>
        <v>-2013.4228187919462</v>
      </c>
      <c r="Q87" s="268"/>
      <c r="R87" s="268"/>
      <c r="S87" s="268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>
        <v>205</v>
      </c>
      <c r="E88" s="73">
        <f t="shared" si="56"/>
        <v>1.9900497512437811E-2</v>
      </c>
      <c r="F88" s="136">
        <f>IF(ISNUMBER(D88), $B91 * E88, "")</f>
        <v>2985.0746268656717</v>
      </c>
      <c r="G88" s="39">
        <v>199</v>
      </c>
      <c r="H88" s="73">
        <f t="shared" si="57"/>
        <v>-9.9502487562189053E-3</v>
      </c>
      <c r="I88" s="202">
        <f>IF(ISNUMBER(G88), $B91 * H88, "")</f>
        <v>-1492.5373134328358</v>
      </c>
      <c r="J88" s="125">
        <v>204</v>
      </c>
      <c r="K88" s="73">
        <f t="shared" si="58"/>
        <v>1.4925373134328358E-2</v>
      </c>
      <c r="L88" s="136">
        <f>IF(ISNUMBER(J88), $B91 * K88, "")</f>
        <v>2238.8059701492539</v>
      </c>
      <c r="M88" s="39">
        <v>211</v>
      </c>
      <c r="N88" s="73">
        <f t="shared" si="59"/>
        <v>4.975124378109453E-2</v>
      </c>
      <c r="O88" s="136">
        <f>IF(ISNUMBER(M88), $B91 * N88, "")</f>
        <v>7462.6865671641799</v>
      </c>
      <c r="Q88" s="268"/>
      <c r="R88" s="268"/>
      <c r="S88" s="268"/>
    </row>
    <row r="89" spans="1:19">
      <c r="A89" s="124" t="s">
        <v>212</v>
      </c>
      <c r="B89" s="125">
        <v>127</v>
      </c>
      <c r="C89" s="73">
        <v>0</v>
      </c>
      <c r="D89" s="125">
        <v>125</v>
      </c>
      <c r="E89" s="73">
        <f t="shared" si="56"/>
        <v>-1.5748031496062992E-2</v>
      </c>
      <c r="F89" s="136">
        <f>IF(ISNUMBER(D89), $B91 * E89, "")</f>
        <v>-2362.2047244094488</v>
      </c>
      <c r="G89" s="39">
        <v>121</v>
      </c>
      <c r="H89" s="73">
        <f t="shared" si="57"/>
        <v>-4.7244094488188976E-2</v>
      </c>
      <c r="I89" s="202">
        <f>IF(ISNUMBER(G89), $B91 * H89, "")</f>
        <v>-7086.6141732283468</v>
      </c>
      <c r="J89" s="125">
        <v>122</v>
      </c>
      <c r="K89" s="73">
        <f t="shared" si="58"/>
        <v>-3.937007874015748E-2</v>
      </c>
      <c r="L89" s="136">
        <f>IF(ISNUMBER(J89), $B91 * K89, "")</f>
        <v>-5905.5118110236217</v>
      </c>
      <c r="M89" s="39">
        <v>123</v>
      </c>
      <c r="N89" s="73">
        <f t="shared" si="59"/>
        <v>-3.1496062992125984E-2</v>
      </c>
      <c r="O89" s="136">
        <f>IF(ISNUMBER(M89), $B91 * N89, "")</f>
        <v>-4724.4094488188975</v>
      </c>
      <c r="Q89" s="257"/>
      <c r="R89" s="258"/>
      <c r="S89" s="259"/>
    </row>
    <row r="90" spans="1:19" ht="17.25" thickBot="1">
      <c r="A90" s="129" t="s">
        <v>278</v>
      </c>
      <c r="B90" s="130">
        <v>140</v>
      </c>
      <c r="C90" s="75">
        <v>0</v>
      </c>
      <c r="D90" s="130">
        <v>139</v>
      </c>
      <c r="E90" s="75">
        <f t="shared" si="56"/>
        <v>-7.1428571428571426E-3</v>
      </c>
      <c r="F90" s="137">
        <f>IF(ISNUMBER(D90), $B91 * E90, "")</f>
        <v>-1071.4285714285713</v>
      </c>
      <c r="G90" s="37">
        <v>135</v>
      </c>
      <c r="H90" s="75">
        <f t="shared" si="57"/>
        <v>-3.5714285714285712E-2</v>
      </c>
      <c r="I90" s="207">
        <f>IF(ISNUMBER(G90), $B91 * H90, "")</f>
        <v>-5357.1428571428569</v>
      </c>
      <c r="J90" s="130">
        <v>137</v>
      </c>
      <c r="K90" s="75">
        <f t="shared" si="58"/>
        <v>-2.1428571428571429E-2</v>
      </c>
      <c r="L90" s="137">
        <f>IF(ISNUMBER(J90), $B91 * K90, "")</f>
        <v>-3214.2857142857142</v>
      </c>
      <c r="M90" s="37">
        <v>139</v>
      </c>
      <c r="N90" s="75">
        <f t="shared" si="59"/>
        <v>-7.1428571428571426E-3</v>
      </c>
      <c r="O90" s="137">
        <f>IF(ISNUMBER(M90), $B91 * N90, "")</f>
        <v>-1071.4285714285713</v>
      </c>
      <c r="Q90" s="260"/>
      <c r="R90" s="261"/>
      <c r="S90" s="262"/>
    </row>
    <row r="91" spans="1:19" ht="17.25" thickBot="1">
      <c r="A91" s="131" t="s">
        <v>301</v>
      </c>
      <c r="B91" s="330">
        <f>$B$37</f>
        <v>150000</v>
      </c>
      <c r="C91" s="331"/>
      <c r="D91" s="131" t="s">
        <v>302</v>
      </c>
      <c r="E91" s="236">
        <f>IF(COUNT(E71:E90), SUM(E71:E90) / COUNT(E71:E90), 0)</f>
        <v>7.3377982962066681E-3</v>
      </c>
      <c r="F91" s="208">
        <f>SUM(F71:F90)</f>
        <v>22013.394888620012</v>
      </c>
      <c r="G91" s="131" t="s">
        <v>302</v>
      </c>
      <c r="H91" s="236">
        <f>IF(COUNT(H71:H90), SUM(H71:H90) / COUNT(H71:H90), 0)</f>
        <v>-2.3328981004732647E-2</v>
      </c>
      <c r="I91" s="208">
        <f>SUM(I71:I90)</f>
        <v>-69986.943014197939</v>
      </c>
      <c r="J91" s="131" t="s">
        <v>302</v>
      </c>
      <c r="K91" s="236">
        <f>IF(COUNT(K71:K90), SUM(K71:K90) / COUNT(K71:K90), 0)</f>
        <v>-1.0363298497875321E-2</v>
      </c>
      <c r="L91" s="208">
        <f>SUM(L71:L90)</f>
        <v>-31089.895493625954</v>
      </c>
      <c r="M91" s="131" t="s">
        <v>302</v>
      </c>
      <c r="N91" s="236">
        <f>IF(COUNT(N71:N90), SUM(N71:N90) / COUNT(N71:N90), 0)</f>
        <v>-5.3191899862192358E-3</v>
      </c>
      <c r="O91" s="208">
        <f>SUM(O71:O90)</f>
        <v>-15957.569958657708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33" t="s">
        <v>298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55555000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-3.6323266700000002E-2</v>
      </c>
      <c r="N95" s="286"/>
      <c r="O95" s="287"/>
      <c r="Q95" s="278"/>
      <c r="R95" s="278"/>
      <c r="S95" s="278"/>
    </row>
    <row r="96" spans="1:19" ht="17.25" thickBot="1">
      <c r="A96" s="332" t="s">
        <v>55</v>
      </c>
      <c r="B96" s="328" t="str">
        <f>TEXT($G$1, "[$-ko-KR]yyyy-mm-dd(ddd) ") &amp; "오전 00:00"</f>
        <v>2021-05-15(토) 오전 00:00</v>
      </c>
      <c r="C96" s="329"/>
      <c r="D96" s="279" t="str">
        <f>TEXT($G$1, "[$-ko-KR]yyyy-mm-dd(ddd) ") &amp; "오후 14:00"</f>
        <v>2021-05-15(토) 오후 14:00</v>
      </c>
      <c r="E96" s="280"/>
      <c r="F96" s="281"/>
      <c r="G96" s="279" t="str">
        <f>TEXT($G$1, "[$-ko-KR]yyyy-mm-dd(ddd) ") &amp; "오후 19:00"</f>
        <v>2021-05-15(토) 오후 19:00</v>
      </c>
      <c r="H96" s="280"/>
      <c r="I96" s="281"/>
      <c r="J96" s="279" t="str">
        <f>TEXT($G$1, "[$-ko-KR]yyyy-mm-dd(ddd) ") &amp; "오후 21:00"</f>
        <v>2021-05-15(토) 오후 21:00</v>
      </c>
      <c r="K96" s="280"/>
      <c r="L96" s="281"/>
      <c r="M96" s="279" t="str">
        <f>TEXT($G$1+1, "[$-ko-KR]yyyy-mm-dd(ddd) ") &amp; "오전 00:00"</f>
        <v>2021-05-16(일) 오전 00:00</v>
      </c>
      <c r="N96" s="280"/>
      <c r="O96" s="281"/>
      <c r="Q96" s="278"/>
      <c r="R96" s="278"/>
      <c r="S96" s="278"/>
    </row>
    <row r="97" spans="1:19" ht="17.25" thickBot="1">
      <c r="A97" s="333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268"/>
      <c r="R97" s="268"/>
      <c r="S97" s="268"/>
    </row>
    <row r="98" spans="1:19" ht="17.25" thickBot="1">
      <c r="A98" s="122" t="s">
        <v>102</v>
      </c>
      <c r="B98" s="123">
        <v>129600</v>
      </c>
      <c r="C98" s="72">
        <v>0.1363437089</v>
      </c>
      <c r="D98" s="123">
        <v>132750</v>
      </c>
      <c r="E98" s="72">
        <f>IF(ISNUMBER(D98), (D98 - $B98) / $B98, "")</f>
        <v>2.4305555555555556E-2</v>
      </c>
      <c r="F98" s="140">
        <f>IF(ISNUMBER(D98), $B118 * E98, "")</f>
        <v>3645.8333333333335</v>
      </c>
      <c r="G98" s="38">
        <v>128450</v>
      </c>
      <c r="H98" s="72">
        <f>IF(ISNUMBER(G98), (G98 - $B98) / $B98, "")</f>
        <v>-8.8734567901234563E-3</v>
      </c>
      <c r="I98" s="201">
        <f>IF(ISNUMBER(G98), $B118 * H98, "")</f>
        <v>-1331.0185185185185</v>
      </c>
      <c r="J98" s="123">
        <v>129250</v>
      </c>
      <c r="K98" s="72">
        <f>IF(ISNUMBER(J98), (J98 - $B98) / $B98, "")</f>
        <v>-2.7006172839506171E-3</v>
      </c>
      <c r="L98" s="140">
        <f>IF(ISNUMBER(J98), $B118 * K98, "")</f>
        <v>-405.09259259259255</v>
      </c>
      <c r="M98" s="38">
        <v>127600</v>
      </c>
      <c r="N98" s="72">
        <f>IF(ISNUMBER(M98), (M98 - $B98) / $B98, "")</f>
        <v>-1.5432098765432098E-2</v>
      </c>
      <c r="O98" s="140">
        <f>IF(ISNUMBER(M98), $B118 * N98, "")</f>
        <v>-2314.8148148148148</v>
      </c>
      <c r="Q98" s="278"/>
      <c r="R98" s="278"/>
      <c r="S98" s="278"/>
    </row>
    <row r="99" spans="1:19" ht="17.25" thickBot="1">
      <c r="A99" s="124" t="s">
        <v>186</v>
      </c>
      <c r="B99" s="125">
        <v>23.4</v>
      </c>
      <c r="C99" s="73">
        <v>0.1090047393</v>
      </c>
      <c r="D99" s="125">
        <v>23</v>
      </c>
      <c r="E99" s="73">
        <f t="shared" ref="E99:E102" si="60">IF(ISNUMBER(D99), (D99 - $B99) / $B99, "")</f>
        <v>-1.7094017094017033E-2</v>
      </c>
      <c r="F99" s="136">
        <f>IF(ISNUMBER(D99), $B118 * E99, "")</f>
        <v>-2564.1025641025549</v>
      </c>
      <c r="G99" s="39">
        <v>22.3</v>
      </c>
      <c r="H99" s="73">
        <f t="shared" ref="H99:H102" si="61">IF(ISNUMBER(G99), (G99 - $B99) / $B99, "")</f>
        <v>-4.7008547008546918E-2</v>
      </c>
      <c r="I99" s="202">
        <f>IF(ISNUMBER(G99), $B118 * H99, "")</f>
        <v>-7051.2820512820381</v>
      </c>
      <c r="J99" s="125">
        <v>22.3</v>
      </c>
      <c r="K99" s="73">
        <f t="shared" ref="K99:K102" si="62">IF(ISNUMBER(J99), (J99 - $B99) / $B99, "")</f>
        <v>-4.7008547008546918E-2</v>
      </c>
      <c r="L99" s="136">
        <f>IF(ISNUMBER(J99), $B118 * K99, "")</f>
        <v>-7051.2820512820381</v>
      </c>
      <c r="M99" s="39">
        <v>22.4</v>
      </c>
      <c r="N99" s="73">
        <f t="shared" ref="N99:N102" si="63">IF(ISNUMBER(M99), (M99 - $B99) / $B99, "")</f>
        <v>-4.2735042735042736E-2</v>
      </c>
      <c r="O99" s="136">
        <f>IF(ISNUMBER(M99), $B118 * N99, "")</f>
        <v>-6410.2564102564102</v>
      </c>
      <c r="Q99" s="278"/>
      <c r="R99" s="278"/>
      <c r="S99" s="278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>
        <v>661</v>
      </c>
      <c r="E100" s="73">
        <f t="shared" si="60"/>
        <v>-1.5105740181268882E-3</v>
      </c>
      <c r="F100" s="136">
        <f>IF(ISNUMBER(D100), $B118 * E100, "")</f>
        <v>-226.58610271903322</v>
      </c>
      <c r="G100" s="39">
        <v>636</v>
      </c>
      <c r="H100" s="73">
        <f t="shared" si="61"/>
        <v>-3.9274924471299093E-2</v>
      </c>
      <c r="I100" s="202">
        <f>IF(ISNUMBER(G100), $B118 * H100, "")</f>
        <v>-5891.2386706948637</v>
      </c>
      <c r="J100" s="125">
        <v>643</v>
      </c>
      <c r="K100" s="73">
        <f t="shared" si="62"/>
        <v>-2.8700906344410877E-2</v>
      </c>
      <c r="L100" s="136">
        <f>IF(ISNUMBER(J100), $B118 * K100, "")</f>
        <v>-4305.1359516616312</v>
      </c>
      <c r="M100" s="39">
        <v>643</v>
      </c>
      <c r="N100" s="73">
        <f t="shared" si="63"/>
        <v>-2.8700906344410877E-2</v>
      </c>
      <c r="O100" s="136">
        <f>IF(ISNUMBER(M100), $B118 * N100, "")</f>
        <v>-4305.1359516616312</v>
      </c>
      <c r="Q100" s="268"/>
      <c r="R100" s="268"/>
      <c r="S100" s="268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>
        <v>54740</v>
      </c>
      <c r="E101" s="73">
        <f t="shared" si="60"/>
        <v>-7.0741882822419732E-3</v>
      </c>
      <c r="F101" s="136">
        <f>IF(ISNUMBER(D101), $B118 * E101, "")</f>
        <v>-1061.1282423362959</v>
      </c>
      <c r="G101" s="39">
        <v>53370</v>
      </c>
      <c r="H101" s="73">
        <f t="shared" si="61"/>
        <v>-3.1924541991656084E-2</v>
      </c>
      <c r="I101" s="202">
        <f>IF(ISNUMBER(G101), $B118 * H101, "")</f>
        <v>-4788.6812987484127</v>
      </c>
      <c r="J101" s="125">
        <v>54150</v>
      </c>
      <c r="K101" s="73">
        <f t="shared" si="62"/>
        <v>-1.7776165427172138E-2</v>
      </c>
      <c r="L101" s="136">
        <f>IF(ISNUMBER(J101), $B118 * K101, "")</f>
        <v>-2666.4248140758209</v>
      </c>
      <c r="M101" s="39">
        <v>53680</v>
      </c>
      <c r="N101" s="73">
        <f t="shared" si="63"/>
        <v>-2.6301469254489389E-2</v>
      </c>
      <c r="O101" s="136">
        <f>IF(ISNUMBER(M101), $B118 * N101, "")</f>
        <v>-3945.2203881734085</v>
      </c>
      <c r="Q101" s="268"/>
      <c r="R101" s="268"/>
      <c r="S101" s="268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>
        <v>50.8</v>
      </c>
      <c r="E102" s="74">
        <f t="shared" si="60"/>
        <v>-2.307692307692313E-2</v>
      </c>
      <c r="F102" s="203">
        <f>IF(ISNUMBER(D102), $B118 * E102, "")</f>
        <v>-3461.5384615384696</v>
      </c>
      <c r="G102" s="44">
        <v>49</v>
      </c>
      <c r="H102" s="74">
        <f t="shared" si="61"/>
        <v>-5.7692307692307696E-2</v>
      </c>
      <c r="I102" s="204">
        <f>IF(ISNUMBER(G102), $B118 * H102, "")</f>
        <v>-8653.8461538461543</v>
      </c>
      <c r="J102" s="127">
        <v>49.7</v>
      </c>
      <c r="K102" s="74">
        <f t="shared" si="62"/>
        <v>-4.4230769230769178E-2</v>
      </c>
      <c r="L102" s="203">
        <f>IF(ISNUMBER(J102), $B118 * K102, "")</f>
        <v>-6634.6153846153766</v>
      </c>
      <c r="M102" s="44">
        <v>49.7</v>
      </c>
      <c r="N102" s="74">
        <f t="shared" si="63"/>
        <v>-4.4230769230769178E-2</v>
      </c>
      <c r="O102" s="203">
        <f>IF(ISNUMBER(M102), $B118 * N102, "")</f>
        <v>-6634.6153846153766</v>
      </c>
      <c r="Q102" s="268"/>
      <c r="R102" s="268"/>
      <c r="S102" s="268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>
        <v>60120</v>
      </c>
      <c r="E103" s="76">
        <f>IF(ISNUMBER(D103), (D103 - $B103) / $B103, "")</f>
        <v>0.12668665667166418</v>
      </c>
      <c r="F103" s="205">
        <f>IF(ISNUMBER(D103), $B118 * E103, "")</f>
        <v>19002.998500749625</v>
      </c>
      <c r="G103" s="45">
        <v>56540</v>
      </c>
      <c r="H103" s="76">
        <f>IF(ISNUMBER(G103), (G103 - $B103) / $B103, "")</f>
        <v>5.9595202398800597E-2</v>
      </c>
      <c r="I103" s="206">
        <f>IF(ISNUMBER(G103), $B118 * H103, "")</f>
        <v>8939.2803598200899</v>
      </c>
      <c r="J103" s="128">
        <v>57010</v>
      </c>
      <c r="K103" s="76">
        <f>IF(ISNUMBER(J103), (J103 - $B103) / $B103, "")</f>
        <v>6.8403298350824593E-2</v>
      </c>
      <c r="L103" s="205">
        <f>IF(ISNUMBER(J103), $B118 * K103, "")</f>
        <v>10260.494752623688</v>
      </c>
      <c r="M103" s="45">
        <v>58900</v>
      </c>
      <c r="N103" s="76">
        <f>IF(ISNUMBER(M103), (M103 - $B103) / $B103, "")</f>
        <v>0.10382308845577211</v>
      </c>
      <c r="O103" s="205">
        <f>IF(ISNUMBER(M103), $B118 * N103, "")</f>
        <v>15573.463268365816</v>
      </c>
      <c r="Q103" s="268"/>
      <c r="R103" s="268"/>
      <c r="S103" s="268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>
        <v>4982000</v>
      </c>
      <c r="E104" s="73">
        <f t="shared" ref="E104:E107" si="64">IF(ISNUMBER(D104), (D104 - $B104) / $B104, "")</f>
        <v>1.0046212577858146E-3</v>
      </c>
      <c r="F104" s="136">
        <f>IF(ISNUMBER(D104), $B118 * E104, "")</f>
        <v>150.69318866787219</v>
      </c>
      <c r="G104" s="39">
        <v>4801000</v>
      </c>
      <c r="H104" s="73">
        <f t="shared" ref="H104:H107" si="65">IF(ISNUMBER(G104), (G104 - $B104) / $B104, "")</f>
        <v>-3.5362668274060677E-2</v>
      </c>
      <c r="I104" s="202">
        <f>IF(ISNUMBER(G104), $B118 * H104, "")</f>
        <v>-5304.4002411091014</v>
      </c>
      <c r="J104" s="125">
        <v>4861000</v>
      </c>
      <c r="K104" s="73">
        <f t="shared" ref="K104:K107" si="66">IF(ISNUMBER(J104), (J104 - $B104) / $B104, "")</f>
        <v>-2.3307213180630903E-2</v>
      </c>
      <c r="L104" s="136">
        <f>IF(ISNUMBER(J104), $B118 * K104, "")</f>
        <v>-3496.0819770946355</v>
      </c>
      <c r="M104" s="39">
        <v>4820000</v>
      </c>
      <c r="N104" s="73">
        <f t="shared" ref="N104:N107" si="67">IF(ISNUMBER(M104), (M104 - $B104) / $B104, "")</f>
        <v>-3.1545107494474582E-2</v>
      </c>
      <c r="O104" s="136">
        <f>IF(ISNUMBER(M104), $B118 * N104, "")</f>
        <v>-4731.7661241711876</v>
      </c>
      <c r="Q104" s="268"/>
      <c r="R104" s="268"/>
      <c r="S104" s="268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>
        <v>239</v>
      </c>
      <c r="E105" s="73">
        <f t="shared" si="64"/>
        <v>-1.646090534979424E-2</v>
      </c>
      <c r="F105" s="136">
        <f>IF(ISNUMBER(D105), $B118 * E105, "")</f>
        <v>-2469.1358024691358</v>
      </c>
      <c r="G105" s="39">
        <v>232</v>
      </c>
      <c r="H105" s="73">
        <f t="shared" si="65"/>
        <v>-4.5267489711934158E-2</v>
      </c>
      <c r="I105" s="202">
        <f>IF(ISNUMBER(G105), $B118 * H105, "")</f>
        <v>-6790.1234567901238</v>
      </c>
      <c r="J105" s="125">
        <v>235</v>
      </c>
      <c r="K105" s="73">
        <f t="shared" si="66"/>
        <v>-3.292181069958848E-2</v>
      </c>
      <c r="L105" s="136">
        <f>IF(ISNUMBER(J105), $B118 * K105, "")</f>
        <v>-4938.2716049382716</v>
      </c>
      <c r="M105" s="39">
        <v>235</v>
      </c>
      <c r="N105" s="73">
        <f t="shared" si="67"/>
        <v>-3.292181069958848E-2</v>
      </c>
      <c r="O105" s="136">
        <f>IF(ISNUMBER(M105), $B118 * N105, "")</f>
        <v>-4938.2716049382716</v>
      </c>
      <c r="Q105" s="268"/>
      <c r="R105" s="268"/>
      <c r="S105" s="268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>
        <v>162</v>
      </c>
      <c r="E106" s="73">
        <f t="shared" si="64"/>
        <v>1.8867924528301886E-2</v>
      </c>
      <c r="F106" s="136">
        <f>IF(ISNUMBER(D106), $B118 * E106, "")</f>
        <v>2830.1886792452829</v>
      </c>
      <c r="G106" s="39">
        <v>157</v>
      </c>
      <c r="H106" s="73">
        <f t="shared" si="65"/>
        <v>-1.2578616352201259E-2</v>
      </c>
      <c r="I106" s="202">
        <f>IF(ISNUMBER(G106), $B118 * H106, "")</f>
        <v>-1886.7924528301887</v>
      </c>
      <c r="J106" s="125">
        <v>159</v>
      </c>
      <c r="K106" s="73">
        <f t="shared" si="66"/>
        <v>0</v>
      </c>
      <c r="L106" s="136">
        <f>IF(ISNUMBER(J106), $B118 * K106, "")</f>
        <v>0</v>
      </c>
      <c r="M106" s="39">
        <v>157</v>
      </c>
      <c r="N106" s="73">
        <f t="shared" si="67"/>
        <v>-1.2578616352201259E-2</v>
      </c>
      <c r="O106" s="136">
        <f>IF(ISNUMBER(M106), $B118 * N106, "")</f>
        <v>-1886.7924528301887</v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>
        <v>128000</v>
      </c>
      <c r="E107" s="75">
        <f t="shared" si="64"/>
        <v>2.4409763905562223E-2</v>
      </c>
      <c r="F107" s="137">
        <f>IF(ISNUMBER(D107), $B118 * E107, "")</f>
        <v>3661.4645858343333</v>
      </c>
      <c r="G107" s="37">
        <v>120650</v>
      </c>
      <c r="H107" s="75">
        <f t="shared" si="65"/>
        <v>-3.4413765506202482E-2</v>
      </c>
      <c r="I107" s="207">
        <f>IF(ISNUMBER(G107), $B118 * H107, "")</f>
        <v>-5162.0648259303725</v>
      </c>
      <c r="J107" s="130">
        <v>122150</v>
      </c>
      <c r="K107" s="75">
        <f t="shared" si="66"/>
        <v>-2.2408963585434174E-2</v>
      </c>
      <c r="L107" s="137">
        <f>IF(ISNUMBER(J107), $B118 * K107, "")</f>
        <v>-3361.3445378151259</v>
      </c>
      <c r="M107" s="37">
        <v>123200</v>
      </c>
      <c r="N107" s="75">
        <f t="shared" si="67"/>
        <v>-1.4005602240896359E-2</v>
      </c>
      <c r="O107" s="137">
        <f>IF(ISNUMBER(M107), $B118 * N107, "")</f>
        <v>-2100.840336134454</v>
      </c>
      <c r="Q107" s="269"/>
      <c r="R107" s="270"/>
      <c r="S107" s="271"/>
    </row>
    <row r="108" spans="1:19">
      <c r="A108" s="122" t="s">
        <v>260</v>
      </c>
      <c r="B108" s="123">
        <v>123</v>
      </c>
      <c r="C108" s="72">
        <v>4.23728814E-2</v>
      </c>
      <c r="D108" s="123">
        <v>131</v>
      </c>
      <c r="E108" s="72">
        <f>IF(ISNUMBER(D108), (D108 - $B108) / $B108, "")</f>
        <v>6.5040650406504072E-2</v>
      </c>
      <c r="F108" s="140">
        <f>IF(ISNUMBER(D108), $B118 * E108, "")</f>
        <v>9756.0975609756115</v>
      </c>
      <c r="G108" s="38">
        <v>127</v>
      </c>
      <c r="H108" s="72">
        <f>IF(ISNUMBER(G108), (G108 - $B108) / $B108, "")</f>
        <v>3.2520325203252036E-2</v>
      </c>
      <c r="I108" s="201">
        <f>IF(ISNUMBER(G108), $B118 * H108, "")</f>
        <v>4878.0487804878057</v>
      </c>
      <c r="J108" s="123">
        <v>128</v>
      </c>
      <c r="K108" s="72">
        <f>IF(ISNUMBER(J108), (J108 - $B108) / $B108, "")</f>
        <v>4.065040650406504E-2</v>
      </c>
      <c r="L108" s="140">
        <f>IF(ISNUMBER(J108), $B118 * K108, "")</f>
        <v>6097.5609756097556</v>
      </c>
      <c r="M108" s="38">
        <v>131</v>
      </c>
      <c r="N108" s="72">
        <f>IF(ISNUMBER(M108), (M108 - $B108) / $B108, "")</f>
        <v>6.5040650406504072E-2</v>
      </c>
      <c r="O108" s="140">
        <f>IF(ISNUMBER(M108), $B118 * N108, "")</f>
        <v>9756.0975609756115</v>
      </c>
      <c r="Q108" s="272"/>
      <c r="R108" s="273"/>
      <c r="S108" s="274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>
        <v>16080</v>
      </c>
      <c r="E109" s="73">
        <f t="shared" ref="E109:E112" si="68">IF(ISNUMBER(D109), (D109 - $B109) / $B109, "")</f>
        <v>-1.2285012285012284E-2</v>
      </c>
      <c r="F109" s="136">
        <f>IF(ISNUMBER(D109), $B118 * E109, "")</f>
        <v>-1842.7518427518426</v>
      </c>
      <c r="G109" s="39">
        <v>15630</v>
      </c>
      <c r="H109" s="73">
        <f t="shared" ref="H109:H112" si="69">IF(ISNUMBER(G109), (G109 - $B109) / $B109, "")</f>
        <v>-3.9926289926289923E-2</v>
      </c>
      <c r="I109" s="202">
        <f>IF(ISNUMBER(G109), $B118 * H109, "")</f>
        <v>-5988.9434889434888</v>
      </c>
      <c r="J109" s="125">
        <v>15790</v>
      </c>
      <c r="K109" s="73">
        <f t="shared" ref="K109:K112" si="70">IF(ISNUMBER(J109), (J109 - $B109) / $B109, "")</f>
        <v>-3.0098280098280097E-2</v>
      </c>
      <c r="L109" s="136">
        <f>IF(ISNUMBER(J109), $B118 * K109, "")</f>
        <v>-4514.7420147420144</v>
      </c>
      <c r="M109" s="39">
        <v>15790</v>
      </c>
      <c r="N109" s="73">
        <f t="shared" ref="N109:N112" si="71">IF(ISNUMBER(M109), (M109 - $B109) / $B109, "")</f>
        <v>-3.0098280098280097E-2</v>
      </c>
      <c r="O109" s="136">
        <f>IF(ISNUMBER(M109), $B118 * N109, "")</f>
        <v>-4514.7420147420144</v>
      </c>
      <c r="Q109" s="275"/>
      <c r="R109" s="276"/>
      <c r="S109" s="277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>
        <v>412</v>
      </c>
      <c r="E110" s="73">
        <f t="shared" si="68"/>
        <v>-2.3696682464454975E-2</v>
      </c>
      <c r="F110" s="136">
        <f>IF(ISNUMBER(D110), $B118 * E110, "")</f>
        <v>-3554.502369668246</v>
      </c>
      <c r="G110" s="39">
        <v>402</v>
      </c>
      <c r="H110" s="73">
        <f t="shared" si="69"/>
        <v>-4.7393364928909949E-2</v>
      </c>
      <c r="I110" s="202">
        <f>IF(ISNUMBER(G110), $B118 * H110, "")</f>
        <v>-7109.0047393364921</v>
      </c>
      <c r="J110" s="125">
        <v>403</v>
      </c>
      <c r="K110" s="73">
        <f t="shared" si="70"/>
        <v>-4.5023696682464455E-2</v>
      </c>
      <c r="L110" s="136">
        <f>IF(ISNUMBER(J110), $B118 * K110, "")</f>
        <v>-6753.5545023696686</v>
      </c>
      <c r="M110" s="39">
        <v>407</v>
      </c>
      <c r="N110" s="73">
        <f t="shared" si="71"/>
        <v>-3.5545023696682464E-2</v>
      </c>
      <c r="O110" s="136">
        <f>IF(ISNUMBER(M110), $B118 * N110, "")</f>
        <v>-5331.7535545023693</v>
      </c>
      <c r="Q110" s="268"/>
      <c r="R110" s="268"/>
      <c r="S110" s="268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>
        <v>58060</v>
      </c>
      <c r="E111" s="73">
        <f t="shared" si="68"/>
        <v>2.398589065255732E-2</v>
      </c>
      <c r="F111" s="136">
        <f>IF(ISNUMBER(D111), $B118 * E111, "")</f>
        <v>3597.8835978835982</v>
      </c>
      <c r="G111" s="39">
        <v>54960</v>
      </c>
      <c r="H111" s="73">
        <f t="shared" si="69"/>
        <v>-3.0687830687830688E-2</v>
      </c>
      <c r="I111" s="202">
        <f>IF(ISNUMBER(G111), $B118 * H111, "")</f>
        <v>-4603.1746031746034</v>
      </c>
      <c r="J111" s="125">
        <v>54650</v>
      </c>
      <c r="K111" s="73">
        <f t="shared" si="70"/>
        <v>-3.6155202821869487E-2</v>
      </c>
      <c r="L111" s="136">
        <f>IF(ISNUMBER(J111), $B118 * K111, "")</f>
        <v>-5423.2804232804228</v>
      </c>
      <c r="M111" s="39">
        <v>55020</v>
      </c>
      <c r="N111" s="73">
        <f t="shared" si="71"/>
        <v>-2.9629629629629631E-2</v>
      </c>
      <c r="O111" s="136">
        <f>IF(ISNUMBER(M111), $B118 * N111, "")</f>
        <v>-4444.4444444444443</v>
      </c>
      <c r="Q111" s="278"/>
      <c r="R111" s="278"/>
      <c r="S111" s="278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>
        <v>12630</v>
      </c>
      <c r="E112" s="74">
        <f t="shared" si="68"/>
        <v>0</v>
      </c>
      <c r="F112" s="203">
        <f>IF(ISNUMBER(D112), $B118 * E112, "")</f>
        <v>0</v>
      </c>
      <c r="G112" s="44">
        <v>12190</v>
      </c>
      <c r="H112" s="74">
        <f t="shared" si="69"/>
        <v>-3.4837688044338878E-2</v>
      </c>
      <c r="I112" s="204">
        <f>IF(ISNUMBER(G112), $B118 * H112, "")</f>
        <v>-5225.6532066508316</v>
      </c>
      <c r="J112" s="127">
        <v>12320</v>
      </c>
      <c r="K112" s="74">
        <f t="shared" si="70"/>
        <v>-2.4544734758511481E-2</v>
      </c>
      <c r="L112" s="203">
        <f>IF(ISNUMBER(J112), $B118 * K112, "")</f>
        <v>-3681.7102137767224</v>
      </c>
      <c r="M112" s="44">
        <v>12410</v>
      </c>
      <c r="N112" s="74">
        <f t="shared" si="71"/>
        <v>-1.7418844022169439E-2</v>
      </c>
      <c r="O112" s="203">
        <f>IF(ISNUMBER(M112), $B118 * N112, "")</f>
        <v>-2612.8266033254158</v>
      </c>
      <c r="Q112" s="278"/>
      <c r="R112" s="278"/>
      <c r="S112" s="278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>
        <v>39.200000000000003</v>
      </c>
      <c r="E113" s="76">
        <f>IF(ISNUMBER(D113), (D113 - $B113) / $B113, "")</f>
        <v>-1.7543859649122702E-2</v>
      </c>
      <c r="F113" s="205">
        <f>IF(ISNUMBER(D113), $B118 * E113, "")</f>
        <v>-2631.5789473684054</v>
      </c>
      <c r="G113" s="45">
        <v>37.4</v>
      </c>
      <c r="H113" s="76">
        <f>IF(ISNUMBER(G113), (G113 - $B113) / $B113, "")</f>
        <v>-6.2656641604010022E-2</v>
      </c>
      <c r="I113" s="206">
        <f>IF(ISNUMBER(G113), $B118 * H113, "")</f>
        <v>-9398.4962406015038</v>
      </c>
      <c r="J113" s="128">
        <v>37.6</v>
      </c>
      <c r="K113" s="76">
        <f>IF(ISNUMBER(J113), (J113 - $B113) / $B113, "")</f>
        <v>-5.764411027568915E-2</v>
      </c>
      <c r="L113" s="205">
        <f>IF(ISNUMBER(J113), $B118 * K113, "")</f>
        <v>-8646.6165413533727</v>
      </c>
      <c r="M113" s="45">
        <v>37.9</v>
      </c>
      <c r="N113" s="76">
        <f>IF(ISNUMBER(M113), (M113 - $B113) / $B113, "")</f>
        <v>-5.0125313283208024E-2</v>
      </c>
      <c r="O113" s="205">
        <f>IF(ISNUMBER(M113), $B118 * N113, "")</f>
        <v>-7518.7969924812032</v>
      </c>
      <c r="Q113" s="268"/>
      <c r="R113" s="268"/>
      <c r="S113" s="268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>
        <v>574</v>
      </c>
      <c r="E114" s="73">
        <f t="shared" ref="E114:E117" si="72">IF(ISNUMBER(D114), (D114 - $B114) / $B114, "")</f>
        <v>3.9855072463768113E-2</v>
      </c>
      <c r="F114" s="136">
        <f>IF(ISNUMBER(D114), $B118 * E114, "")</f>
        <v>5978.260869565217</v>
      </c>
      <c r="G114" s="39">
        <v>569</v>
      </c>
      <c r="H114" s="73">
        <f t="shared" ref="H114:H117" si="73">IF(ISNUMBER(G114), (G114 - $B114) / $B114, "")</f>
        <v>3.0797101449275364E-2</v>
      </c>
      <c r="I114" s="202">
        <f>IF(ISNUMBER(G114), $B118 * H114, "")</f>
        <v>4619.5652173913049</v>
      </c>
      <c r="J114" s="125">
        <v>606</v>
      </c>
      <c r="K114" s="73">
        <f t="shared" ref="K114:K117" si="74">IF(ISNUMBER(J114), (J114 - $B114) / $B114, "")</f>
        <v>9.7826086956521743E-2</v>
      </c>
      <c r="L114" s="136">
        <f>IF(ISNUMBER(J114), $B118 * K114, "")</f>
        <v>14673.913043478262</v>
      </c>
      <c r="M114" s="39">
        <v>588</v>
      </c>
      <c r="N114" s="73">
        <f t="shared" ref="N114:N117" si="75">IF(ISNUMBER(M114), (M114 - $B114) / $B114, "")</f>
        <v>6.5217391304347824E-2</v>
      </c>
      <c r="O114" s="136">
        <f>IF(ISNUMBER(M114), $B118 * N114, "")</f>
        <v>9782.608695652174</v>
      </c>
      <c r="Q114" s="268"/>
      <c r="R114" s="268"/>
      <c r="S114" s="268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>
        <v>438</v>
      </c>
      <c r="E115" s="73">
        <f t="shared" si="72"/>
        <v>-1.3513513513513514E-2</v>
      </c>
      <c r="F115" s="136">
        <f>IF(ISNUMBER(D115), $B118 * E115, "")</f>
        <v>-2027.0270270270271</v>
      </c>
      <c r="G115" s="39">
        <v>426</v>
      </c>
      <c r="H115" s="73">
        <f t="shared" si="73"/>
        <v>-4.0540540540540543E-2</v>
      </c>
      <c r="I115" s="202">
        <f>IF(ISNUMBER(G115), $B118 * H115, "")</f>
        <v>-6081.0810810810817</v>
      </c>
      <c r="J115" s="125">
        <v>435</v>
      </c>
      <c r="K115" s="73">
        <f t="shared" si="74"/>
        <v>-2.0270270270270271E-2</v>
      </c>
      <c r="L115" s="136">
        <f>IF(ISNUMBER(J115), $B118 * K115, "")</f>
        <v>-3040.5405405405409</v>
      </c>
      <c r="M115" s="39">
        <v>438</v>
      </c>
      <c r="N115" s="73">
        <f t="shared" si="75"/>
        <v>-1.3513513513513514E-2</v>
      </c>
      <c r="O115" s="136">
        <f>IF(ISNUMBER(M115), $B118 * N115, "")</f>
        <v>-2027.0270270270271</v>
      </c>
      <c r="Q115" s="268"/>
      <c r="R115" s="268"/>
      <c r="S115" s="268"/>
    </row>
    <row r="116" spans="1:19">
      <c r="A116" s="124" t="s">
        <v>106</v>
      </c>
      <c r="B116" s="125">
        <v>2105</v>
      </c>
      <c r="C116" s="73">
        <v>2.68292683E-2</v>
      </c>
      <c r="D116" s="125">
        <v>2060</v>
      </c>
      <c r="E116" s="73">
        <f t="shared" si="72"/>
        <v>-2.1377672209026127E-2</v>
      </c>
      <c r="F116" s="136">
        <f>IF(ISNUMBER(D116), $B118 * E116, "")</f>
        <v>-3206.6508313539189</v>
      </c>
      <c r="G116" s="39">
        <v>1980</v>
      </c>
      <c r="H116" s="73">
        <f t="shared" si="73"/>
        <v>-5.9382422802850353E-2</v>
      </c>
      <c r="I116" s="202">
        <f>IF(ISNUMBER(G116), $B118 * H116, "")</f>
        <v>-8907.3634204275531</v>
      </c>
      <c r="J116" s="125">
        <v>1995</v>
      </c>
      <c r="K116" s="73">
        <f t="shared" si="74"/>
        <v>-5.2256532066508314E-2</v>
      </c>
      <c r="L116" s="136">
        <f>IF(ISNUMBER(J116), $B118 * K116, "")</f>
        <v>-7838.4798099762475</v>
      </c>
      <c r="M116" s="39">
        <v>2020</v>
      </c>
      <c r="N116" s="73">
        <f t="shared" si="75"/>
        <v>-4.0380047505938245E-2</v>
      </c>
      <c r="O116" s="136">
        <f>IF(ISNUMBER(M116), $B118 * N116, "")</f>
        <v>-6057.0071258907365</v>
      </c>
      <c r="Q116" s="257"/>
      <c r="R116" s="258"/>
      <c r="S116" s="259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>
        <v>1120</v>
      </c>
      <c r="E117" s="75">
        <f t="shared" si="72"/>
        <v>-2.6086956521739129E-2</v>
      </c>
      <c r="F117" s="137">
        <f>IF(ISNUMBER(D117), $B118 * E117, "")</f>
        <v>-3913.0434782608695</v>
      </c>
      <c r="G117" s="37">
        <v>1085</v>
      </c>
      <c r="H117" s="75">
        <f t="shared" si="73"/>
        <v>-5.6521739130434782E-2</v>
      </c>
      <c r="I117" s="207">
        <f>IF(ISNUMBER(G117), $B118 * H117, "")</f>
        <v>-8478.2608695652179</v>
      </c>
      <c r="J117" s="130">
        <v>1095</v>
      </c>
      <c r="K117" s="75">
        <f t="shared" si="74"/>
        <v>-4.7826086956521741E-2</v>
      </c>
      <c r="L117" s="137">
        <f>IF(ISNUMBER(J117), $B118 * K117, "")</f>
        <v>-7173.913043478261</v>
      </c>
      <c r="M117" s="37">
        <v>1105</v>
      </c>
      <c r="N117" s="75">
        <f t="shared" si="75"/>
        <v>-3.9130434782608699E-2</v>
      </c>
      <c r="O117" s="137">
        <f>IF(ISNUMBER(M117), $B118 * N117, "")</f>
        <v>-5869.5652173913049</v>
      </c>
      <c r="Q117" s="260"/>
      <c r="R117" s="261"/>
      <c r="S117" s="262"/>
    </row>
    <row r="118" spans="1:19" ht="17.25" thickBot="1">
      <c r="A118" s="131" t="s">
        <v>301</v>
      </c>
      <c r="B118" s="330">
        <f>$B$37</f>
        <v>150000</v>
      </c>
      <c r="C118" s="331"/>
      <c r="D118" s="131" t="s">
        <v>302</v>
      </c>
      <c r="E118" s="236">
        <f>IF(COUNT(E98:E117), SUM(E98:E117) / COUNT(E98:E117), 0)</f>
        <v>7.2217915488863626E-3</v>
      </c>
      <c r="F118" s="208">
        <f>SUM(F98:F117)</f>
        <v>21665.374646659075</v>
      </c>
      <c r="G118" s="131" t="s">
        <v>302</v>
      </c>
      <c r="H118" s="236">
        <f>IF(COUNT(H98:H117), SUM(H98:H117) / COUNT(H98:H117), 0)</f>
        <v>-2.8071510320610449E-2</v>
      </c>
      <c r="I118" s="208">
        <f>SUM(I98:I117)</f>
        <v>-84214.530961831348</v>
      </c>
      <c r="J118" s="131" t="s">
        <v>302</v>
      </c>
      <c r="K118" s="236">
        <f>IF(COUNT(K98:K117), SUM(K98:K117) / COUNT(K98:K117), 0)</f>
        <v>-1.6299705743960349E-2</v>
      </c>
      <c r="L118" s="208">
        <f>SUM(L98:L117)</f>
        <v>-48899.117231881042</v>
      </c>
      <c r="M118" s="131" t="s">
        <v>302</v>
      </c>
      <c r="N118" s="236">
        <f>IF(COUNT(N98:N117), SUM(N98:N117) / COUNT(N98:N117), 0)</f>
        <v>-1.3510568974135554E-2</v>
      </c>
      <c r="O118" s="208">
        <f>SUM(O98:O117)</f>
        <v>-40531.706922406651</v>
      </c>
      <c r="Q118" s="263"/>
      <c r="R118" s="264"/>
      <c r="S118" s="265"/>
    </row>
    <row r="120" spans="1:19" ht="17.25" thickBot="1"/>
    <row r="121" spans="1:19" ht="17.25" thickBot="1">
      <c r="A121" s="279" t="s">
        <v>288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33" t="s">
        <v>298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55555000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-3.6323266700000002E-2</v>
      </c>
      <c r="N122" s="286"/>
      <c r="O122" s="287"/>
      <c r="Q122" s="278"/>
      <c r="R122" s="278"/>
      <c r="S122" s="278"/>
    </row>
    <row r="123" spans="1:19" ht="17.25" thickBot="1">
      <c r="A123" s="332" t="s">
        <v>55</v>
      </c>
      <c r="B123" s="328" t="str">
        <f>TEXT($G$1, "[$-ko-KR]yyyy-mm-dd(ddd) ") &amp; "오전 00:00"</f>
        <v>2021-05-15(토) 오전 00:00</v>
      </c>
      <c r="C123" s="329"/>
      <c r="D123" s="279" t="str">
        <f>TEXT($G$1, "[$-ko-KR]yyyy-mm-dd(ddd) ") &amp; "오후 14:00"</f>
        <v>2021-05-15(토) 오후 14:00</v>
      </c>
      <c r="E123" s="280"/>
      <c r="F123" s="281"/>
      <c r="G123" s="279" t="str">
        <f>TEXT($G$1, "[$-ko-KR]yyyy-mm-dd(ddd) ") &amp; "오후 19:00"</f>
        <v>2021-05-15(토) 오후 19:00</v>
      </c>
      <c r="H123" s="280"/>
      <c r="I123" s="281"/>
      <c r="J123" s="279" t="str">
        <f>TEXT($G$1, "[$-ko-KR]yyyy-mm-dd(ddd) ") &amp; "오후 21:00"</f>
        <v>2021-05-15(토) 오후 21:00</v>
      </c>
      <c r="K123" s="280"/>
      <c r="L123" s="281"/>
      <c r="M123" s="279" t="str">
        <f>TEXT($G$1+1, "[$-ko-KR]yyyy-mm-dd(ddd) ") &amp; "오전 00:00"</f>
        <v>2021-05-16(일) 오전 00:00</v>
      </c>
      <c r="N123" s="280"/>
      <c r="O123" s="281"/>
      <c r="Q123" s="278"/>
      <c r="R123" s="278"/>
      <c r="S123" s="278"/>
    </row>
    <row r="124" spans="1:19" ht="17.25" thickBot="1">
      <c r="A124" s="333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268"/>
      <c r="R124" s="268"/>
      <c r="S124" s="268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>
        <v>23</v>
      </c>
      <c r="E125" s="72">
        <f>IF(ISNUMBER(D125), (D125 - $B125) / $B125, "")</f>
        <v>-1.7094017094017033E-2</v>
      </c>
      <c r="F125" s="140">
        <f>IF(ISNUMBER(D125), $B145 * E125, "")</f>
        <v>-2564.1025641025549</v>
      </c>
      <c r="G125" s="38">
        <v>22.3</v>
      </c>
      <c r="H125" s="72">
        <f>IF(ISNUMBER(G125), (G125 - $B125) / $B125, "")</f>
        <v>-4.7008547008546918E-2</v>
      </c>
      <c r="I125" s="201">
        <f>IF(ISNUMBER(G125), $B145 * H125, "")</f>
        <v>-7051.2820512820381</v>
      </c>
      <c r="J125" s="123">
        <v>22.3</v>
      </c>
      <c r="K125" s="72">
        <f>IF(ISNUMBER(J125), (J125 - $B125) / $B125, "")</f>
        <v>-4.7008547008546918E-2</v>
      </c>
      <c r="L125" s="140">
        <f>IF(ISNUMBER(J125), $B145 * K125, "")</f>
        <v>-7051.2820512820381</v>
      </c>
      <c r="M125" s="38">
        <v>22.4</v>
      </c>
      <c r="N125" s="72">
        <f>IF(ISNUMBER(M125), (M125 - $B125) / $B125, "")</f>
        <v>-4.2735042735042736E-2</v>
      </c>
      <c r="O125" s="140">
        <f>IF(ISNUMBER(M125), $B145 * N125, "")</f>
        <v>-6410.2564102564102</v>
      </c>
      <c r="Q125" s="278"/>
      <c r="R125" s="278"/>
      <c r="S125" s="278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>
        <v>50.8</v>
      </c>
      <c r="E126" s="73">
        <f t="shared" ref="E126:E129" si="76">IF(ISNUMBER(D126), (D126 - $B126) / $B126, "")</f>
        <v>-2.307692307692313E-2</v>
      </c>
      <c r="F126" s="136">
        <f>IF(ISNUMBER(D126), $B145 * E126, "")</f>
        <v>-3461.5384615384696</v>
      </c>
      <c r="G126" s="39">
        <v>49</v>
      </c>
      <c r="H126" s="73">
        <f t="shared" ref="H126:H129" si="77">IF(ISNUMBER(G126), (G126 - $B126) / $B126, "")</f>
        <v>-5.7692307692307696E-2</v>
      </c>
      <c r="I126" s="202">
        <f>IF(ISNUMBER(G126), $B145 * H126, "")</f>
        <v>-8653.8461538461543</v>
      </c>
      <c r="J126" s="125">
        <v>49.7</v>
      </c>
      <c r="K126" s="73">
        <f t="shared" ref="K126:K129" si="78">IF(ISNUMBER(J126), (J126 - $B126) / $B126, "")</f>
        <v>-4.4230769230769178E-2</v>
      </c>
      <c r="L126" s="136">
        <f>IF(ISNUMBER(J126), $B145 * K126, "")</f>
        <v>-6634.6153846153766</v>
      </c>
      <c r="M126" s="39">
        <v>49.7</v>
      </c>
      <c r="N126" s="73">
        <f t="shared" ref="N126:N129" si="79">IF(ISNUMBER(M126), (M126 - $B126) / $B126, "")</f>
        <v>-4.4230769230769178E-2</v>
      </c>
      <c r="O126" s="136">
        <f>IF(ISNUMBER(M126), $B145 * N126, "")</f>
        <v>-6634.6153846153766</v>
      </c>
      <c r="Q126" s="278"/>
      <c r="R126" s="278"/>
      <c r="S126" s="278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>
        <v>39.200000000000003</v>
      </c>
      <c r="E127" s="73">
        <f t="shared" si="76"/>
        <v>-1.7543859649122702E-2</v>
      </c>
      <c r="F127" s="136">
        <f>IF(ISNUMBER(D127), $B145 * E127, "")</f>
        <v>-2631.5789473684054</v>
      </c>
      <c r="G127" s="39">
        <v>37.4</v>
      </c>
      <c r="H127" s="73">
        <f t="shared" si="77"/>
        <v>-6.2656641604010022E-2</v>
      </c>
      <c r="I127" s="202">
        <f>IF(ISNUMBER(G127), $B145 * H127, "")</f>
        <v>-9398.4962406015038</v>
      </c>
      <c r="J127" s="125">
        <v>37.6</v>
      </c>
      <c r="K127" s="73">
        <f t="shared" si="78"/>
        <v>-5.764411027568915E-2</v>
      </c>
      <c r="L127" s="136">
        <f>IF(ISNUMBER(J127), $B145 * K127, "")</f>
        <v>-8646.6165413533727</v>
      </c>
      <c r="M127" s="39">
        <v>37.9</v>
      </c>
      <c r="N127" s="73">
        <f t="shared" si="79"/>
        <v>-5.0125313283208024E-2</v>
      </c>
      <c r="O127" s="136">
        <f>IF(ISNUMBER(M127), $B145 * N127, "")</f>
        <v>-7518.7969924812032</v>
      </c>
      <c r="Q127" s="268"/>
      <c r="R127" s="268"/>
      <c r="S127" s="268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>
        <v>18.7</v>
      </c>
      <c r="E128" s="73">
        <f t="shared" si="76"/>
        <v>4.4692737430167641E-2</v>
      </c>
      <c r="F128" s="136">
        <f>IF(ISNUMBER(D128), $B145 * E128, "")</f>
        <v>6703.9106145251462</v>
      </c>
      <c r="G128" s="39">
        <v>18.3</v>
      </c>
      <c r="H128" s="73">
        <f t="shared" si="77"/>
        <v>2.2346368715083921E-2</v>
      </c>
      <c r="I128" s="202">
        <f>IF(ISNUMBER(G128), $B145 * H128, "")</f>
        <v>3351.9553072625881</v>
      </c>
      <c r="J128" s="125">
        <v>18.7</v>
      </c>
      <c r="K128" s="73">
        <f t="shared" si="78"/>
        <v>4.4692737430167641E-2</v>
      </c>
      <c r="L128" s="136">
        <f>IF(ISNUMBER(J128), $B145 * K128, "")</f>
        <v>6703.9106145251462</v>
      </c>
      <c r="M128" s="39">
        <v>18.399999999999999</v>
      </c>
      <c r="N128" s="73">
        <f t="shared" si="79"/>
        <v>2.793296089385475E-2</v>
      </c>
      <c r="O128" s="136">
        <f>IF(ISNUMBER(M128), $B145 * N128, "")</f>
        <v>4189.9441340782123</v>
      </c>
      <c r="Q128" s="268"/>
      <c r="R128" s="268"/>
      <c r="S128" s="268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>
        <v>16</v>
      </c>
      <c r="E129" s="74">
        <f t="shared" si="76"/>
        <v>-6.2111801242236905E-3</v>
      </c>
      <c r="F129" s="203">
        <f>IF(ISNUMBER(D129), $B145 * E129, "")</f>
        <v>-931.67701863355353</v>
      </c>
      <c r="G129" s="44">
        <v>15.7</v>
      </c>
      <c r="H129" s="74">
        <f t="shared" si="77"/>
        <v>-2.484472049689454E-2</v>
      </c>
      <c r="I129" s="204">
        <f>IF(ISNUMBER(G129), $B145 * H129, "")</f>
        <v>-3726.7080745341809</v>
      </c>
      <c r="J129" s="127">
        <v>15.7</v>
      </c>
      <c r="K129" s="74">
        <f t="shared" si="78"/>
        <v>-2.484472049689454E-2</v>
      </c>
      <c r="L129" s="203">
        <f>IF(ISNUMBER(J129), $B145 * K129, "")</f>
        <v>-3726.7080745341809</v>
      </c>
      <c r="M129" s="44">
        <v>15.7</v>
      </c>
      <c r="N129" s="74">
        <f t="shared" si="79"/>
        <v>-2.484472049689454E-2</v>
      </c>
      <c r="O129" s="203">
        <f>IF(ISNUMBER(M129), $B145 * N129, "")</f>
        <v>-3726.7080745341809</v>
      </c>
      <c r="Q129" s="268"/>
      <c r="R129" s="268"/>
      <c r="S129" s="268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>
        <v>63.8</v>
      </c>
      <c r="E130" s="76">
        <f>IF(ISNUMBER(D130), (D130 - $B130) / $B130, "")</f>
        <v>-9.3167701863355358E-3</v>
      </c>
      <c r="F130" s="205">
        <f>IF(ISNUMBER(D130), $B145 * E130, "")</f>
        <v>-1397.5155279503304</v>
      </c>
      <c r="G130" s="45">
        <v>61.1</v>
      </c>
      <c r="H130" s="76">
        <f>IF(ISNUMBER(G130), (G130 - $B130) / $B130, "")</f>
        <v>-5.1242236024844783E-2</v>
      </c>
      <c r="I130" s="206">
        <f>IF(ISNUMBER(G130), $B145 * H130, "")</f>
        <v>-7686.3354037267172</v>
      </c>
      <c r="J130" s="128">
        <v>61.4</v>
      </c>
      <c r="K130" s="76">
        <f>IF(ISNUMBER(J130), (J130 - $B130) / $B130, "")</f>
        <v>-4.6583850931677127E-2</v>
      </c>
      <c r="L130" s="205">
        <f>IF(ISNUMBER(J130), $B145 * K130, "")</f>
        <v>-6987.5776397515692</v>
      </c>
      <c r="M130" s="45">
        <v>61.6</v>
      </c>
      <c r="N130" s="76">
        <f>IF(ISNUMBER(M130), (M130 - $B130) / $B130, "")</f>
        <v>-4.3478260869565279E-2</v>
      </c>
      <c r="O130" s="205">
        <f>IF(ISNUMBER(M130), $B145 * N130, "")</f>
        <v>-6521.7391304347921</v>
      </c>
      <c r="Q130" s="268"/>
      <c r="R130" s="268"/>
      <c r="S130" s="268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>
        <v>24</v>
      </c>
      <c r="E131" s="73">
        <f t="shared" ref="E131:E134" si="80">IF(ISNUMBER(D131), (D131 - $B131) / $B131, "")</f>
        <v>-4.1493775933610548E-3</v>
      </c>
      <c r="F131" s="136">
        <f>IF(ISNUMBER(D131), $B145 * E131, "")</f>
        <v>-622.40663900415825</v>
      </c>
      <c r="G131" s="39">
        <v>23</v>
      </c>
      <c r="H131" s="73">
        <f t="shared" ref="H131:H134" si="81">IF(ISNUMBER(G131), (G131 - $B131) / $B131, "")</f>
        <v>-4.5643153526971007E-2</v>
      </c>
      <c r="I131" s="202">
        <f>IF(ISNUMBER(G131), $B145 * H131, "")</f>
        <v>-6846.4730290456509</v>
      </c>
      <c r="J131" s="125">
        <v>23.2</v>
      </c>
      <c r="K131" s="73">
        <f t="shared" ref="K131:K134" si="82">IF(ISNUMBER(J131), (J131 - $B131) / $B131, "")</f>
        <v>-3.7344398340249052E-2</v>
      </c>
      <c r="L131" s="136">
        <f>IF(ISNUMBER(J131), $B145 * K131, "")</f>
        <v>-5601.6597510373576</v>
      </c>
      <c r="M131" s="39">
        <v>23.4</v>
      </c>
      <c r="N131" s="73">
        <f t="shared" ref="N131:N134" si="83">IF(ISNUMBER(M131), (M131 - $B131) / $B131, "")</f>
        <v>-2.9045643153527086E-2</v>
      </c>
      <c r="O131" s="136">
        <f>IF(ISNUMBER(M131), $B145 * N131, "")</f>
        <v>-4356.8464730290625</v>
      </c>
      <c r="Q131" s="268"/>
      <c r="R131" s="268"/>
      <c r="S131" s="268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>
        <v>15.9</v>
      </c>
      <c r="E132" s="73">
        <f t="shared" si="80"/>
        <v>-6.2499999999999778E-3</v>
      </c>
      <c r="F132" s="136">
        <f>IF(ISNUMBER(D132), $B145 * E132, "")</f>
        <v>-937.4999999999967</v>
      </c>
      <c r="G132" s="39">
        <v>15.3</v>
      </c>
      <c r="H132" s="73">
        <f t="shared" si="81"/>
        <v>-4.3749999999999956E-2</v>
      </c>
      <c r="I132" s="202">
        <f>IF(ISNUMBER(G132), $B145 * H132, "")</f>
        <v>-6562.4999999999936</v>
      </c>
      <c r="J132" s="125">
        <v>15.6</v>
      </c>
      <c r="K132" s="73">
        <f t="shared" si="82"/>
        <v>-2.5000000000000022E-2</v>
      </c>
      <c r="L132" s="136">
        <f>IF(ISNUMBER(J132), $B145 * K132, "")</f>
        <v>-3750.0000000000032</v>
      </c>
      <c r="M132" s="39">
        <v>15.4</v>
      </c>
      <c r="N132" s="73">
        <f t="shared" si="83"/>
        <v>-3.7499999999999978E-2</v>
      </c>
      <c r="O132" s="136">
        <f>IF(ISNUMBER(M132), $B145 * N132, "")</f>
        <v>-5624.9999999999964</v>
      </c>
      <c r="Q132" s="268"/>
      <c r="R132" s="268"/>
      <c r="S132" s="268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>
        <v>18.2</v>
      </c>
      <c r="E133" s="73">
        <f t="shared" si="80"/>
        <v>2.247191011235947E-2</v>
      </c>
      <c r="F133" s="136">
        <f>IF(ISNUMBER(D133), $B145 * E133, "")</f>
        <v>3370.7865168539206</v>
      </c>
      <c r="G133" s="39">
        <v>17.399999999999999</v>
      </c>
      <c r="H133" s="73">
        <f t="shared" si="81"/>
        <v>-2.2471910112359668E-2</v>
      </c>
      <c r="I133" s="202">
        <f>IF(ISNUMBER(G133), $B145 * H133, "")</f>
        <v>-3370.7865168539502</v>
      </c>
      <c r="J133" s="125">
        <v>17.5</v>
      </c>
      <c r="K133" s="73">
        <f t="shared" si="82"/>
        <v>-1.6853932584269701E-2</v>
      </c>
      <c r="L133" s="136">
        <f>IF(ISNUMBER(J133), $B145 * K133, "")</f>
        <v>-2528.0898876404549</v>
      </c>
      <c r="M133" s="39">
        <v>17.600000000000001</v>
      </c>
      <c r="N133" s="73">
        <f t="shared" si="83"/>
        <v>-1.1235955056179735E-2</v>
      </c>
      <c r="O133" s="136">
        <f>IF(ISNUMBER(M133), $B145 * N133, "")</f>
        <v>-1685.3932584269603</v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>
        <v>17.899999999999999</v>
      </c>
      <c r="E134" s="75">
        <f t="shared" si="80"/>
        <v>5.6179775280897678E-3</v>
      </c>
      <c r="F134" s="137">
        <f>IF(ISNUMBER(D134), $B145 * E134, "")</f>
        <v>842.69662921346514</v>
      </c>
      <c r="G134" s="37">
        <v>17.399999999999999</v>
      </c>
      <c r="H134" s="75">
        <f t="shared" si="81"/>
        <v>-2.2471910112359668E-2</v>
      </c>
      <c r="I134" s="207">
        <f>IF(ISNUMBER(G134), $B145 * H134, "")</f>
        <v>-3370.7865168539502</v>
      </c>
      <c r="J134" s="130">
        <v>17.5</v>
      </c>
      <c r="K134" s="75">
        <f t="shared" si="82"/>
        <v>-1.6853932584269701E-2</v>
      </c>
      <c r="L134" s="137">
        <f>IF(ISNUMBER(J134), $B145 * K134, "")</f>
        <v>-2528.0898876404549</v>
      </c>
      <c r="M134" s="37">
        <v>17.600000000000001</v>
      </c>
      <c r="N134" s="75">
        <f t="shared" si="83"/>
        <v>-1.1235955056179735E-2</v>
      </c>
      <c r="O134" s="137">
        <f>IF(ISNUMBER(M134), $B145 * N134, "")</f>
        <v>-1685.3932584269603</v>
      </c>
      <c r="Q134" s="269"/>
      <c r="R134" s="270"/>
      <c r="S134" s="271"/>
    </row>
    <row r="135" spans="1:19">
      <c r="A135" s="122" t="s">
        <v>218</v>
      </c>
      <c r="B135" s="123">
        <v>23.6</v>
      </c>
      <c r="C135" s="72">
        <v>4.2553191000000001E-3</v>
      </c>
      <c r="D135" s="123">
        <v>23.6</v>
      </c>
      <c r="E135" s="72">
        <f>IF(ISNUMBER(D135), (D135 - $B135) / $B135, "")</f>
        <v>0</v>
      </c>
      <c r="F135" s="140">
        <f>IF(ISNUMBER(D135), $B145 * E135, "")</f>
        <v>0</v>
      </c>
      <c r="G135" s="38">
        <v>22.7</v>
      </c>
      <c r="H135" s="72">
        <f>IF(ISNUMBER(G135), (G135 - $B135) / $B135, "")</f>
        <v>-3.8135593220339069E-2</v>
      </c>
      <c r="I135" s="201">
        <f>IF(ISNUMBER(G135), $B145 * H135, "")</f>
        <v>-5720.3389830508604</v>
      </c>
      <c r="J135" s="123">
        <v>22.9</v>
      </c>
      <c r="K135" s="72">
        <f>IF(ISNUMBER(J135), (J135 - $B135) / $B135, "")</f>
        <v>-2.9661016949152661E-2</v>
      </c>
      <c r="L135" s="140">
        <f>IF(ISNUMBER(J135), $B145 * K135, "")</f>
        <v>-4449.152542372899</v>
      </c>
      <c r="M135" s="38">
        <v>23</v>
      </c>
      <c r="N135" s="72">
        <f>IF(ISNUMBER(M135), (M135 - $B135) / $B135, "")</f>
        <v>-2.5423728813559379E-2</v>
      </c>
      <c r="O135" s="140">
        <f>IF(ISNUMBER(M135), $B145 * N135, "")</f>
        <v>-3813.5593220339069</v>
      </c>
      <c r="Q135" s="272"/>
      <c r="R135" s="273"/>
      <c r="S135" s="274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>
        <v>89.5</v>
      </c>
      <c r="E136" s="73">
        <f t="shared" ref="E136:E139" si="84">IF(ISNUMBER(D136), (D136 - $B136) / $B136, "")</f>
        <v>4.6783625730994149E-2</v>
      </c>
      <c r="F136" s="136">
        <f>IF(ISNUMBER(D136), $B145 * E136, "")</f>
        <v>7017.5438596491222</v>
      </c>
      <c r="G136" s="39">
        <v>86.9</v>
      </c>
      <c r="H136" s="73">
        <f t="shared" ref="H136:H139" si="85">IF(ISNUMBER(G136), (G136 - $B136) / $B136, "")</f>
        <v>1.637426900584802E-2</v>
      </c>
      <c r="I136" s="202">
        <f>IF(ISNUMBER(G136), $B145 * H136, "")</f>
        <v>2456.1403508772032</v>
      </c>
      <c r="J136" s="125">
        <v>88</v>
      </c>
      <c r="K136" s="73">
        <f t="shared" ref="K136:K139" si="86">IF(ISNUMBER(J136), (J136 - $B136) / $B136, "")</f>
        <v>2.9239766081871343E-2</v>
      </c>
      <c r="L136" s="136">
        <f>IF(ISNUMBER(J136), $B145 * K136, "")</f>
        <v>4385.9649122807014</v>
      </c>
      <c r="M136" s="39">
        <v>88</v>
      </c>
      <c r="N136" s="73">
        <f t="shared" ref="N136:N139" si="87">IF(ISNUMBER(M136), (M136 - $B136) / $B136, "")</f>
        <v>2.9239766081871343E-2</v>
      </c>
      <c r="O136" s="136">
        <f>IF(ISNUMBER(M136), $B145 * N136, "")</f>
        <v>4385.9649122807014</v>
      </c>
      <c r="Q136" s="275"/>
      <c r="R136" s="276"/>
      <c r="S136" s="277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>
        <v>7.41</v>
      </c>
      <c r="E137" s="73">
        <f t="shared" si="84"/>
        <v>-1.5936254980079695E-2</v>
      </c>
      <c r="F137" s="136">
        <f>IF(ISNUMBER(D137), $B145 * E137, "")</f>
        <v>-2390.4382470119544</v>
      </c>
      <c r="G137" s="39">
        <v>7.24</v>
      </c>
      <c r="H137" s="73">
        <f t="shared" si="85"/>
        <v>-3.851261620185923E-2</v>
      </c>
      <c r="I137" s="202">
        <f>IF(ISNUMBER(G137), $B145 * H137, "")</f>
        <v>-5776.8924302788846</v>
      </c>
      <c r="J137" s="125">
        <v>7.28</v>
      </c>
      <c r="K137" s="73">
        <f t="shared" si="86"/>
        <v>-3.3200531208499334E-2</v>
      </c>
      <c r="L137" s="136">
        <f>IF(ISNUMBER(J137), $B145 * K137, "")</f>
        <v>-4980.0796812749004</v>
      </c>
      <c r="M137" s="39">
        <v>7.38</v>
      </c>
      <c r="N137" s="73">
        <f t="shared" si="87"/>
        <v>-1.992031872509965E-2</v>
      </c>
      <c r="O137" s="136">
        <f>IF(ISNUMBER(M137), $B145 * N137, "")</f>
        <v>-2988.0478087649476</v>
      </c>
      <c r="Q137" s="268"/>
      <c r="R137" s="268"/>
      <c r="S137" s="268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>
        <v>74.7</v>
      </c>
      <c r="E138" s="73">
        <f t="shared" si="84"/>
        <v>2.4691358024691318E-2</v>
      </c>
      <c r="F138" s="136">
        <f>IF(ISNUMBER(D138), $B145 * E138, "")</f>
        <v>3703.7037037036976</v>
      </c>
      <c r="G138" s="39">
        <v>71.099999999999994</v>
      </c>
      <c r="H138" s="73">
        <f t="shared" si="85"/>
        <v>-2.4691358024691513E-2</v>
      </c>
      <c r="I138" s="202">
        <f>IF(ISNUMBER(G138), $B145 * H138, "")</f>
        <v>-3703.7037037037271</v>
      </c>
      <c r="J138" s="125">
        <v>71.8</v>
      </c>
      <c r="K138" s="73">
        <f t="shared" si="86"/>
        <v>-1.5089163237311501E-2</v>
      </c>
      <c r="L138" s="136">
        <f>IF(ISNUMBER(J138), $B145 * K138, "")</f>
        <v>-2263.3744855967252</v>
      </c>
      <c r="M138" s="39">
        <v>71.7</v>
      </c>
      <c r="N138" s="73">
        <f t="shared" si="87"/>
        <v>-1.6460905349794275E-2</v>
      </c>
      <c r="O138" s="136">
        <f>IF(ISNUMBER(M138), $B145 * N138, "")</f>
        <v>-2469.1358024691413</v>
      </c>
      <c r="Q138" s="278"/>
      <c r="R138" s="278"/>
      <c r="S138" s="278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>
        <v>19.7</v>
      </c>
      <c r="E139" s="74">
        <f t="shared" si="84"/>
        <v>1.025641025641022E-2</v>
      </c>
      <c r="F139" s="203">
        <f>IF(ISNUMBER(D139), $B145 * E139, "")</f>
        <v>1538.4615384615331</v>
      </c>
      <c r="G139" s="44">
        <v>19</v>
      </c>
      <c r="H139" s="74">
        <f t="shared" si="85"/>
        <v>-2.564102564102564E-2</v>
      </c>
      <c r="I139" s="204">
        <f>IF(ISNUMBER(G139), $B145 * H139, "")</f>
        <v>-3846.1538461538462</v>
      </c>
      <c r="J139" s="127">
        <v>19.2</v>
      </c>
      <c r="K139" s="74">
        <f t="shared" si="86"/>
        <v>-1.5384615384615422E-2</v>
      </c>
      <c r="L139" s="203">
        <f>IF(ISNUMBER(J139), $B145 * K139, "")</f>
        <v>-2307.6923076923131</v>
      </c>
      <c r="M139" s="44">
        <v>19.100000000000001</v>
      </c>
      <c r="N139" s="74">
        <f t="shared" si="87"/>
        <v>-2.051282051282044E-2</v>
      </c>
      <c r="O139" s="203">
        <f>IF(ISNUMBER(M139), $B145 * N139, "")</f>
        <v>-3076.9230769230662</v>
      </c>
      <c r="Q139" s="278"/>
      <c r="R139" s="278"/>
      <c r="S139" s="278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>
        <v>32.1</v>
      </c>
      <c r="E140" s="76">
        <f>IF(ISNUMBER(D140), (D140 - $B140) / $B140, "")</f>
        <v>1.2618296529968522E-2</v>
      </c>
      <c r="F140" s="205">
        <f>IF(ISNUMBER(D140), $B145 * E140, "")</f>
        <v>1892.7444794952783</v>
      </c>
      <c r="G140" s="45">
        <v>30.6</v>
      </c>
      <c r="H140" s="76">
        <f>IF(ISNUMBER(G140), (G140 - $B140) / $B140, "")</f>
        <v>-3.4700315457413186E-2</v>
      </c>
      <c r="I140" s="206">
        <f>IF(ISNUMBER(G140), $B145 * H140, "")</f>
        <v>-5205.047318611978</v>
      </c>
      <c r="J140" s="128">
        <v>30.7</v>
      </c>
      <c r="K140" s="76">
        <f>IF(ISNUMBER(J140), (J140 - $B140) / $B140, "")</f>
        <v>-3.1545741324921134E-2</v>
      </c>
      <c r="L140" s="205">
        <f>IF(ISNUMBER(J140), $B145 * K140, "")</f>
        <v>-4731.8611987381701</v>
      </c>
      <c r="M140" s="45">
        <v>31.2</v>
      </c>
      <c r="N140" s="76">
        <f>IF(ISNUMBER(M140), (M140 - $B140) / $B140, "")</f>
        <v>-1.5772870662460567E-2</v>
      </c>
      <c r="O140" s="205">
        <f>IF(ISNUMBER(M140), $B145 * N140, "")</f>
        <v>-2365.930599369085</v>
      </c>
      <c r="Q140" s="268"/>
      <c r="R140" s="268"/>
      <c r="S140" s="268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>
        <v>80.900000000000006</v>
      </c>
      <c r="E141" s="73">
        <f t="shared" ref="E141:E144" si="88">IF(ISNUMBER(D141), (D141 - $B141) / $B141, "")</f>
        <v>1.7610062893081833E-2</v>
      </c>
      <c r="F141" s="136">
        <f>IF(ISNUMBER(D141), $B145 * E141, "")</f>
        <v>2641.5094339622751</v>
      </c>
      <c r="G141" s="39">
        <v>77.900000000000006</v>
      </c>
      <c r="H141" s="73">
        <f t="shared" ref="H141:H144" si="89">IF(ISNUMBER(G141), (G141 - $B141) / $B141, "")</f>
        <v>-2.0125786163521942E-2</v>
      </c>
      <c r="I141" s="202">
        <f>IF(ISNUMBER(G141), $B145 * H141, "")</f>
        <v>-3018.8679245282915</v>
      </c>
      <c r="J141" s="125">
        <v>78.400000000000006</v>
      </c>
      <c r="K141" s="73">
        <f t="shared" ref="K141:K144" si="90">IF(ISNUMBER(J141), (J141 - $B141) / $B141, "")</f>
        <v>-1.3836477987421313E-2</v>
      </c>
      <c r="L141" s="136">
        <f>IF(ISNUMBER(J141), $B145 * K141, "")</f>
        <v>-2075.4716981131969</v>
      </c>
      <c r="M141" s="39">
        <v>79</v>
      </c>
      <c r="N141" s="73">
        <f t="shared" ref="N141:N144" si="91">IF(ISNUMBER(M141), (M141 - $B141) / $B141, "")</f>
        <v>-6.2893081761006293E-3</v>
      </c>
      <c r="O141" s="136">
        <f>IF(ISNUMBER(M141), $B145 * N141, "")</f>
        <v>-943.39622641509436</v>
      </c>
      <c r="Q141" s="268"/>
      <c r="R141" s="268"/>
      <c r="S141" s="268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>
        <v>74.3</v>
      </c>
      <c r="E142" s="73">
        <f t="shared" si="88"/>
        <v>7.5253256150506556E-2</v>
      </c>
      <c r="F142" s="136">
        <f>IF(ISNUMBER(D142), $B145 * E142, "")</f>
        <v>11287.988422575983</v>
      </c>
      <c r="G142" s="39">
        <v>70</v>
      </c>
      <c r="H142" s="73">
        <f t="shared" si="89"/>
        <v>1.3024602026049287E-2</v>
      </c>
      <c r="I142" s="202">
        <f>IF(ISNUMBER(G142), $B145 * H142, "")</f>
        <v>1953.6903039073932</v>
      </c>
      <c r="J142" s="125">
        <v>70.7</v>
      </c>
      <c r="K142" s="73">
        <f t="shared" si="90"/>
        <v>2.3154848046309823E-2</v>
      </c>
      <c r="L142" s="136">
        <f>IF(ISNUMBER(J142), $B145 * K142, "")</f>
        <v>3473.2272069464734</v>
      </c>
      <c r="M142" s="39">
        <v>70.7</v>
      </c>
      <c r="N142" s="73">
        <f t="shared" si="91"/>
        <v>2.3154848046309823E-2</v>
      </c>
      <c r="O142" s="136">
        <f>IF(ISNUMBER(M142), $B145 * N142, "")</f>
        <v>3473.2272069464734</v>
      </c>
      <c r="Q142" s="268"/>
      <c r="R142" s="268"/>
      <c r="S142" s="268"/>
    </row>
    <row r="143" spans="1:19">
      <c r="A143" s="124" t="s">
        <v>172</v>
      </c>
      <c r="B143" s="125">
        <v>23</v>
      </c>
      <c r="C143" s="73">
        <v>-5.7377049200000002E-2</v>
      </c>
      <c r="D143" s="125">
        <v>22.9</v>
      </c>
      <c r="E143" s="73">
        <f t="shared" si="88"/>
        <v>-4.3478260869565834E-3</v>
      </c>
      <c r="F143" s="136">
        <f>IF(ISNUMBER(D143), $B145 * E143, "")</f>
        <v>-652.17391304348746</v>
      </c>
      <c r="G143" s="39">
        <v>22.4</v>
      </c>
      <c r="H143" s="73">
        <f t="shared" si="89"/>
        <v>-2.6086956521739191E-2</v>
      </c>
      <c r="I143" s="202">
        <f>IF(ISNUMBER(G143), $B145 * H143, "")</f>
        <v>-3913.0434782608786</v>
      </c>
      <c r="J143" s="125">
        <v>22.6</v>
      </c>
      <c r="K143" s="73">
        <f t="shared" si="90"/>
        <v>-1.7391304347826025E-2</v>
      </c>
      <c r="L143" s="136">
        <f>IF(ISNUMBER(J143), $B145 * K143, "")</f>
        <v>-2608.6956521739039</v>
      </c>
      <c r="M143" s="39">
        <v>22.5</v>
      </c>
      <c r="N143" s="73">
        <f t="shared" si="91"/>
        <v>-2.1739130434782608E-2</v>
      </c>
      <c r="O143" s="136">
        <f>IF(ISNUMBER(M143), $B145 * N143, "")</f>
        <v>-3260.869565217391</v>
      </c>
      <c r="Q143" s="257"/>
      <c r="R143" s="258"/>
      <c r="S143" s="259"/>
    </row>
    <row r="144" spans="1:19" ht="17.25" thickBot="1">
      <c r="A144" s="129"/>
      <c r="B144" s="130"/>
      <c r="C144" s="75"/>
      <c r="D144" s="130"/>
      <c r="E144" s="75" t="str">
        <f t="shared" si="88"/>
        <v/>
      </c>
      <c r="F144" s="137" t="str">
        <f>IF(ISNUMBER(D144), $B145 * E144, "")</f>
        <v/>
      </c>
      <c r="G144" s="37"/>
      <c r="H144" s="75" t="str">
        <f t="shared" si="89"/>
        <v/>
      </c>
      <c r="I144" s="207" t="str">
        <f>IF(ISNUMBER(G144), $B145 * H144, "")</f>
        <v/>
      </c>
      <c r="J144" s="130" t="s">
        <v>297</v>
      </c>
      <c r="K144" s="75" t="str">
        <f t="shared" si="90"/>
        <v/>
      </c>
      <c r="L144" s="137" t="str">
        <f>IF(ISNUMBER(J144), $B145 * K144, "")</f>
        <v/>
      </c>
      <c r="M144" s="37" t="s">
        <v>297</v>
      </c>
      <c r="N144" s="75" t="str">
        <f t="shared" si="91"/>
        <v/>
      </c>
      <c r="O144" s="137" t="str">
        <f>IF(ISNUMBER(M144), $B145 * N144, "")</f>
        <v/>
      </c>
      <c r="Q144" s="260"/>
      <c r="R144" s="261"/>
      <c r="S144" s="262"/>
    </row>
    <row r="145" spans="1:19" ht="17.25" thickBot="1">
      <c r="A145" s="131" t="s">
        <v>301</v>
      </c>
      <c r="B145" s="330">
        <f>$B$37</f>
        <v>150000</v>
      </c>
      <c r="C145" s="331"/>
      <c r="D145" s="131" t="s">
        <v>302</v>
      </c>
      <c r="E145" s="236">
        <f>IF(COUNT(E125:E144), SUM(E125:E144) / COUNT(E125:E144), 0)</f>
        <v>8.2141803086973747E-3</v>
      </c>
      <c r="F145" s="208">
        <f>SUM(F125:F144)</f>
        <v>23410.413879787513</v>
      </c>
      <c r="G145" s="131" t="s">
        <v>302</v>
      </c>
      <c r="H145" s="236">
        <f>IF(COUNT(H125:H144), SUM(H125:H144) / COUNT(H125:H144), 0)</f>
        <v>-2.8101570424310673E-2</v>
      </c>
      <c r="I145" s="208">
        <f>SUM(I125:I144)</f>
        <v>-80089.475709285427</v>
      </c>
      <c r="J145" s="131" t="s">
        <v>302</v>
      </c>
      <c r="K145" s="236">
        <f>IF(COUNT(K125:K144), SUM(K125:K144) / COUNT(K125:K144), 0)</f>
        <v>-1.9757145280724427E-2</v>
      </c>
      <c r="L145" s="208">
        <f>SUM(L125:L144)</f>
        <v>-56307.864050064592</v>
      </c>
      <c r="M145" s="131" t="s">
        <v>302</v>
      </c>
      <c r="N145" s="236">
        <f>IF(COUNT(N125:N144), SUM(N125:N144) / COUNT(N125:N144), 0)</f>
        <v>-1.7906482501786732E-2</v>
      </c>
      <c r="O145" s="208">
        <f>SUM(O125:O144)</f>
        <v>-51033.475130092178</v>
      </c>
      <c r="Q145" s="263"/>
      <c r="R145" s="264"/>
      <c r="S145" s="265"/>
    </row>
    <row r="147" spans="1:19" ht="17.25" thickBot="1"/>
    <row r="148" spans="1:19" ht="17.25" thickBot="1">
      <c r="A148" s="279" t="s">
        <v>289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33" t="s">
        <v>298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55555000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-3.6323266700000002E-2</v>
      </c>
      <c r="N149" s="286"/>
      <c r="O149" s="287"/>
      <c r="Q149" s="278"/>
      <c r="R149" s="278"/>
      <c r="S149" s="278"/>
    </row>
    <row r="150" spans="1:19" ht="17.25" thickBot="1">
      <c r="A150" s="332" t="s">
        <v>55</v>
      </c>
      <c r="B150" s="328" t="str">
        <f>TEXT($G$1, "[$-ko-KR]yyyy-mm-dd(ddd) ") &amp; "오전 00:00"</f>
        <v>2021-05-15(토) 오전 00:00</v>
      </c>
      <c r="C150" s="329"/>
      <c r="D150" s="279" t="str">
        <f>TEXT($G$1, "[$-ko-KR]yyyy-mm-dd(ddd) ") &amp; "오후 14:00"</f>
        <v>2021-05-15(토) 오후 14:00</v>
      </c>
      <c r="E150" s="280"/>
      <c r="F150" s="281"/>
      <c r="G150" s="279" t="str">
        <f>TEXT($G$1, "[$-ko-KR]yyyy-mm-dd(ddd) ") &amp; "오후 19:00"</f>
        <v>2021-05-15(토) 오후 19:00</v>
      </c>
      <c r="H150" s="280"/>
      <c r="I150" s="281"/>
      <c r="J150" s="279" t="str">
        <f>TEXT($G$1, "[$-ko-KR]yyyy-mm-dd(ddd) ") &amp; "오후 21:00"</f>
        <v>2021-05-15(토) 오후 21:00</v>
      </c>
      <c r="K150" s="280"/>
      <c r="L150" s="281"/>
      <c r="M150" s="279" t="str">
        <f>TEXT($G$1+1, "[$-ko-KR]yyyy-mm-dd(ddd) ") &amp; "오전 00:00"</f>
        <v>2021-05-16(일) 오전 00:00</v>
      </c>
      <c r="N150" s="280"/>
      <c r="O150" s="281"/>
      <c r="Q150" s="278"/>
      <c r="R150" s="278"/>
      <c r="S150" s="278"/>
    </row>
    <row r="151" spans="1:19" ht="17.25" thickBot="1">
      <c r="A151" s="333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268"/>
      <c r="R151" s="268"/>
      <c r="S151" s="268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>
        <v>227</v>
      </c>
      <c r="E152" s="72">
        <f>IF(ISNUMBER(D152), (D152 - $B152) / $B152, "")</f>
        <v>-8.7336244541484712E-3</v>
      </c>
      <c r="F152" s="140">
        <f>IF(ISNUMBER(D152), $B172 * E152, "")</f>
        <v>-1310.0436681222707</v>
      </c>
      <c r="G152" s="38">
        <v>219</v>
      </c>
      <c r="H152" s="72">
        <f>IF(ISNUMBER(G152), (G152 - $B152) / $B152, "")</f>
        <v>-4.3668122270742356E-2</v>
      </c>
      <c r="I152" s="201">
        <f>IF(ISNUMBER(G152), $B172 * H152, "")</f>
        <v>-6550.2183406113536</v>
      </c>
      <c r="J152" s="123">
        <v>221</v>
      </c>
      <c r="K152" s="72">
        <f>IF(ISNUMBER(J152), (J152 - $B152) / $B152, "")</f>
        <v>-3.4934497816593885E-2</v>
      </c>
      <c r="L152" s="140">
        <f>IF(ISNUMBER(J152), $B172 * K152, "")</f>
        <v>-5240.1746724890827</v>
      </c>
      <c r="M152" s="38">
        <v>224</v>
      </c>
      <c r="N152" s="72">
        <f>IF(ISNUMBER(M152), (M152 - $B152) / $B152, "")</f>
        <v>-2.1834061135371178E-2</v>
      </c>
      <c r="O152" s="140">
        <f>IF(ISNUMBER(M152), $B172 * N152, "")</f>
        <v>-3275.1091703056768</v>
      </c>
      <c r="Q152" s="278"/>
      <c r="R152" s="278"/>
      <c r="S152" s="278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>
        <v>468</v>
      </c>
      <c r="E153" s="73">
        <f t="shared" ref="E153:E156" si="92">IF(ISNUMBER(D153), (D153 - $B153) / $B153, "")</f>
        <v>8.584686774941995E-2</v>
      </c>
      <c r="F153" s="136">
        <f>IF(ISNUMBER(D153), $B172 * E153, "")</f>
        <v>12877.030162412993</v>
      </c>
      <c r="G153" s="39">
        <v>453</v>
      </c>
      <c r="H153" s="73">
        <f t="shared" ref="H153:H156" si="93">IF(ISNUMBER(G153), (G153 - $B153) / $B153, "")</f>
        <v>5.1044083526682132E-2</v>
      </c>
      <c r="I153" s="202">
        <f>IF(ISNUMBER(G153), $B172 * H153, "")</f>
        <v>7656.6125290023201</v>
      </c>
      <c r="J153" s="125">
        <v>461</v>
      </c>
      <c r="K153" s="73">
        <f t="shared" ref="K153:K156" si="94">IF(ISNUMBER(J153), (J153 - $B153) / $B153, "")</f>
        <v>6.9605568445475635E-2</v>
      </c>
      <c r="L153" s="136">
        <f>IF(ISNUMBER(J153), $B172 * K153, "")</f>
        <v>10440.835266821345</v>
      </c>
      <c r="M153" s="39">
        <v>446</v>
      </c>
      <c r="N153" s="73">
        <f t="shared" ref="N153:N156" si="95">IF(ISNUMBER(M153), (M153 - $B153) / $B153, "")</f>
        <v>3.4802784222737818E-2</v>
      </c>
      <c r="O153" s="136">
        <f>IF(ISNUMBER(M153), $B172 * N153, "")</f>
        <v>5220.4176334106724</v>
      </c>
      <c r="Q153" s="278"/>
      <c r="R153" s="278"/>
      <c r="S153" s="278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>
        <v>491</v>
      </c>
      <c r="E154" s="73">
        <f t="shared" si="92"/>
        <v>-1.6032064128256512E-2</v>
      </c>
      <c r="F154" s="136">
        <f>IF(ISNUMBER(D154), $B172 * E154, "")</f>
        <v>-2404.8096192384769</v>
      </c>
      <c r="G154" s="39">
        <v>465</v>
      </c>
      <c r="H154" s="73">
        <f t="shared" si="93"/>
        <v>-6.8136272545090179E-2</v>
      </c>
      <c r="I154" s="202">
        <f>IF(ISNUMBER(G154), $B172 * H154, "")</f>
        <v>-10220.440881763527</v>
      </c>
      <c r="J154" s="125">
        <v>467</v>
      </c>
      <c r="K154" s="73">
        <f t="shared" si="94"/>
        <v>-6.4128256513026047E-2</v>
      </c>
      <c r="L154" s="136">
        <f>IF(ISNUMBER(J154), $B172 * K154, "")</f>
        <v>-9619.2384769539076</v>
      </c>
      <c r="M154" s="39">
        <v>470</v>
      </c>
      <c r="N154" s="73">
        <f t="shared" si="95"/>
        <v>-5.8116232464929862E-2</v>
      </c>
      <c r="O154" s="136">
        <f>IF(ISNUMBER(M154), $B172 * N154, "")</f>
        <v>-8717.4348697394798</v>
      </c>
      <c r="Q154" s="268"/>
      <c r="R154" s="268"/>
      <c r="S154" s="268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>
        <v>176</v>
      </c>
      <c r="E155" s="73">
        <f t="shared" si="92"/>
        <v>6.6666666666666666E-2</v>
      </c>
      <c r="F155" s="136">
        <f>IF(ISNUMBER(D155), $B172 * E155, "")</f>
        <v>10000</v>
      </c>
      <c r="G155" s="39">
        <v>171</v>
      </c>
      <c r="H155" s="73">
        <f t="shared" si="93"/>
        <v>3.6363636363636362E-2</v>
      </c>
      <c r="I155" s="202">
        <f>IF(ISNUMBER(G155), $B172 * H155, "")</f>
        <v>5454.545454545454</v>
      </c>
      <c r="J155" s="125">
        <v>173</v>
      </c>
      <c r="K155" s="73">
        <f t="shared" si="94"/>
        <v>4.8484848484848485E-2</v>
      </c>
      <c r="L155" s="136">
        <f>IF(ISNUMBER(J155), $B172 * K155, "")</f>
        <v>7272.727272727273</v>
      </c>
      <c r="M155" s="39">
        <v>171</v>
      </c>
      <c r="N155" s="73">
        <f t="shared" si="95"/>
        <v>3.6363636363636362E-2</v>
      </c>
      <c r="O155" s="136">
        <f>IF(ISNUMBER(M155), $B172 * N155, "")</f>
        <v>5454.545454545454</v>
      </c>
      <c r="Q155" s="268"/>
      <c r="R155" s="268"/>
      <c r="S155" s="268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>
        <v>374</v>
      </c>
      <c r="E156" s="74">
        <f t="shared" si="92"/>
        <v>0.16149068322981366</v>
      </c>
      <c r="F156" s="203">
        <f>IF(ISNUMBER(D156), $B172 * E156, "")</f>
        <v>24223.602484472049</v>
      </c>
      <c r="G156" s="44">
        <v>351</v>
      </c>
      <c r="H156" s="74">
        <f t="shared" si="93"/>
        <v>9.0062111801242239E-2</v>
      </c>
      <c r="I156" s="204">
        <f>IF(ISNUMBER(G156), $B172 * H156, "")</f>
        <v>13509.316770186337</v>
      </c>
      <c r="J156" s="127">
        <v>351</v>
      </c>
      <c r="K156" s="74">
        <f t="shared" si="94"/>
        <v>9.0062111801242239E-2</v>
      </c>
      <c r="L156" s="203">
        <f>IF(ISNUMBER(J156), $B172 * K156, "")</f>
        <v>13509.316770186337</v>
      </c>
      <c r="M156" s="44">
        <v>346</v>
      </c>
      <c r="N156" s="74">
        <f t="shared" si="95"/>
        <v>7.4534161490683232E-2</v>
      </c>
      <c r="O156" s="203">
        <f>IF(ISNUMBER(M156), $B172 * N156, "")</f>
        <v>11180.124223602485</v>
      </c>
      <c r="Q156" s="268"/>
      <c r="R156" s="268"/>
      <c r="S156" s="268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>
        <v>316</v>
      </c>
      <c r="E157" s="76">
        <f>IF(ISNUMBER(D157), (D157 - $B157) / $B157, "")</f>
        <v>3.6065573770491806E-2</v>
      </c>
      <c r="F157" s="205">
        <f>IF(ISNUMBER(D157), $B172 * E157, "")</f>
        <v>5409.8360655737706</v>
      </c>
      <c r="G157" s="45">
        <v>303</v>
      </c>
      <c r="H157" s="76">
        <f>IF(ISNUMBER(G157), (G157 - $B157) / $B157, "")</f>
        <v>-6.5573770491803279E-3</v>
      </c>
      <c r="I157" s="206">
        <f>IF(ISNUMBER(G157), $B172 * H157, "")</f>
        <v>-983.60655737704917</v>
      </c>
      <c r="J157" s="128">
        <v>306</v>
      </c>
      <c r="K157" s="76">
        <f>IF(ISNUMBER(J157), (J157 - $B157) / $B157, "")</f>
        <v>3.2786885245901639E-3</v>
      </c>
      <c r="L157" s="205">
        <f>IF(ISNUMBER(J157), $B172 * K157, "")</f>
        <v>491.80327868852459</v>
      </c>
      <c r="M157" s="45">
        <v>305</v>
      </c>
      <c r="N157" s="76">
        <f>IF(ISNUMBER(M157), (M157 - $B157) / $B157, "")</f>
        <v>0</v>
      </c>
      <c r="O157" s="205">
        <f>IF(ISNUMBER(M157), $B172 * N157, "")</f>
        <v>0</v>
      </c>
      <c r="Q157" s="268"/>
      <c r="R157" s="268"/>
      <c r="S157" s="268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>
        <v>154</v>
      </c>
      <c r="E158" s="73">
        <f t="shared" ref="E158:E161" si="96">IF(ISNUMBER(D158), (D158 - $B158) / $B158, "")</f>
        <v>3.3557046979865772E-2</v>
      </c>
      <c r="F158" s="136">
        <f>IF(ISNUMBER(D158), $B172 * E158, "")</f>
        <v>5033.5570469798658</v>
      </c>
      <c r="G158" s="39">
        <v>153</v>
      </c>
      <c r="H158" s="73">
        <f t="shared" ref="H158:H161" si="97">IF(ISNUMBER(G158), (G158 - $B158) / $B158, "")</f>
        <v>2.6845637583892617E-2</v>
      </c>
      <c r="I158" s="202">
        <f>IF(ISNUMBER(G158), $B172 * H158, "")</f>
        <v>4026.8456375838923</v>
      </c>
      <c r="J158" s="125">
        <v>153</v>
      </c>
      <c r="K158" s="73">
        <f t="shared" ref="K158:K161" si="98">IF(ISNUMBER(J158), (J158 - $B158) / $B158, "")</f>
        <v>2.6845637583892617E-2</v>
      </c>
      <c r="L158" s="136">
        <f>IF(ISNUMBER(J158), $B172 * K158, "")</f>
        <v>4026.8456375838923</v>
      </c>
      <c r="M158" s="39">
        <v>151</v>
      </c>
      <c r="N158" s="73">
        <f t="shared" ref="N158:N161" si="99">IF(ISNUMBER(M158), (M158 - $B158) / $B158, "")</f>
        <v>1.3422818791946308E-2</v>
      </c>
      <c r="O158" s="136">
        <f>IF(ISNUMBER(M158), $B172 * N158, "")</f>
        <v>2013.4228187919462</v>
      </c>
      <c r="Q158" s="268"/>
      <c r="R158" s="268"/>
      <c r="S158" s="268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>
        <v>159</v>
      </c>
      <c r="E159" s="73">
        <f t="shared" si="96"/>
        <v>8.9041095890410954E-2</v>
      </c>
      <c r="F159" s="136">
        <f>IF(ISNUMBER(D159), $B172 * E159, "")</f>
        <v>13356.164383561643</v>
      </c>
      <c r="G159" s="39">
        <v>154</v>
      </c>
      <c r="H159" s="73">
        <f t="shared" si="97"/>
        <v>5.4794520547945202E-2</v>
      </c>
      <c r="I159" s="202">
        <f>IF(ISNUMBER(G159), $B172 * H159, "")</f>
        <v>8219.17808219178</v>
      </c>
      <c r="J159" s="125">
        <v>155</v>
      </c>
      <c r="K159" s="73">
        <f t="shared" si="98"/>
        <v>6.1643835616438353E-2</v>
      </c>
      <c r="L159" s="136">
        <f>IF(ISNUMBER(J159), $B172 * K159, "")</f>
        <v>9246.5753424657523</v>
      </c>
      <c r="M159" s="39">
        <v>155</v>
      </c>
      <c r="N159" s="73">
        <f t="shared" si="99"/>
        <v>6.1643835616438353E-2</v>
      </c>
      <c r="O159" s="136">
        <f>IF(ISNUMBER(M159), $B172 * N159, "")</f>
        <v>9246.5753424657523</v>
      </c>
      <c r="Q159" s="268"/>
      <c r="R159" s="268"/>
      <c r="S159" s="268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>
        <v>846</v>
      </c>
      <c r="E160" s="73">
        <f t="shared" si="96"/>
        <v>3.4229828850855744E-2</v>
      </c>
      <c r="F160" s="136">
        <f>IF(ISNUMBER(D160), $B172 * E160, "")</f>
        <v>5134.4743276283616</v>
      </c>
      <c r="G160" s="39">
        <v>827</v>
      </c>
      <c r="H160" s="73">
        <f t="shared" si="97"/>
        <v>1.1002444987775062E-2</v>
      </c>
      <c r="I160" s="202">
        <f>IF(ISNUMBER(G160), $B172 * H160, "")</f>
        <v>1650.3667481662592</v>
      </c>
      <c r="J160" s="125">
        <v>841</v>
      </c>
      <c r="K160" s="73">
        <f t="shared" si="98"/>
        <v>2.8117359413202935E-2</v>
      </c>
      <c r="L160" s="136">
        <f>IF(ISNUMBER(J160), $B172 * K160, "")</f>
        <v>4217.60391198044</v>
      </c>
      <c r="M160" s="39">
        <v>888</v>
      </c>
      <c r="N160" s="73">
        <f t="shared" si="99"/>
        <v>8.557457212713937E-2</v>
      </c>
      <c r="O160" s="136">
        <f>IF(ISNUMBER(M160), $B172 * N160, "")</f>
        <v>12836.185819070906</v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>
        <v>510</v>
      </c>
      <c r="E161" s="75">
        <f t="shared" si="96"/>
        <v>1.9646365422396855E-3</v>
      </c>
      <c r="F161" s="137">
        <f>IF(ISNUMBER(D161), $B172 * E161, "")</f>
        <v>294.69548133595282</v>
      </c>
      <c r="G161" s="37">
        <v>496</v>
      </c>
      <c r="H161" s="75">
        <f t="shared" si="97"/>
        <v>-2.5540275049115914E-2</v>
      </c>
      <c r="I161" s="207">
        <f>IF(ISNUMBER(G161), $B172 * H161, "")</f>
        <v>-3831.0412573673871</v>
      </c>
      <c r="J161" s="130">
        <v>499</v>
      </c>
      <c r="K161" s="75">
        <f t="shared" si="98"/>
        <v>-1.9646365422396856E-2</v>
      </c>
      <c r="L161" s="137">
        <f>IF(ISNUMBER(J161), $B172 * K161, "")</f>
        <v>-2946.9548133595285</v>
      </c>
      <c r="M161" s="37">
        <v>500</v>
      </c>
      <c r="N161" s="75">
        <f t="shared" si="99"/>
        <v>-1.768172888015717E-2</v>
      </c>
      <c r="O161" s="137">
        <f>IF(ISNUMBER(M161), $B172 * N161, "")</f>
        <v>-2652.2593320235756</v>
      </c>
      <c r="Q161" s="269"/>
      <c r="R161" s="270"/>
      <c r="S161" s="271"/>
    </row>
    <row r="162" spans="1:19">
      <c r="A162" s="122" t="s">
        <v>122</v>
      </c>
      <c r="B162" s="123">
        <v>104</v>
      </c>
      <c r="C162" s="72">
        <v>-9.5238094999999991E-3</v>
      </c>
      <c r="D162" s="123">
        <v>103</v>
      </c>
      <c r="E162" s="72">
        <f>IF(ISNUMBER(D162), (D162 - $B162) / $B162, "")</f>
        <v>-9.6153846153846159E-3</v>
      </c>
      <c r="F162" s="140">
        <f>IF(ISNUMBER(D162), $B172 * E162, "")</f>
        <v>-1442.3076923076924</v>
      </c>
      <c r="G162" s="38">
        <v>100</v>
      </c>
      <c r="H162" s="72">
        <f>IF(ISNUMBER(G162), (G162 - $B162) / $B162, "")</f>
        <v>-3.8461538461538464E-2</v>
      </c>
      <c r="I162" s="201">
        <f>IF(ISNUMBER(G162), $B172 * H162, "")</f>
        <v>-5769.2307692307695</v>
      </c>
      <c r="J162" s="123">
        <v>102</v>
      </c>
      <c r="K162" s="72">
        <f>IF(ISNUMBER(J162), (J162 - $B162) / $B162, "")</f>
        <v>-1.9230769230769232E-2</v>
      </c>
      <c r="L162" s="140">
        <f>IF(ISNUMBER(J162), $B172 * K162, "")</f>
        <v>-2884.6153846153848</v>
      </c>
      <c r="M162" s="38">
        <v>102</v>
      </c>
      <c r="N162" s="72">
        <f>IF(ISNUMBER(M162), (M162 - $B162) / $B162, "")</f>
        <v>-1.9230769230769232E-2</v>
      </c>
      <c r="O162" s="140">
        <f>IF(ISNUMBER(M162), $B172 * N162, "")</f>
        <v>-2884.6153846153848</v>
      </c>
      <c r="Q162" s="272"/>
      <c r="R162" s="273"/>
      <c r="S162" s="274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>
        <v>202</v>
      </c>
      <c r="E163" s="73">
        <f t="shared" ref="E163:E166" si="100">IF(ISNUMBER(D163), (D163 - $B163) / $B163, "")</f>
        <v>-9.8039215686274508E-3</v>
      </c>
      <c r="F163" s="136">
        <f>IF(ISNUMBER(D163), $B172 * E163, "")</f>
        <v>-1470.5882352941176</v>
      </c>
      <c r="G163" s="39">
        <v>196</v>
      </c>
      <c r="H163" s="73">
        <f t="shared" ref="H163:H166" si="101">IF(ISNUMBER(G163), (G163 - $B163) / $B163, "")</f>
        <v>-3.9215686274509803E-2</v>
      </c>
      <c r="I163" s="202">
        <f>IF(ISNUMBER(G163), $B172 * H163, "")</f>
        <v>-5882.3529411764703</v>
      </c>
      <c r="J163" s="125">
        <v>198</v>
      </c>
      <c r="K163" s="73">
        <f t="shared" ref="K163:K166" si="102">IF(ISNUMBER(J163), (J163 - $B163) / $B163, "")</f>
        <v>-2.9411764705882353E-2</v>
      </c>
      <c r="L163" s="136">
        <f>IF(ISNUMBER(J163), $B172 * K163, "")</f>
        <v>-4411.7647058823532</v>
      </c>
      <c r="M163" s="39">
        <v>199</v>
      </c>
      <c r="N163" s="73">
        <f t="shared" ref="N163:N166" si="103">IF(ISNUMBER(M163), (M163 - $B163) / $B163, "")</f>
        <v>-2.4509803921568627E-2</v>
      </c>
      <c r="O163" s="136">
        <f>IF(ISNUMBER(M163), $B172 * N163, "")</f>
        <v>-3676.4705882352941</v>
      </c>
      <c r="Q163" s="275"/>
      <c r="R163" s="276"/>
      <c r="S163" s="277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>
        <v>232</v>
      </c>
      <c r="E164" s="73">
        <f t="shared" si="100"/>
        <v>8.6956521739130436E-3</v>
      </c>
      <c r="F164" s="136">
        <f>IF(ISNUMBER(D164), $B172 * E164, "")</f>
        <v>1304.3478260869565</v>
      </c>
      <c r="G164" s="39">
        <v>222</v>
      </c>
      <c r="H164" s="73">
        <f t="shared" si="101"/>
        <v>-3.4782608695652174E-2</v>
      </c>
      <c r="I164" s="202">
        <f>IF(ISNUMBER(G164), $B172 * H164, "")</f>
        <v>-5217.391304347826</v>
      </c>
      <c r="J164" s="125">
        <v>225</v>
      </c>
      <c r="K164" s="73">
        <f t="shared" si="102"/>
        <v>-2.1739130434782608E-2</v>
      </c>
      <c r="L164" s="136">
        <f>IF(ISNUMBER(J164), $B172 * K164, "")</f>
        <v>-3260.869565217391</v>
      </c>
      <c r="M164" s="39">
        <v>226</v>
      </c>
      <c r="N164" s="73">
        <f t="shared" si="103"/>
        <v>-1.7391304347826087E-2</v>
      </c>
      <c r="O164" s="136">
        <f>IF(ISNUMBER(M164), $B172 * N164, "")</f>
        <v>-2608.695652173913</v>
      </c>
      <c r="Q164" s="268"/>
      <c r="R164" s="268"/>
      <c r="S164" s="268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>
        <v>599</v>
      </c>
      <c r="E165" s="73">
        <f t="shared" si="100"/>
        <v>-1.6666666666666668E-3</v>
      </c>
      <c r="F165" s="136">
        <f>IF(ISNUMBER(D165), $B172 * E165, "")</f>
        <v>-250.00000000000003</v>
      </c>
      <c r="G165" s="39">
        <v>583</v>
      </c>
      <c r="H165" s="73">
        <f t="shared" si="101"/>
        <v>-2.8333333333333332E-2</v>
      </c>
      <c r="I165" s="202">
        <f>IF(ISNUMBER(G165), $B172 * H165, "")</f>
        <v>-4250</v>
      </c>
      <c r="J165" s="125">
        <v>591</v>
      </c>
      <c r="K165" s="73">
        <f t="shared" si="102"/>
        <v>-1.4999999999999999E-2</v>
      </c>
      <c r="L165" s="136">
        <f>IF(ISNUMBER(J165), $B172 * K165, "")</f>
        <v>-2250</v>
      </c>
      <c r="M165" s="39">
        <v>592</v>
      </c>
      <c r="N165" s="73">
        <f t="shared" si="103"/>
        <v>-1.3333333333333334E-2</v>
      </c>
      <c r="O165" s="136">
        <f>IF(ISNUMBER(M165), $B172 * N165, "")</f>
        <v>-2000.0000000000002</v>
      </c>
      <c r="Q165" s="278"/>
      <c r="R165" s="278"/>
      <c r="S165" s="278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>
        <v>407</v>
      </c>
      <c r="E166" s="74">
        <f t="shared" si="100"/>
        <v>-1.9277108433734941E-2</v>
      </c>
      <c r="F166" s="203">
        <f>IF(ISNUMBER(D166), $B172 * E166, "")</f>
        <v>-2891.5662650602412</v>
      </c>
      <c r="G166" s="44">
        <v>399</v>
      </c>
      <c r="H166" s="74">
        <f t="shared" si="101"/>
        <v>-3.8554216867469883E-2</v>
      </c>
      <c r="I166" s="204">
        <f>IF(ISNUMBER(G166), $B172 * H166, "")</f>
        <v>-5783.1325301204824</v>
      </c>
      <c r="J166" s="127">
        <v>402</v>
      </c>
      <c r="K166" s="74">
        <f t="shared" si="102"/>
        <v>-3.1325301204819279E-2</v>
      </c>
      <c r="L166" s="203">
        <f>IF(ISNUMBER(J166), $B172 * K166, "")</f>
        <v>-4698.7951807228919</v>
      </c>
      <c r="M166" s="44">
        <v>405</v>
      </c>
      <c r="N166" s="74">
        <f t="shared" si="103"/>
        <v>-2.4096385542168676E-2</v>
      </c>
      <c r="O166" s="203">
        <f>IF(ISNUMBER(M166), $B172 * N166, "")</f>
        <v>-3614.4578313253014</v>
      </c>
      <c r="Q166" s="278"/>
      <c r="R166" s="278"/>
      <c r="S166" s="278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>
        <v>164</v>
      </c>
      <c r="E167" s="76">
        <f>IF(ISNUMBER(D167), (D167 - $B167) / $B167, "")</f>
        <v>-1.2048192771084338E-2</v>
      </c>
      <c r="F167" s="205">
        <f>IF(ISNUMBER(D167), $B172 * E167, "")</f>
        <v>-1807.2289156626507</v>
      </c>
      <c r="G167" s="45">
        <v>161</v>
      </c>
      <c r="H167" s="76">
        <f>IF(ISNUMBER(G167), (G167 - $B167) / $B167, "")</f>
        <v>-3.0120481927710843E-2</v>
      </c>
      <c r="I167" s="206">
        <f>IF(ISNUMBER(G167), $B172 * H167, "")</f>
        <v>-4518.0722891566265</v>
      </c>
      <c r="J167" s="128">
        <v>162</v>
      </c>
      <c r="K167" s="76">
        <f>IF(ISNUMBER(J167), (J167 - $B167) / $B167, "")</f>
        <v>-2.4096385542168676E-2</v>
      </c>
      <c r="L167" s="205">
        <f>IF(ISNUMBER(J167), $B172 * K167, "")</f>
        <v>-3614.4578313253014</v>
      </c>
      <c r="M167" s="45">
        <v>163</v>
      </c>
      <c r="N167" s="76">
        <f>IF(ISNUMBER(M167), (M167 - $B167) / $B167, "")</f>
        <v>-1.8072289156626505E-2</v>
      </c>
      <c r="O167" s="205">
        <f>IF(ISNUMBER(M167), $B172 * N167, "")</f>
        <v>-2710.8433734939758</v>
      </c>
      <c r="Q167" s="268"/>
      <c r="R167" s="268"/>
      <c r="S167" s="268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>
        <v>449</v>
      </c>
      <c r="E168" s="73">
        <f t="shared" ref="E168:E171" si="104">IF(ISNUMBER(D168), (D168 - $B168) / $B168, "")</f>
        <v>6.7264573991031393E-3</v>
      </c>
      <c r="F168" s="136">
        <f>IF(ISNUMBER(D168), $B172 * E168, "")</f>
        <v>1008.9686098654709</v>
      </c>
      <c r="G168" s="39">
        <v>432</v>
      </c>
      <c r="H168" s="73">
        <f t="shared" ref="H168:H171" si="105">IF(ISNUMBER(G168), (G168 - $B168) / $B168, "")</f>
        <v>-3.1390134529147982E-2</v>
      </c>
      <c r="I168" s="202">
        <f>IF(ISNUMBER(G168), $B172 * H168, "")</f>
        <v>-4708.5201793721972</v>
      </c>
      <c r="J168" s="125">
        <v>437</v>
      </c>
      <c r="K168" s="73">
        <f t="shared" ref="K168:K171" si="106">IF(ISNUMBER(J168), (J168 - $B168) / $B168, "")</f>
        <v>-2.0179372197309416E-2</v>
      </c>
      <c r="L168" s="136">
        <f>IF(ISNUMBER(J168), $B172 * K168, "")</f>
        <v>-3026.9058295964123</v>
      </c>
      <c r="M168" s="39">
        <v>438</v>
      </c>
      <c r="N168" s="73">
        <f t="shared" ref="N168:N171" si="107">IF(ISNUMBER(M168), (M168 - $B168) / $B168, "")</f>
        <v>-1.7937219730941704E-2</v>
      </c>
      <c r="O168" s="136">
        <f>IF(ISNUMBER(M168), $B172 * N168, "")</f>
        <v>-2690.5829596412555</v>
      </c>
      <c r="Q168" s="268"/>
      <c r="R168" s="268"/>
      <c r="S168" s="268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>
        <v>394</v>
      </c>
      <c r="E169" s="73">
        <f t="shared" si="104"/>
        <v>-1.9900497512437811E-2</v>
      </c>
      <c r="F169" s="136">
        <f>IF(ISNUMBER(D169), $B172 * E169, "")</f>
        <v>-2985.0746268656717</v>
      </c>
      <c r="G169" s="39">
        <v>380</v>
      </c>
      <c r="H169" s="73">
        <f t="shared" si="105"/>
        <v>-5.4726368159203981E-2</v>
      </c>
      <c r="I169" s="202">
        <f>IF(ISNUMBER(G169), $B172 * H169, "")</f>
        <v>-8208.9552238805973</v>
      </c>
      <c r="J169" s="125">
        <v>384</v>
      </c>
      <c r="K169" s="73">
        <f t="shared" si="106"/>
        <v>-4.4776119402985072E-2</v>
      </c>
      <c r="L169" s="136">
        <f>IF(ISNUMBER(J169), $B172 * K169, "")</f>
        <v>-6716.4179104477607</v>
      </c>
      <c r="M169" s="39">
        <v>389</v>
      </c>
      <c r="N169" s="73">
        <f t="shared" si="107"/>
        <v>-3.2338308457711441E-2</v>
      </c>
      <c r="O169" s="136">
        <f>IF(ISNUMBER(M169), $B172 * N169, "")</f>
        <v>-4850.746268656716</v>
      </c>
      <c r="Q169" s="268"/>
      <c r="R169" s="268"/>
      <c r="S169" s="268"/>
    </row>
    <row r="170" spans="1:19">
      <c r="A170" s="124" t="s">
        <v>208</v>
      </c>
      <c r="B170" s="125">
        <v>450</v>
      </c>
      <c r="C170" s="73">
        <v>-5.6603773599999997E-2</v>
      </c>
      <c r="D170" s="125">
        <v>449</v>
      </c>
      <c r="E170" s="73">
        <f t="shared" si="104"/>
        <v>-2.2222222222222222E-3</v>
      </c>
      <c r="F170" s="136">
        <f>IF(ISNUMBER(D170), $B172 * E170, "")</f>
        <v>-333.33333333333331</v>
      </c>
      <c r="G170" s="39">
        <v>431</v>
      </c>
      <c r="H170" s="73">
        <f t="shared" si="105"/>
        <v>-4.2222222222222223E-2</v>
      </c>
      <c r="I170" s="202">
        <f>IF(ISNUMBER(G170), $B172 * H170, "")</f>
        <v>-6333.3333333333339</v>
      </c>
      <c r="J170" s="125">
        <v>437</v>
      </c>
      <c r="K170" s="73">
        <f t="shared" si="106"/>
        <v>-2.8888888888888888E-2</v>
      </c>
      <c r="L170" s="136">
        <f>IF(ISNUMBER(J170), $B172 * K170, "")</f>
        <v>-4333.333333333333</v>
      </c>
      <c r="M170" s="39">
        <v>436</v>
      </c>
      <c r="N170" s="73">
        <f t="shared" si="107"/>
        <v>-3.111111111111111E-2</v>
      </c>
      <c r="O170" s="136">
        <f>IF(ISNUMBER(M170), $B172 * N170, "")</f>
        <v>-4666.666666666667</v>
      </c>
      <c r="Q170" s="257"/>
      <c r="R170" s="258"/>
      <c r="S170" s="259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>
        <v>520</v>
      </c>
      <c r="E171" s="75">
        <f t="shared" si="104"/>
        <v>-5.7361376673040155E-3</v>
      </c>
      <c r="F171" s="137">
        <f>IF(ISNUMBER(D171), $B172 * E171, "")</f>
        <v>-860.42065009560235</v>
      </c>
      <c r="G171" s="37">
        <v>501</v>
      </c>
      <c r="H171" s="75">
        <f t="shared" si="105"/>
        <v>-4.2065009560229447E-2</v>
      </c>
      <c r="I171" s="207">
        <f>IF(ISNUMBER(G171), $B172 * H171, "")</f>
        <v>-6309.7514340344169</v>
      </c>
      <c r="J171" s="130">
        <v>503</v>
      </c>
      <c r="K171" s="75">
        <f t="shared" si="106"/>
        <v>-3.8240917782026769E-2</v>
      </c>
      <c r="L171" s="137">
        <f>IF(ISNUMBER(J171), $B172 * K171, "")</f>
        <v>-5736.1376673040149</v>
      </c>
      <c r="M171" s="37">
        <v>507</v>
      </c>
      <c r="N171" s="75">
        <f t="shared" si="107"/>
        <v>-3.0592734225621414E-2</v>
      </c>
      <c r="O171" s="137">
        <f>IF(ISNUMBER(M171), $B172 * N171, "")</f>
        <v>-4588.910133843212</v>
      </c>
      <c r="Q171" s="260"/>
      <c r="R171" s="261"/>
      <c r="S171" s="262"/>
    </row>
    <row r="172" spans="1:19" ht="17.25" thickBot="1">
      <c r="A172" s="131" t="s">
        <v>301</v>
      </c>
      <c r="B172" s="330">
        <f>$B$37</f>
        <v>150000</v>
      </c>
      <c r="C172" s="331"/>
      <c r="D172" s="131" t="s">
        <v>302</v>
      </c>
      <c r="E172" s="236">
        <f>IF(COUNT(E152:E171), SUM(E152:E171) / COUNT(E152:E171), 0)</f>
        <v>2.0962434460645669E-2</v>
      </c>
      <c r="F172" s="208">
        <f>SUM(F152:F171)</f>
        <v>62887.303381936996</v>
      </c>
      <c r="G172" s="131" t="s">
        <v>302</v>
      </c>
      <c r="H172" s="236">
        <f>IF(COUNT(H152:H171), SUM(H152:H171) / COUNT(H152:H171), 0)</f>
        <v>-1.2683060606698663E-2</v>
      </c>
      <c r="I172" s="208">
        <f>SUM(I152:I171)</f>
        <v>-38049.181820095997</v>
      </c>
      <c r="J172" s="131" t="s">
        <v>302</v>
      </c>
      <c r="K172" s="236">
        <f>IF(COUNT(K152:K171), SUM(K152:K171) / COUNT(K152:K171), 0)</f>
        <v>-3.1779859635979331E-3</v>
      </c>
      <c r="L172" s="208">
        <f>SUM(L152:L171)</f>
        <v>-9533.9578907937976</v>
      </c>
      <c r="M172" s="131" t="s">
        <v>302</v>
      </c>
      <c r="N172" s="236">
        <f>IF(COUNT(N152:N171), SUM(N152:N171) / COUNT(N152:N171), 0)</f>
        <v>-9.9517364627774553E-4</v>
      </c>
      <c r="O172" s="208">
        <f>SUM(O152:O171)</f>
        <v>-2985.5209388332323</v>
      </c>
      <c r="Q172" s="263"/>
      <c r="R172" s="264"/>
      <c r="S172" s="265"/>
    </row>
    <row r="174" spans="1:19" ht="17.25" thickBot="1"/>
    <row r="175" spans="1:19" ht="17.25" thickBot="1">
      <c r="A175" s="279" t="s">
        <v>285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33" t="s">
        <v>298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55555000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-3.6323266700000002E-2</v>
      </c>
      <c r="N176" s="286"/>
      <c r="O176" s="287"/>
      <c r="Q176" s="278"/>
      <c r="R176" s="278"/>
      <c r="S176" s="278"/>
    </row>
    <row r="177" spans="1:19" ht="17.25" thickBot="1">
      <c r="A177" s="332" t="s">
        <v>55</v>
      </c>
      <c r="B177" s="328" t="str">
        <f>TEXT($G$1, "[$-ko-KR]yyyy-mm-dd(ddd) ") &amp; "오전 00:00"</f>
        <v>2021-05-15(토) 오전 00:00</v>
      </c>
      <c r="C177" s="329"/>
      <c r="D177" s="279" t="str">
        <f>TEXT($G$1, "[$-ko-KR]yyyy-mm-dd(ddd) ") &amp; "오후 14:00"</f>
        <v>2021-05-15(토) 오후 14:00</v>
      </c>
      <c r="E177" s="280"/>
      <c r="F177" s="281"/>
      <c r="G177" s="279" t="str">
        <f>TEXT($G$1, "[$-ko-KR]yyyy-mm-dd(ddd) ") &amp; "오후 19:00"</f>
        <v>2021-05-15(토) 오후 19:00</v>
      </c>
      <c r="H177" s="280"/>
      <c r="I177" s="281"/>
      <c r="J177" s="279" t="str">
        <f>TEXT($G$1, "[$-ko-KR]yyyy-mm-dd(ddd) ") &amp; "오후 21:00"</f>
        <v>2021-05-15(토) 오후 21:00</v>
      </c>
      <c r="K177" s="280"/>
      <c r="L177" s="281"/>
      <c r="M177" s="279" t="str">
        <f>TEXT($G$1+1, "[$-ko-KR]yyyy-mm-dd(ddd) ") &amp; "오전 00:00"</f>
        <v>2021-05-16(일) 오전 00:00</v>
      </c>
      <c r="N177" s="280"/>
      <c r="O177" s="281"/>
      <c r="Q177" s="278"/>
      <c r="R177" s="278"/>
      <c r="S177" s="278"/>
    </row>
    <row r="178" spans="1:19" ht="17.25" thickBot="1">
      <c r="A178" s="333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268"/>
      <c r="R178" s="268"/>
      <c r="S178" s="268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>
        <v>2190</v>
      </c>
      <c r="E179" s="72">
        <f>IF(ISNUMBER(D179), (D179 - $B179) / $B179, "")</f>
        <v>2.2883295194508009E-3</v>
      </c>
      <c r="F179" s="140">
        <f>IF(ISNUMBER(D179), $B199 * E179, "")</f>
        <v>343.24942791762015</v>
      </c>
      <c r="G179" s="38">
        <v>2120</v>
      </c>
      <c r="H179" s="72">
        <f>IF(ISNUMBER(G179), (G179 - $B179) / $B179, "")</f>
        <v>-2.9748283752860413E-2</v>
      </c>
      <c r="I179" s="201">
        <f>IF(ISNUMBER(G179), $B199 * H179, "")</f>
        <v>-4462.2425629290619</v>
      </c>
      <c r="J179" s="123">
        <v>2125</v>
      </c>
      <c r="K179" s="72">
        <f>IF(ISNUMBER(J179), (J179 - $B179) / $B179, "")</f>
        <v>-2.7459954233409609E-2</v>
      </c>
      <c r="L179" s="140">
        <f>IF(ISNUMBER(J179), $B199 * K179, "")</f>
        <v>-4118.9931350114412</v>
      </c>
      <c r="M179" s="38">
        <v>2150</v>
      </c>
      <c r="N179" s="72">
        <f>IF(ISNUMBER(M179), (M179 - $B179) / $B179, "")</f>
        <v>-1.6018306636155607E-2</v>
      </c>
      <c r="O179" s="140">
        <f>IF(ISNUMBER(M179), $B199 * N179, "")</f>
        <v>-2402.7459954233409</v>
      </c>
      <c r="Q179" s="278"/>
      <c r="R179" s="278"/>
      <c r="S179" s="278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>
        <v>1510</v>
      </c>
      <c r="E180" s="73">
        <f t="shared" ref="E180:E183" si="108">IF(ISNUMBER(D180), (D180 - $B180) / $B180, "")</f>
        <v>-6.5789473684210523E-3</v>
      </c>
      <c r="F180" s="136">
        <f>IF(ISNUMBER(D180), $B199 * E180, "")</f>
        <v>-986.8421052631578</v>
      </c>
      <c r="G180" s="39">
        <v>1460</v>
      </c>
      <c r="H180" s="73">
        <f t="shared" ref="H180:H183" si="109">IF(ISNUMBER(G180), (G180 - $B180) / $B180, "")</f>
        <v>-3.9473684210526314E-2</v>
      </c>
      <c r="I180" s="202">
        <f>IF(ISNUMBER(G180), $B199 * H180, "")</f>
        <v>-5921.0526315789466</v>
      </c>
      <c r="J180" s="125">
        <v>1475</v>
      </c>
      <c r="K180" s="73">
        <f t="shared" ref="K180:K183" si="110">IF(ISNUMBER(J180), (J180 - $B180) / $B180, "")</f>
        <v>-2.9605263157894735E-2</v>
      </c>
      <c r="L180" s="136">
        <f>IF(ISNUMBER(J180), $B199 * K180, "")</f>
        <v>-4440.78947368421</v>
      </c>
      <c r="M180" s="39">
        <v>1480</v>
      </c>
      <c r="N180" s="73">
        <f t="shared" ref="N180:N183" si="111">IF(ISNUMBER(M180), (M180 - $B180) / $B180, "")</f>
        <v>-2.6315789473684209E-2</v>
      </c>
      <c r="O180" s="136">
        <f>IF(ISNUMBER(M180), $B199 * N180, "")</f>
        <v>-3947.3684210526312</v>
      </c>
      <c r="Q180" s="278"/>
      <c r="R180" s="278"/>
      <c r="S180" s="278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>
        <v>1500</v>
      </c>
      <c r="E181" s="73">
        <f t="shared" si="108"/>
        <v>3.3444816053511705E-3</v>
      </c>
      <c r="F181" s="136">
        <f>IF(ISNUMBER(D181), $B199 * E181, "")</f>
        <v>501.67224080267556</v>
      </c>
      <c r="G181" s="39">
        <v>1445</v>
      </c>
      <c r="H181" s="73">
        <f t="shared" si="109"/>
        <v>-3.3444816053511704E-2</v>
      </c>
      <c r="I181" s="202">
        <f>IF(ISNUMBER(G181), $B199 * H181, "")</f>
        <v>-5016.7224080267561</v>
      </c>
      <c r="J181" s="125">
        <v>1470</v>
      </c>
      <c r="K181" s="73">
        <f t="shared" si="110"/>
        <v>-1.6722408026755852E-2</v>
      </c>
      <c r="L181" s="136">
        <f>IF(ISNUMBER(J181), $B199 * K181, "")</f>
        <v>-2508.361204013378</v>
      </c>
      <c r="M181" s="39">
        <v>1465</v>
      </c>
      <c r="N181" s="73">
        <f t="shared" si="111"/>
        <v>-2.0066889632107024E-2</v>
      </c>
      <c r="O181" s="136">
        <f>IF(ISNUMBER(M181), $B199 * N181, "")</f>
        <v>-3010.0334448160534</v>
      </c>
      <c r="Q181" s="268"/>
      <c r="R181" s="268"/>
      <c r="S181" s="268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>
        <v>407</v>
      </c>
      <c r="E182" s="73">
        <f t="shared" si="108"/>
        <v>-1.9277108433734941E-2</v>
      </c>
      <c r="F182" s="136">
        <f>IF(ISNUMBER(D182), $B199 * E182, "")</f>
        <v>-2891.5662650602412</v>
      </c>
      <c r="G182" s="39">
        <v>399</v>
      </c>
      <c r="H182" s="73">
        <f t="shared" si="109"/>
        <v>-3.8554216867469883E-2</v>
      </c>
      <c r="I182" s="202">
        <f>IF(ISNUMBER(G182), $B199 * H182, "")</f>
        <v>-5783.1325301204824</v>
      </c>
      <c r="J182" s="125">
        <v>402</v>
      </c>
      <c r="K182" s="73">
        <f t="shared" si="110"/>
        <v>-3.1325301204819279E-2</v>
      </c>
      <c r="L182" s="136">
        <f>IF(ISNUMBER(J182), $B199 * K182, "")</f>
        <v>-4698.7951807228919</v>
      </c>
      <c r="M182" s="39">
        <v>405</v>
      </c>
      <c r="N182" s="73">
        <f t="shared" si="111"/>
        <v>-2.4096385542168676E-2</v>
      </c>
      <c r="O182" s="136">
        <f>IF(ISNUMBER(M182), $B199 * N182, "")</f>
        <v>-3614.4578313253014</v>
      </c>
      <c r="Q182" s="268"/>
      <c r="R182" s="268"/>
      <c r="S182" s="268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>
        <v>61446000</v>
      </c>
      <c r="E183" s="74">
        <f t="shared" si="108"/>
        <v>-9.2071528774368312E-3</v>
      </c>
      <c r="F183" s="203">
        <f>IF(ISNUMBER(D183), $B199 * E183, "")</f>
        <v>-1381.0729316155248</v>
      </c>
      <c r="G183" s="44">
        <v>60262000</v>
      </c>
      <c r="H183" s="74">
        <f t="shared" si="109"/>
        <v>-2.8298692294048407E-2</v>
      </c>
      <c r="I183" s="204">
        <f>IF(ISNUMBER(G183), $B199 * H183, "")</f>
        <v>-4244.8038441072613</v>
      </c>
      <c r="J183" s="127">
        <v>60760000</v>
      </c>
      <c r="K183" s="74">
        <f t="shared" si="110"/>
        <v>-2.0268636019156037E-2</v>
      </c>
      <c r="L183" s="203">
        <f>IF(ISNUMBER(J183), $B199 * K183, "")</f>
        <v>-3040.2954028734057</v>
      </c>
      <c r="M183" s="44">
        <v>60874000</v>
      </c>
      <c r="N183" s="74">
        <f t="shared" si="111"/>
        <v>-1.8430430365867424E-2</v>
      </c>
      <c r="O183" s="203">
        <f>IF(ISNUMBER(M183), $B199 * N183, "")</f>
        <v>-2764.5645548801135</v>
      </c>
      <c r="Q183" s="268"/>
      <c r="R183" s="268"/>
      <c r="S183" s="268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>
        <v>80.900000000000006</v>
      </c>
      <c r="E184" s="76">
        <f>IF(ISNUMBER(D184), (D184 - $B184) / $B184, "")</f>
        <v>1.7610062893081833E-2</v>
      </c>
      <c r="F184" s="205">
        <f>IF(ISNUMBER(D184), $B199 * E184, "")</f>
        <v>2641.5094339622751</v>
      </c>
      <c r="G184" s="45">
        <v>77.900000000000006</v>
      </c>
      <c r="H184" s="76">
        <f>IF(ISNUMBER(G184), (G184 - $B184) / $B184, "")</f>
        <v>-2.0125786163521942E-2</v>
      </c>
      <c r="I184" s="206">
        <f>IF(ISNUMBER(G184), $B199 * H184, "")</f>
        <v>-3018.8679245282915</v>
      </c>
      <c r="J184" s="128">
        <v>78.400000000000006</v>
      </c>
      <c r="K184" s="76">
        <f>IF(ISNUMBER(J184), (J184 - $B184) / $B184, "")</f>
        <v>-1.3836477987421313E-2</v>
      </c>
      <c r="L184" s="205">
        <f>IF(ISNUMBER(J184), $B199 * K184, "")</f>
        <v>-2075.4716981131969</v>
      </c>
      <c r="M184" s="45">
        <v>79</v>
      </c>
      <c r="N184" s="76">
        <f>IF(ISNUMBER(M184), (M184 - $B184) / $B184, "")</f>
        <v>-6.2893081761006293E-3</v>
      </c>
      <c r="O184" s="205">
        <f>IF(ISNUMBER(M184), $B199 * N184, "")</f>
        <v>-943.39622641509436</v>
      </c>
      <c r="Q184" s="268"/>
      <c r="R184" s="268"/>
      <c r="S184" s="268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>
        <v>1400</v>
      </c>
      <c r="E185" s="73">
        <f t="shared" ref="E185:E188" si="112">IF(ISNUMBER(D185), (D185 - $B185) / $B185, "")</f>
        <v>0</v>
      </c>
      <c r="F185" s="136">
        <f>IF(ISNUMBER(D185), $B199 * E185, "")</f>
        <v>0</v>
      </c>
      <c r="G185" s="39">
        <v>1350</v>
      </c>
      <c r="H185" s="73">
        <f t="shared" ref="H185:H188" si="113">IF(ISNUMBER(G185), (G185 - $B185) / $B185, "")</f>
        <v>-3.5714285714285712E-2</v>
      </c>
      <c r="I185" s="202">
        <f>IF(ISNUMBER(G185), $B199 * H185, "")</f>
        <v>-5357.1428571428569</v>
      </c>
      <c r="J185" s="125">
        <v>1360</v>
      </c>
      <c r="K185" s="73">
        <f t="shared" ref="K185:K188" si="114">IF(ISNUMBER(J185), (J185 - $B185) / $B185, "")</f>
        <v>-2.8571428571428571E-2</v>
      </c>
      <c r="L185" s="136">
        <f>IF(ISNUMBER(J185), $B199 * K185, "")</f>
        <v>-4285.7142857142853</v>
      </c>
      <c r="M185" s="39">
        <v>1360</v>
      </c>
      <c r="N185" s="73">
        <f t="shared" ref="N185:N188" si="115">IF(ISNUMBER(M185), (M185 - $B185) / $B185, "")</f>
        <v>-2.8571428571428571E-2</v>
      </c>
      <c r="O185" s="136">
        <f>IF(ISNUMBER(M185), $B199 * N185, "")</f>
        <v>-4285.7142857142853</v>
      </c>
      <c r="Q185" s="268"/>
      <c r="R185" s="268"/>
      <c r="S185" s="268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>
        <v>2475</v>
      </c>
      <c r="E186" s="73">
        <f t="shared" si="112"/>
        <v>-6.024096385542169E-3</v>
      </c>
      <c r="F186" s="136">
        <f>IF(ISNUMBER(D186), $B199 * E186, "")</f>
        <v>-903.61445783132535</v>
      </c>
      <c r="G186" s="39">
        <v>2405</v>
      </c>
      <c r="H186" s="73">
        <f t="shared" si="113"/>
        <v>-3.4136546184738957E-2</v>
      </c>
      <c r="I186" s="202">
        <f>IF(ISNUMBER(G186), $B199 * H186, "")</f>
        <v>-5120.4819277108436</v>
      </c>
      <c r="J186" s="125">
        <v>2440</v>
      </c>
      <c r="K186" s="73">
        <f t="shared" si="114"/>
        <v>-2.0080321285140562E-2</v>
      </c>
      <c r="L186" s="136">
        <f>IF(ISNUMBER(J186), $B199 * K186, "")</f>
        <v>-3012.0481927710844</v>
      </c>
      <c r="M186" s="39">
        <v>2485</v>
      </c>
      <c r="N186" s="73">
        <f t="shared" si="115"/>
        <v>-2.008032128514056E-3</v>
      </c>
      <c r="O186" s="136">
        <f>IF(ISNUMBER(M186), $B199 * N186, "")</f>
        <v>-301.20481927710841</v>
      </c>
      <c r="Q186" s="268"/>
      <c r="R186" s="268"/>
      <c r="S186" s="268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>
        <v>164</v>
      </c>
      <c r="E187" s="73">
        <f t="shared" si="112"/>
        <v>-1.2048192771084338E-2</v>
      </c>
      <c r="F187" s="136">
        <f>IF(ISNUMBER(D187), $B199 * E187, "")</f>
        <v>-1807.2289156626507</v>
      </c>
      <c r="G187" s="39">
        <v>161</v>
      </c>
      <c r="H187" s="73">
        <f t="shared" si="113"/>
        <v>-3.0120481927710843E-2</v>
      </c>
      <c r="I187" s="202">
        <f>IF(ISNUMBER(G187), $B199 * H187, "")</f>
        <v>-4518.0722891566265</v>
      </c>
      <c r="J187" s="125">
        <v>162</v>
      </c>
      <c r="K187" s="73">
        <f t="shared" si="114"/>
        <v>-2.4096385542168676E-2</v>
      </c>
      <c r="L187" s="136">
        <f>IF(ISNUMBER(J187), $B199 * K187, "")</f>
        <v>-3614.4578313253014</v>
      </c>
      <c r="M187" s="39">
        <v>163</v>
      </c>
      <c r="N187" s="73">
        <f t="shared" si="115"/>
        <v>-1.8072289156626505E-2</v>
      </c>
      <c r="O187" s="136">
        <f>IF(ISNUMBER(M187), $B199 * N187, "")</f>
        <v>-2710.8433734939758</v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>
        <v>449</v>
      </c>
      <c r="E188" s="75">
        <f t="shared" si="112"/>
        <v>6.7264573991031393E-3</v>
      </c>
      <c r="F188" s="137">
        <f>IF(ISNUMBER(D188), $B199 * E188, "")</f>
        <v>1008.9686098654709</v>
      </c>
      <c r="G188" s="37">
        <v>432</v>
      </c>
      <c r="H188" s="75">
        <f t="shared" si="113"/>
        <v>-3.1390134529147982E-2</v>
      </c>
      <c r="I188" s="207">
        <f>IF(ISNUMBER(G188), $B199 * H188, "")</f>
        <v>-4708.5201793721972</v>
      </c>
      <c r="J188" s="130">
        <v>437</v>
      </c>
      <c r="K188" s="75">
        <f t="shared" si="114"/>
        <v>-2.0179372197309416E-2</v>
      </c>
      <c r="L188" s="137">
        <f>IF(ISNUMBER(J188), $B199 * K188, "")</f>
        <v>-3026.9058295964123</v>
      </c>
      <c r="M188" s="37">
        <v>438</v>
      </c>
      <c r="N188" s="75">
        <f t="shared" si="115"/>
        <v>-1.7937219730941704E-2</v>
      </c>
      <c r="O188" s="137">
        <f>IF(ISNUMBER(M188), $B199 * N188, "")</f>
        <v>-2690.5829596412555</v>
      </c>
      <c r="Q188" s="269"/>
      <c r="R188" s="270"/>
      <c r="S188" s="271"/>
    </row>
    <row r="189" spans="1:19">
      <c r="A189" s="122" t="s">
        <v>67</v>
      </c>
      <c r="B189" s="123">
        <v>7040</v>
      </c>
      <c r="C189" s="72">
        <v>-2.6279391400000001E-2</v>
      </c>
      <c r="D189" s="123">
        <v>7195</v>
      </c>
      <c r="E189" s="72">
        <f>IF(ISNUMBER(D189), (D189 - $B189) / $B189, "")</f>
        <v>2.2017045454545456E-2</v>
      </c>
      <c r="F189" s="140">
        <f>IF(ISNUMBER(D189), $B199 * E189, "")</f>
        <v>3302.5568181818185</v>
      </c>
      <c r="G189" s="38">
        <v>6945</v>
      </c>
      <c r="H189" s="72">
        <f>IF(ISNUMBER(G189), (G189 - $B189) / $B189, "")</f>
        <v>-1.3494318181818182E-2</v>
      </c>
      <c r="I189" s="201">
        <f>IF(ISNUMBER(G189), $B199 * H189, "")</f>
        <v>-2024.1477272727273</v>
      </c>
      <c r="J189" s="123">
        <v>7010</v>
      </c>
      <c r="K189" s="72">
        <f>IF(ISNUMBER(J189), (J189 - $B189) / $B189, "")</f>
        <v>-4.261363636363636E-3</v>
      </c>
      <c r="L189" s="140">
        <f>IF(ISNUMBER(J189), $B199 * K189, "")</f>
        <v>-639.20454545454538</v>
      </c>
      <c r="M189" s="38">
        <v>7020</v>
      </c>
      <c r="N189" s="72">
        <f>IF(ISNUMBER(M189), (M189 - $B189) / $B189, "")</f>
        <v>-2.840909090909091E-3</v>
      </c>
      <c r="O189" s="140">
        <f>IF(ISNUMBER(M189), $B199 * N189, "")</f>
        <v>-426.13636363636363</v>
      </c>
      <c r="Q189" s="272"/>
      <c r="R189" s="273"/>
      <c r="S189" s="274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>
        <v>6525</v>
      </c>
      <c r="E190" s="73">
        <f t="shared" ref="E190:E193" si="116">IF(ISNUMBER(D190), (D190 - $B190) / $B190, "")</f>
        <v>2.4332810047095761E-2</v>
      </c>
      <c r="F190" s="136">
        <f>IF(ISNUMBER(D190), $B199 * E190, "")</f>
        <v>3649.9215070643641</v>
      </c>
      <c r="G190" s="39">
        <v>6295</v>
      </c>
      <c r="H190" s="73">
        <f t="shared" ref="H190:H193" si="117">IF(ISNUMBER(G190), (G190 - $B190) / $B190, "")</f>
        <v>-1.1773940345368918E-2</v>
      </c>
      <c r="I190" s="202">
        <f>IF(ISNUMBER(G190), $B199 * H190, "")</f>
        <v>-1766.0910518053377</v>
      </c>
      <c r="J190" s="125">
        <v>6340</v>
      </c>
      <c r="K190" s="73">
        <f t="shared" ref="K190:K193" si="118">IF(ISNUMBER(J190), (J190 - $B190) / $B190, "")</f>
        <v>-4.7095761381475663E-3</v>
      </c>
      <c r="L190" s="136">
        <f>IF(ISNUMBER(J190), $B199 * K190, "")</f>
        <v>-706.43642072213493</v>
      </c>
      <c r="M190" s="39">
        <v>6375</v>
      </c>
      <c r="N190" s="73">
        <f t="shared" ref="N190:N193" si="119">IF(ISNUMBER(M190), (M190 - $B190) / $B190, "")</f>
        <v>7.8492935635792783E-4</v>
      </c>
      <c r="O190" s="136">
        <f>IF(ISNUMBER(M190), $B199 * N190, "")</f>
        <v>117.73940345368918</v>
      </c>
      <c r="Q190" s="275"/>
      <c r="R190" s="276"/>
      <c r="S190" s="277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>
        <v>4415</v>
      </c>
      <c r="E191" s="73">
        <f t="shared" si="116"/>
        <v>1.1454753722794959E-2</v>
      </c>
      <c r="F191" s="136">
        <f>IF(ISNUMBER(D191), $B199 * E191, "")</f>
        <v>1718.2130584192439</v>
      </c>
      <c r="G191" s="39">
        <v>4255</v>
      </c>
      <c r="H191" s="73">
        <f t="shared" si="117"/>
        <v>-2.5200458190148912E-2</v>
      </c>
      <c r="I191" s="202">
        <f>IF(ISNUMBER(G191), $B199 * H191, "")</f>
        <v>-3780.0687285223371</v>
      </c>
      <c r="J191" s="125">
        <v>4290</v>
      </c>
      <c r="K191" s="73">
        <f t="shared" si="118"/>
        <v>-1.7182130584192441E-2</v>
      </c>
      <c r="L191" s="136">
        <f>IF(ISNUMBER(J191), $B199 * K191, "")</f>
        <v>-2577.319587628866</v>
      </c>
      <c r="M191" s="39">
        <v>4280</v>
      </c>
      <c r="N191" s="73">
        <f t="shared" si="119"/>
        <v>-1.9473081328751432E-2</v>
      </c>
      <c r="O191" s="136">
        <f>IF(ISNUMBER(M191), $B199 * N191, "")</f>
        <v>-2920.9621993127148</v>
      </c>
      <c r="Q191" s="268"/>
      <c r="R191" s="268"/>
      <c r="S191" s="268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>
        <v>394</v>
      </c>
      <c r="E192" s="73">
        <f t="shared" si="116"/>
        <v>-1.9900497512437811E-2</v>
      </c>
      <c r="F192" s="136">
        <f>IF(ISNUMBER(D192), $B199 * E192, "")</f>
        <v>-2985.0746268656717</v>
      </c>
      <c r="G192" s="39">
        <v>380</v>
      </c>
      <c r="H192" s="73">
        <f t="shared" si="117"/>
        <v>-5.4726368159203981E-2</v>
      </c>
      <c r="I192" s="202">
        <f>IF(ISNUMBER(G192), $B199 * H192, "")</f>
        <v>-8208.9552238805973</v>
      </c>
      <c r="J192" s="125">
        <v>384</v>
      </c>
      <c r="K192" s="73">
        <f t="shared" si="118"/>
        <v>-4.4776119402985072E-2</v>
      </c>
      <c r="L192" s="136">
        <f>IF(ISNUMBER(J192), $B199 * K192, "")</f>
        <v>-6716.4179104477607</v>
      </c>
      <c r="M192" s="39">
        <v>389</v>
      </c>
      <c r="N192" s="73">
        <f t="shared" si="119"/>
        <v>-3.2338308457711441E-2</v>
      </c>
      <c r="O192" s="136">
        <f>IF(ISNUMBER(M192), $B199 * N192, "")</f>
        <v>-4850.746268656716</v>
      </c>
      <c r="Q192" s="278"/>
      <c r="R192" s="278"/>
      <c r="S192" s="278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>
        <v>74.3</v>
      </c>
      <c r="E193" s="74">
        <f t="shared" si="116"/>
        <v>7.5253256150506556E-2</v>
      </c>
      <c r="F193" s="203">
        <f>IF(ISNUMBER(D193), $B199 * E193, "")</f>
        <v>11287.988422575983</v>
      </c>
      <c r="G193" s="44">
        <v>70</v>
      </c>
      <c r="H193" s="74">
        <f t="shared" si="117"/>
        <v>1.3024602026049287E-2</v>
      </c>
      <c r="I193" s="204">
        <f>IF(ISNUMBER(G193), $B199 * H193, "")</f>
        <v>1953.6903039073932</v>
      </c>
      <c r="J193" s="127">
        <v>70.7</v>
      </c>
      <c r="K193" s="74">
        <f t="shared" si="118"/>
        <v>2.3154848046309823E-2</v>
      </c>
      <c r="L193" s="203">
        <f>IF(ISNUMBER(J193), $B199 * K193, "")</f>
        <v>3473.2272069464734</v>
      </c>
      <c r="M193" s="44">
        <v>70.7</v>
      </c>
      <c r="N193" s="74">
        <f t="shared" si="119"/>
        <v>2.3154848046309823E-2</v>
      </c>
      <c r="O193" s="203">
        <f>IF(ISNUMBER(M193), $B199 * N193, "")</f>
        <v>3473.2272069464734</v>
      </c>
      <c r="Q193" s="278"/>
      <c r="R193" s="278"/>
      <c r="S193" s="278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>
        <v>2680</v>
      </c>
      <c r="E194" s="76">
        <f>IF(ISNUMBER(D194), (D194 - $B194) / $B194, "")</f>
        <v>0.15268817204301074</v>
      </c>
      <c r="F194" s="205">
        <f>IF(ISNUMBER(D194), $B199 * E194, "")</f>
        <v>22903.22580645161</v>
      </c>
      <c r="G194" s="45">
        <v>2685</v>
      </c>
      <c r="H194" s="76">
        <f>IF(ISNUMBER(G194), (G194 - $B194) / $B194, "")</f>
        <v>0.15483870967741936</v>
      </c>
      <c r="I194" s="206">
        <f>IF(ISNUMBER(G194), $B199 * H194, "")</f>
        <v>23225.806451612905</v>
      </c>
      <c r="J194" s="128">
        <v>2685</v>
      </c>
      <c r="K194" s="76">
        <f>IF(ISNUMBER(J194), (J194 - $B194) / $B194, "")</f>
        <v>0.15483870967741936</v>
      </c>
      <c r="L194" s="205">
        <f>IF(ISNUMBER(J194), $B199 * K194, "")</f>
        <v>23225.806451612905</v>
      </c>
      <c r="M194" s="45">
        <v>2810</v>
      </c>
      <c r="N194" s="76">
        <f>IF(ISNUMBER(M194), (M194 - $B194) / $B194, "")</f>
        <v>0.2086021505376344</v>
      </c>
      <c r="O194" s="205">
        <f>IF(ISNUMBER(M194), $B199 * N194, "")</f>
        <v>31290.322580645159</v>
      </c>
      <c r="Q194" s="268"/>
      <c r="R194" s="268"/>
      <c r="S194" s="268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>
        <v>66740</v>
      </c>
      <c r="E195" s="73">
        <f t="shared" ref="E195:E198" si="120">IF(ISNUMBER(D195), (D195 - $B195) / $B195, "")</f>
        <v>3.280718043949242E-2</v>
      </c>
      <c r="F195" s="136">
        <f>IF(ISNUMBER(D195), $B199 * E195, "")</f>
        <v>4921.0770659238633</v>
      </c>
      <c r="G195" s="39">
        <v>64980</v>
      </c>
      <c r="H195" s="73">
        <f t="shared" ref="H195:H198" si="121">IF(ISNUMBER(G195), (G195 - $B195) / $B195, "")</f>
        <v>5.5710306406685237E-3</v>
      </c>
      <c r="I195" s="202">
        <f>IF(ISNUMBER(G195), $B199 * H195, "")</f>
        <v>835.65459610027858</v>
      </c>
      <c r="J195" s="125">
        <v>65840</v>
      </c>
      <c r="K195" s="73">
        <f t="shared" ref="K195:K198" si="122">IF(ISNUMBER(J195), (J195 - $B195) / $B195, "")</f>
        <v>1.8879603837821109E-2</v>
      </c>
      <c r="L195" s="136">
        <f>IF(ISNUMBER(J195), $B199 * K195, "")</f>
        <v>2831.9405756731662</v>
      </c>
      <c r="M195" s="39">
        <v>65760</v>
      </c>
      <c r="N195" s="73">
        <f t="shared" ref="N195:N198" si="123">IF(ISNUMBER(M195), (M195 - $B195) / $B195, "")</f>
        <v>1.7641597028783658E-2</v>
      </c>
      <c r="O195" s="136">
        <f>IF(ISNUMBER(M195), $B199 * N195, "")</f>
        <v>2646.2395543175485</v>
      </c>
      <c r="Q195" s="268"/>
      <c r="R195" s="268"/>
      <c r="S195" s="268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>
        <v>449</v>
      </c>
      <c r="E196" s="73">
        <f t="shared" si="120"/>
        <v>-2.2222222222222222E-3</v>
      </c>
      <c r="F196" s="136">
        <f>IF(ISNUMBER(D196), $B199 * E196, "")</f>
        <v>-333.33333333333331</v>
      </c>
      <c r="G196" s="39">
        <v>431</v>
      </c>
      <c r="H196" s="73">
        <f t="shared" si="121"/>
        <v>-4.2222222222222223E-2</v>
      </c>
      <c r="I196" s="202">
        <f>IF(ISNUMBER(G196), $B199 * H196, "")</f>
        <v>-6333.3333333333339</v>
      </c>
      <c r="J196" s="125">
        <v>437</v>
      </c>
      <c r="K196" s="73">
        <f t="shared" si="122"/>
        <v>-2.8888888888888888E-2</v>
      </c>
      <c r="L196" s="136">
        <f>IF(ISNUMBER(J196), $B199 * K196, "")</f>
        <v>-4333.333333333333</v>
      </c>
      <c r="M196" s="39">
        <v>436</v>
      </c>
      <c r="N196" s="73">
        <f t="shared" si="123"/>
        <v>-3.111111111111111E-2</v>
      </c>
      <c r="O196" s="136">
        <f>IF(ISNUMBER(M196), $B199 * N196, "")</f>
        <v>-4666.666666666667</v>
      </c>
      <c r="Q196" s="268"/>
      <c r="R196" s="268"/>
      <c r="S196" s="268"/>
    </row>
    <row r="197" spans="1:19">
      <c r="A197" s="124" t="s">
        <v>172</v>
      </c>
      <c r="B197" s="125">
        <v>23</v>
      </c>
      <c r="C197" s="73">
        <v>-5.7377049200000002E-2</v>
      </c>
      <c r="D197" s="125">
        <v>22.9</v>
      </c>
      <c r="E197" s="73">
        <f t="shared" si="120"/>
        <v>-4.3478260869565834E-3</v>
      </c>
      <c r="F197" s="136">
        <f>IF(ISNUMBER(D197), $B199 * E197, "")</f>
        <v>-652.17391304348746</v>
      </c>
      <c r="G197" s="39">
        <v>22.4</v>
      </c>
      <c r="H197" s="73">
        <f t="shared" si="121"/>
        <v>-2.6086956521739191E-2</v>
      </c>
      <c r="I197" s="202">
        <f>IF(ISNUMBER(G197), $B199 * H197, "")</f>
        <v>-3913.0434782608786</v>
      </c>
      <c r="J197" s="125">
        <v>22.6</v>
      </c>
      <c r="K197" s="73">
        <f t="shared" si="122"/>
        <v>-1.7391304347826025E-2</v>
      </c>
      <c r="L197" s="136">
        <f>IF(ISNUMBER(J197), $B199 * K197, "")</f>
        <v>-2608.6956521739039</v>
      </c>
      <c r="M197" s="39">
        <v>22.5</v>
      </c>
      <c r="N197" s="73">
        <f t="shared" si="123"/>
        <v>-2.1739130434782608E-2</v>
      </c>
      <c r="O197" s="136">
        <f>IF(ISNUMBER(M197), $B199 * N197, "")</f>
        <v>-3260.869565217391</v>
      </c>
      <c r="Q197" s="257"/>
      <c r="R197" s="258"/>
      <c r="S197" s="259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>
        <v>520</v>
      </c>
      <c r="E198" s="75">
        <f t="shared" si="120"/>
        <v>-5.7361376673040155E-3</v>
      </c>
      <c r="F198" s="137">
        <f>IF(ISNUMBER(D198), $B199 * E198, "")</f>
        <v>-860.42065009560235</v>
      </c>
      <c r="G198" s="37">
        <v>501</v>
      </c>
      <c r="H198" s="75">
        <f t="shared" si="121"/>
        <v>-4.2065009560229447E-2</v>
      </c>
      <c r="I198" s="207">
        <f>IF(ISNUMBER(G198), $B199 * H198, "")</f>
        <v>-6309.7514340344169</v>
      </c>
      <c r="J198" s="130">
        <v>503</v>
      </c>
      <c r="K198" s="75">
        <f t="shared" si="122"/>
        <v>-3.8240917782026769E-2</v>
      </c>
      <c r="L198" s="137">
        <f>IF(ISNUMBER(J198), $B199 * K198, "")</f>
        <v>-5736.1376673040149</v>
      </c>
      <c r="M198" s="37">
        <v>507</v>
      </c>
      <c r="N198" s="75">
        <f t="shared" si="123"/>
        <v>-3.0592734225621414E-2</v>
      </c>
      <c r="O198" s="137">
        <f>IF(ISNUMBER(M198), $B199 * N198, "")</f>
        <v>-4588.910133843212</v>
      </c>
      <c r="Q198" s="260"/>
      <c r="R198" s="261"/>
      <c r="S198" s="262"/>
    </row>
    <row r="199" spans="1:19" ht="17.25" thickBot="1">
      <c r="A199" s="131" t="s">
        <v>301</v>
      </c>
      <c r="B199" s="330">
        <f>$B$37</f>
        <v>150000</v>
      </c>
      <c r="C199" s="331"/>
      <c r="D199" s="131" t="s">
        <v>302</v>
      </c>
      <c r="E199" s="236">
        <f>IF(COUNT(E179:E198), SUM(E179:E198) / COUNT(E179:E198), 0)</f>
        <v>1.3159018397464643E-2</v>
      </c>
      <c r="F199" s="208">
        <f>SUM(F179:F198)</f>
        <v>39477.055192393935</v>
      </c>
      <c r="G199" s="131" t="s">
        <v>302</v>
      </c>
      <c r="H199" s="236">
        <f>IF(COUNT(H179:H198), SUM(H179:H198) / COUNT(H179:H198), 0)</f>
        <v>-1.8157092926720794E-2</v>
      </c>
      <c r="I199" s="208">
        <f>SUM(I179:I198)</f>
        <v>-54471.278780162378</v>
      </c>
      <c r="J199" s="131" t="s">
        <v>302</v>
      </c>
      <c r="K199" s="236">
        <f>IF(COUNT(K179:K198), SUM(K179:K198) / COUNT(K179:K198), 0)</f>
        <v>-9.5361343722192102E-3</v>
      </c>
      <c r="L199" s="208">
        <f>SUM(L179:L198)</f>
        <v>-28608.403116657624</v>
      </c>
      <c r="M199" s="131" t="s">
        <v>302</v>
      </c>
      <c r="N199" s="236">
        <f>IF(COUNT(N179:N198), SUM(N179:N198) / COUNT(N179:N198), 0)</f>
        <v>-3.2858914546697844E-3</v>
      </c>
      <c r="O199" s="208">
        <f>SUM(O179:O198)</f>
        <v>-9857.67436400935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CD80-758B-4460-8308-6FA729A38480}">
  <sheetPr codeName="Sheet22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7.5" style="119" bestFit="1" customWidth="1"/>
    <col min="8" max="8" width="8.875" style="119" customWidth="1"/>
    <col min="9" max="9" width="11.625" style="119" customWidth="1"/>
    <col min="10" max="10" width="17.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44332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6" t="s">
        <v>3</v>
      </c>
      <c r="B2" s="316" t="s">
        <v>8</v>
      </c>
      <c r="C2" s="317"/>
      <c r="D2" s="317"/>
      <c r="E2" s="317"/>
      <c r="F2" s="318"/>
      <c r="G2" s="307" t="s">
        <v>46</v>
      </c>
      <c r="H2" s="308"/>
      <c r="I2" s="309"/>
      <c r="J2" s="116" t="s">
        <v>3</v>
      </c>
      <c r="K2" s="316" t="s">
        <v>376</v>
      </c>
      <c r="L2" s="317"/>
      <c r="M2" s="317"/>
      <c r="N2" s="317"/>
      <c r="O2" s="31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19" t="s">
        <v>384</v>
      </c>
      <c r="C3" s="320"/>
      <c r="D3" s="320"/>
      <c r="E3" s="320"/>
      <c r="F3" s="321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-107,375 KRW (-3.58%)</v>
      </c>
      <c r="H3" s="301"/>
      <c r="I3" s="302"/>
      <c r="J3" s="117" t="s">
        <v>7</v>
      </c>
      <c r="K3" s="319" t="s">
        <v>377</v>
      </c>
      <c r="L3" s="320"/>
      <c r="M3" s="320"/>
      <c r="N3" s="320"/>
      <c r="O3" s="32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19" t="s">
        <v>16</v>
      </c>
      <c r="C4" s="320"/>
      <c r="D4" s="320"/>
      <c r="E4" s="320"/>
      <c r="F4" s="321"/>
      <c r="G4" s="307" t="s">
        <v>44</v>
      </c>
      <c r="H4" s="308"/>
      <c r="I4" s="309"/>
      <c r="J4" s="117" t="s">
        <v>11</v>
      </c>
      <c r="K4" s="319" t="s">
        <v>378</v>
      </c>
      <c r="L4" s="320"/>
      <c r="M4" s="320"/>
      <c r="N4" s="320"/>
      <c r="O4" s="321"/>
      <c r="Q4" s="245" t="s">
        <v>14</v>
      </c>
      <c r="R4" s="198">
        <v>0.95833333333333337</v>
      </c>
    </row>
    <row r="5" spans="1:19" ht="17.25" customHeight="1" thickBot="1">
      <c r="A5" s="117" t="s">
        <v>15</v>
      </c>
      <c r="B5" s="319" t="s">
        <v>374</v>
      </c>
      <c r="C5" s="320"/>
      <c r="D5" s="320"/>
      <c r="E5" s="320"/>
      <c r="F5" s="321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-34,000 KRW (-1.13%)</v>
      </c>
      <c r="H5" s="301"/>
      <c r="I5" s="302"/>
      <c r="J5" s="117" t="s">
        <v>15</v>
      </c>
      <c r="K5" s="319" t="s">
        <v>379</v>
      </c>
      <c r="L5" s="320"/>
      <c r="M5" s="320"/>
      <c r="N5" s="320"/>
      <c r="O5" s="321"/>
    </row>
    <row r="6" spans="1:19">
      <c r="A6" s="117" t="s">
        <v>18</v>
      </c>
      <c r="B6" s="319"/>
      <c r="C6" s="320"/>
      <c r="D6" s="320"/>
      <c r="E6" s="320"/>
      <c r="F6" s="321"/>
      <c r="G6" s="307" t="s">
        <v>45</v>
      </c>
      <c r="H6" s="308"/>
      <c r="I6" s="309"/>
      <c r="J6" s="117" t="s">
        <v>18</v>
      </c>
      <c r="K6" s="319" t="s">
        <v>380</v>
      </c>
      <c r="L6" s="320"/>
      <c r="M6" s="320"/>
      <c r="N6" s="320"/>
      <c r="O6" s="321"/>
    </row>
    <row r="7" spans="1:19" ht="17.25" thickBot="1">
      <c r="A7" s="117" t="s">
        <v>21</v>
      </c>
      <c r="B7" s="319"/>
      <c r="C7" s="320"/>
      <c r="D7" s="320"/>
      <c r="E7" s="320"/>
      <c r="F7" s="321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-79,624 KRW (-2.65%)</v>
      </c>
      <c r="H7" s="301"/>
      <c r="I7" s="302"/>
      <c r="J7" s="117" t="s">
        <v>21</v>
      </c>
      <c r="K7" s="319" t="s">
        <v>381</v>
      </c>
      <c r="L7" s="320"/>
      <c r="M7" s="320"/>
      <c r="N7" s="320"/>
      <c r="O7" s="321"/>
    </row>
    <row r="8" spans="1:19" ht="17.25" thickBot="1">
      <c r="A8" s="117" t="s">
        <v>24</v>
      </c>
      <c r="B8" s="319"/>
      <c r="C8" s="320"/>
      <c r="D8" s="320"/>
      <c r="E8" s="320"/>
      <c r="F8" s="321"/>
      <c r="G8" s="307" t="s">
        <v>285</v>
      </c>
      <c r="H8" s="308"/>
      <c r="I8" s="309"/>
      <c r="J8" s="117" t="s">
        <v>24</v>
      </c>
      <c r="K8" s="319"/>
      <c r="L8" s="320"/>
      <c r="M8" s="320"/>
      <c r="N8" s="320"/>
      <c r="O8" s="321"/>
      <c r="Q8" s="279" t="s">
        <v>27</v>
      </c>
      <c r="R8" s="281"/>
    </row>
    <row r="9" spans="1:19" ht="17.25" thickBot="1">
      <c r="A9" s="117" t="s">
        <v>28</v>
      </c>
      <c r="B9" s="319"/>
      <c r="C9" s="320"/>
      <c r="D9" s="320"/>
      <c r="E9" s="320"/>
      <c r="F9" s="321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-44,947 KRW (-1.50%)</v>
      </c>
      <c r="H9" s="301"/>
      <c r="I9" s="302"/>
      <c r="J9" s="117" t="s">
        <v>28</v>
      </c>
      <c r="K9" s="319"/>
      <c r="L9" s="320"/>
      <c r="M9" s="320"/>
      <c r="N9" s="320"/>
      <c r="O9" s="321"/>
      <c r="Q9" s="120" t="s">
        <v>29</v>
      </c>
      <c r="R9" s="199">
        <v>10</v>
      </c>
    </row>
    <row r="10" spans="1:19">
      <c r="A10" s="117" t="s">
        <v>30</v>
      </c>
      <c r="B10" s="319"/>
      <c r="C10" s="320"/>
      <c r="D10" s="320"/>
      <c r="E10" s="320"/>
      <c r="F10" s="321"/>
      <c r="G10" s="307" t="s">
        <v>47</v>
      </c>
      <c r="H10" s="308"/>
      <c r="I10" s="309"/>
      <c r="J10" s="117" t="s">
        <v>30</v>
      </c>
      <c r="K10" s="319" t="s">
        <v>382</v>
      </c>
      <c r="L10" s="320"/>
      <c r="M10" s="320"/>
      <c r="N10" s="320"/>
      <c r="O10" s="321"/>
      <c r="Q10" s="120" t="s">
        <v>31</v>
      </c>
      <c r="R10" s="199">
        <v>100</v>
      </c>
    </row>
    <row r="11" spans="1:19" ht="17.25" thickBot="1">
      <c r="A11" s="118" t="s">
        <v>32</v>
      </c>
      <c r="B11" s="325" t="s">
        <v>383</v>
      </c>
      <c r="C11" s="326"/>
      <c r="D11" s="326"/>
      <c r="E11" s="326"/>
      <c r="F11" s="327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-33,833 KRW (-1.41%)</v>
      </c>
      <c r="H11" s="301"/>
      <c r="I11" s="302"/>
      <c r="J11" s="118" t="s">
        <v>32</v>
      </c>
      <c r="K11" s="325" t="s">
        <v>373</v>
      </c>
      <c r="L11" s="326"/>
      <c r="M11" s="326"/>
      <c r="N11" s="326"/>
      <c r="O11" s="327"/>
      <c r="Q11" s="245" t="s">
        <v>33</v>
      </c>
      <c r="R11" s="200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41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55555000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-3.6323266700000002E-2</v>
      </c>
      <c r="N14" s="286"/>
      <c r="O14" s="287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2021-05-16(일) 오전 00:00</v>
      </c>
      <c r="C15" s="324"/>
      <c r="D15" s="279" t="str">
        <f>TEXT($G$1, "[$-ko-KR]yyyy-mm-dd(ddd) ") &amp; "오후 14:00"</f>
        <v>2021-05-16(일) 오후 14:00</v>
      </c>
      <c r="E15" s="280"/>
      <c r="F15" s="281"/>
      <c r="G15" s="279" t="str">
        <f>TEXT($G$1, "[$-ko-KR]yyyy-mm-dd(ddd) ") &amp; "오후 19:00"</f>
        <v>2021-05-16(일) 오후 19:00</v>
      </c>
      <c r="H15" s="280"/>
      <c r="I15" s="281"/>
      <c r="J15" s="279" t="str">
        <f>TEXT($G$1, "[$-ko-KR]yyyy-mm-dd(ddd) ") &amp; "오후 21:00"</f>
        <v>2021-05-16(일) 오후 21:00</v>
      </c>
      <c r="K15" s="280"/>
      <c r="L15" s="281"/>
      <c r="M15" s="279" t="str">
        <f>TEXT($G$1+1, "[$-ko-KR]yyyy-mm-dd(ddd) ") &amp; "오전 00:00"</f>
        <v>2021-05-17(월) 오전 00:00</v>
      </c>
      <c r="N15" s="280"/>
      <c r="O15" s="281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120" t="s">
        <v>37</v>
      </c>
      <c r="E16" s="121" t="s">
        <v>40</v>
      </c>
      <c r="F16" s="248" t="s">
        <v>41</v>
      </c>
      <c r="G16" s="241" t="s">
        <v>37</v>
      </c>
      <c r="H16" s="242" t="s">
        <v>40</v>
      </c>
      <c r="I16" s="243" t="s">
        <v>41</v>
      </c>
      <c r="J16" s="121" t="s">
        <v>37</v>
      </c>
      <c r="K16" s="121" t="s">
        <v>40</v>
      </c>
      <c r="L16" s="246" t="s">
        <v>41</v>
      </c>
      <c r="M16" s="120" t="s">
        <v>37</v>
      </c>
      <c r="N16" s="121" t="s">
        <v>40</v>
      </c>
      <c r="O16" s="247" t="s">
        <v>41</v>
      </c>
      <c r="Q16" s="268"/>
      <c r="R16" s="268"/>
      <c r="S16" s="268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142</v>
      </c>
      <c r="C17" s="72">
        <f>IF(NOT(ISBLANK(_xlfn.IFNA(VLOOKUP($A17, $A$40:$O$199, 3, FALSE), ))), _xlfn.IFNA(VLOOKUP($A17, $A$40:$O$199, 3, FALSE), ), "")</f>
        <v>-2.7400000000000001E-2</v>
      </c>
      <c r="D17" s="123">
        <f>IF(NOT(ISBLANK(_xlfn.IFNA(VLOOKUP($A17, $A$40:$O$199, 4, FALSE), ))), _xlfn.IFNA(VLOOKUP($A17, $A$40:$O$199, 4, FALSE), ), "")</f>
        <v>141</v>
      </c>
      <c r="E17" s="72">
        <f>IF(NOT(ISBLANK(_xlfn.IFNA(VLOOKUP($A17, $A$40:$O$199, 5, FALSE), ))), _xlfn.IFNA(VLOOKUP($A17, $A$40:$O$199, 5, FALSE), ), "")</f>
        <v>-7.0422535211267607E-3</v>
      </c>
      <c r="F17" s="140">
        <f>IF(NOT(ISBLANK(_xlfn.IFNA(VLOOKUP($A17, $A$40:$O$199, 6, FALSE), ))), _xlfn.IFNA(VLOOKUP($A17, $A$40:$O$199, 6, FALSE), ), "")</f>
        <v>-1056.338028169014</v>
      </c>
      <c r="G17" s="38">
        <f>IF(NOT(ISBLANK(_xlfn.IFNA(VLOOKUP($A17, $A$40:$O$199, 7, FALSE), ))), _xlfn.IFNA(VLOOKUP($A17, $A$40:$O$199, 7, FALSE), ), "")</f>
        <v>144</v>
      </c>
      <c r="H17" s="72">
        <f>IF(NOT(ISBLANK(_xlfn.IFNA(VLOOKUP($A17, $A$40:$O$199, 8, FALSE), ))), _xlfn.IFNA(VLOOKUP($A17, $A$40:$O$199, 8, FALSE), ), "")</f>
        <v>1.4084507042253521E-2</v>
      </c>
      <c r="I17" s="201">
        <f>IF(NOT(ISBLANK(_xlfn.IFNA(VLOOKUP($A17, $A$40:$O$199, 9, FALSE), ))), _xlfn.IFNA(VLOOKUP($A17, $A$40:$O$199, 9, FALSE), ), "")</f>
        <v>2112.676056338028</v>
      </c>
      <c r="J17" s="123">
        <f>IF(NOT(ISBLANK(_xlfn.IFNA(VLOOKUP($A17, $A$40:$O$199, 10, FALSE), ))), _xlfn.IFNA(VLOOKUP($A17, $A$40:$O$199, 10, FALSE), ), "")</f>
        <v>140</v>
      </c>
      <c r="K17" s="72">
        <f>IF(NOT(ISBLANK(_xlfn.IFNA(VLOOKUP($A17, $A$40:$O$199, 11, FALSE), ))), _xlfn.IFNA(VLOOKUP($A17, $A$40:$O$199, 11, FALSE), ), "")</f>
        <v>-1.4084507042253521E-2</v>
      </c>
      <c r="L17" s="140">
        <f>IF(NOT(ISBLANK(_xlfn.IFNA(VLOOKUP($A17, $A$40:$O$199, 12, FALSE), ))), _xlfn.IFNA(VLOOKUP($A17, $A$40:$O$199, 12, FALSE), ), "")</f>
        <v>-2112.676056338028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-7.0422535211267607E-3</v>
      </c>
      <c r="O17" s="140">
        <f>IF(NOT(ISBLANK(_xlfn.IFNA(VLOOKUP($A17, $A$40:$O$199, 15, FALSE), ))), _xlfn.IFNA(VLOOKUP($A17, $A$40:$O$199, 15, FALSE), ), "")</f>
        <v>-1056.338028169014</v>
      </c>
      <c r="Q17" s="278"/>
      <c r="R17" s="278"/>
      <c r="S17" s="278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-1.97044335E-2</v>
      </c>
      <c r="D18" s="125">
        <f t="shared" ref="D18:D36" si="2">IF(NOT(ISBLANK(_xlfn.IFNA(VLOOKUP($A18, $A$40:$O$199, 4, FALSE), ))), _xlfn.IFNA(VLOOKUP($A18, $A$40:$O$199, 4, FALSE), ), "")</f>
        <v>195</v>
      </c>
      <c r="E18" s="73">
        <f t="shared" ref="E18:E36" si="3">IF(NOT(ISBLANK(_xlfn.IFNA(VLOOKUP($A18, $A$40:$O$199, 5, FALSE), ))), _xlfn.IFNA(VLOOKUP($A18, $A$40:$O$199, 5, FALSE), ), "")</f>
        <v>-2.0100502512562814E-2</v>
      </c>
      <c r="F18" s="136">
        <f t="shared" ref="F18:F36" si="4">IF(NOT(ISBLANK(_xlfn.IFNA(VLOOKUP($A18, $A$40:$O$199, 6, FALSE), ))), _xlfn.IFNA(VLOOKUP($A18, $A$40:$O$199, 6, FALSE), ), "")</f>
        <v>-3015.075376884422</v>
      </c>
      <c r="G18" s="39">
        <f t="shared" ref="G18:G36" si="5">IF(NOT(ISBLANK(_xlfn.IFNA(VLOOKUP($A18, $A$40:$O$199, 7, FALSE), ))), _xlfn.IFNA(VLOOKUP($A18, $A$40:$O$199, 7, FALSE), ), "")</f>
        <v>201</v>
      </c>
      <c r="H18" s="73">
        <f t="shared" ref="H18:H36" si="6">IF(NOT(ISBLANK(_xlfn.IFNA(VLOOKUP($A18, $A$40:$O$199, 8, FALSE), ))), _xlfn.IFNA(VLOOKUP($A18, $A$40:$O$199, 8, FALSE), ), "")</f>
        <v>1.0050251256281407E-2</v>
      </c>
      <c r="I18" s="202">
        <f t="shared" ref="I18:I36" si="7">IF(NOT(ISBLANK(_xlfn.IFNA(VLOOKUP($A18, $A$40:$O$199, 9, FALSE), ))), _xlfn.IFNA(VLOOKUP($A18, $A$40:$O$199, 9, FALSE), ), "")</f>
        <v>1507.537688442211</v>
      </c>
      <c r="J18" s="125">
        <f t="shared" ref="J18:J36" si="8">IF(NOT(ISBLANK(_xlfn.IFNA(VLOOKUP($A18, $A$40:$O$199, 10, FALSE), ))), _xlfn.IFNA(VLOOKUP($A18, $A$40:$O$199, 10, FALSE), ), "")</f>
        <v>197</v>
      </c>
      <c r="K18" s="73">
        <f t="shared" ref="K18:K36" si="9">IF(NOT(ISBLANK(_xlfn.IFNA(VLOOKUP($A18, $A$40:$O$199, 11, FALSE), ))), _xlfn.IFNA(VLOOKUP($A18, $A$40:$O$199, 11, FALSE), ), "")</f>
        <v>-1.0050251256281407E-2</v>
      </c>
      <c r="L18" s="136">
        <f t="shared" ref="L18:L36" si="10">IF(NOT(ISBLANK(_xlfn.IFNA(VLOOKUP($A18, $A$40:$O$199, 12, FALSE), ))), _xlfn.IFNA(VLOOKUP($A18, $A$40:$O$199, 12, FALSE), ), "")</f>
        <v>-1507.537688442211</v>
      </c>
      <c r="M18" s="39">
        <f t="shared" ref="M18:M36" si="11">IF(NOT(ISBLANK(_xlfn.IFNA(VLOOKUP($A18, $A$40:$O$199, 13, FALSE), ))), _xlfn.IFNA(VLOOKUP($A18, $A$40:$O$199, 13, FALSE), ), "")</f>
        <v>195</v>
      </c>
      <c r="N18" s="73">
        <f t="shared" ref="N18:N36" si="12">IF(NOT(ISBLANK(_xlfn.IFNA(VLOOKUP($A18, $A$40:$O$199, 14, FALSE), ))), _xlfn.IFNA(VLOOKUP($A18, $A$40:$O$199, 14, FALSE), ), "")</f>
        <v>-2.0100502512562814E-2</v>
      </c>
      <c r="O18" s="136">
        <f t="shared" ref="O18:O36" si="13">IF(NOT(ISBLANK(_xlfn.IFNA(VLOOKUP($A18, $A$40:$O$199, 15, FALSE), ))), _xlfn.IFNA(VLOOKUP($A18, $A$40:$O$199, 15, FALSE), ), "")</f>
        <v>-3015.075376884422</v>
      </c>
      <c r="Q18" s="278"/>
      <c r="R18" s="278"/>
      <c r="S18" s="278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-4.5454545499999999E-2</v>
      </c>
      <c r="D19" s="125">
        <f t="shared" si="2"/>
        <v>143</v>
      </c>
      <c r="E19" s="73">
        <f t="shared" si="3"/>
        <v>-2.7210884353741496E-2</v>
      </c>
      <c r="F19" s="136">
        <f t="shared" si="4"/>
        <v>-4081.6326530612241</v>
      </c>
      <c r="G19" s="39">
        <f t="shared" si="5"/>
        <v>146</v>
      </c>
      <c r="H19" s="73">
        <f t="shared" si="6"/>
        <v>-6.8027210884353739E-3</v>
      </c>
      <c r="I19" s="202">
        <f t="shared" si="7"/>
        <v>-1020.408163265306</v>
      </c>
      <c r="J19" s="125">
        <f t="shared" si="8"/>
        <v>144</v>
      </c>
      <c r="K19" s="73">
        <f t="shared" si="9"/>
        <v>-2.0408163265306121E-2</v>
      </c>
      <c r="L19" s="136">
        <f t="shared" si="10"/>
        <v>-3061.2244897959181</v>
      </c>
      <c r="M19" s="39">
        <f t="shared" si="11"/>
        <v>147</v>
      </c>
      <c r="N19" s="73">
        <f t="shared" si="12"/>
        <v>0</v>
      </c>
      <c r="O19" s="136">
        <f t="shared" si="13"/>
        <v>0</v>
      </c>
      <c r="Q19" s="268"/>
      <c r="R19" s="268"/>
      <c r="S19" s="268"/>
    </row>
    <row r="20" spans="1:19" ht="17.25" customHeight="1" thickBot="1">
      <c r="A20" s="124" t="s">
        <v>282</v>
      </c>
      <c r="B20" s="125">
        <f t="shared" si="0"/>
        <v>151</v>
      </c>
      <c r="C20" s="73">
        <f t="shared" si="1"/>
        <v>0</v>
      </c>
      <c r="D20" s="125">
        <f t="shared" si="2"/>
        <v>146</v>
      </c>
      <c r="E20" s="73">
        <f t="shared" si="3"/>
        <v>-3.3112582781456956E-2</v>
      </c>
      <c r="F20" s="136">
        <f t="shared" si="4"/>
        <v>-4966.8874172185433</v>
      </c>
      <c r="G20" s="39">
        <f t="shared" si="5"/>
        <v>149</v>
      </c>
      <c r="H20" s="73">
        <f t="shared" si="6"/>
        <v>-1.3245033112582781E-2</v>
      </c>
      <c r="I20" s="202">
        <f t="shared" si="7"/>
        <v>-1986.7549668874171</v>
      </c>
      <c r="J20" s="125">
        <f t="shared" si="8"/>
        <v>145</v>
      </c>
      <c r="K20" s="73">
        <f t="shared" si="9"/>
        <v>-3.9735099337748346E-2</v>
      </c>
      <c r="L20" s="136">
        <f t="shared" si="10"/>
        <v>-5960.2649006622523</v>
      </c>
      <c r="M20" s="39">
        <f t="shared" si="11"/>
        <v>144</v>
      </c>
      <c r="N20" s="73">
        <f t="shared" si="12"/>
        <v>-4.6357615894039736E-2</v>
      </c>
      <c r="O20" s="136">
        <f t="shared" si="13"/>
        <v>-6953.6423841059604</v>
      </c>
      <c r="Q20" s="268"/>
      <c r="R20" s="268"/>
      <c r="S20" s="268"/>
    </row>
    <row r="21" spans="1:19" ht="17.25" customHeight="1" thickBot="1">
      <c r="A21" s="126" t="s">
        <v>240</v>
      </c>
      <c r="B21" s="127">
        <f t="shared" si="0"/>
        <v>157</v>
      </c>
      <c r="C21" s="74">
        <f t="shared" si="1"/>
        <v>-7.1005917200000004E-2</v>
      </c>
      <c r="D21" s="127">
        <f t="shared" si="2"/>
        <v>155</v>
      </c>
      <c r="E21" s="74">
        <f t="shared" si="3"/>
        <v>-1.2738853503184714E-2</v>
      </c>
      <c r="F21" s="203">
        <f t="shared" si="4"/>
        <v>-1910.8280254777071</v>
      </c>
      <c r="G21" s="44">
        <f t="shared" si="5"/>
        <v>158</v>
      </c>
      <c r="H21" s="74">
        <f t="shared" si="6"/>
        <v>6.369426751592357E-3</v>
      </c>
      <c r="I21" s="204">
        <f t="shared" si="7"/>
        <v>955.41401273885356</v>
      </c>
      <c r="J21" s="127">
        <f t="shared" si="8"/>
        <v>154</v>
      </c>
      <c r="K21" s="74">
        <f t="shared" si="9"/>
        <v>-1.9108280254777069E-2</v>
      </c>
      <c r="L21" s="203">
        <f t="shared" si="10"/>
        <v>-2866.2420382165606</v>
      </c>
      <c r="M21" s="44">
        <f t="shared" si="11"/>
        <v>154</v>
      </c>
      <c r="N21" s="74">
        <f t="shared" si="12"/>
        <v>-1.9108280254777069E-2</v>
      </c>
      <c r="O21" s="203">
        <f t="shared" si="13"/>
        <v>-2866.2420382165606</v>
      </c>
      <c r="Q21" s="268"/>
      <c r="R21" s="268"/>
      <c r="S21" s="268"/>
    </row>
    <row r="22" spans="1:19" ht="17.25" customHeight="1" thickBot="1">
      <c r="A22" s="124" t="s">
        <v>200</v>
      </c>
      <c r="B22" s="128">
        <f t="shared" si="0"/>
        <v>305</v>
      </c>
      <c r="C22" s="76">
        <f t="shared" si="1"/>
        <v>-2.5559105400000001E-2</v>
      </c>
      <c r="D22" s="128">
        <f t="shared" si="2"/>
        <v>301</v>
      </c>
      <c r="E22" s="76">
        <f t="shared" si="3"/>
        <v>-1.3114754098360656E-2</v>
      </c>
      <c r="F22" s="205">
        <f t="shared" si="4"/>
        <v>-1967.2131147540983</v>
      </c>
      <c r="G22" s="45">
        <f t="shared" si="5"/>
        <v>307</v>
      </c>
      <c r="H22" s="76">
        <f t="shared" si="6"/>
        <v>6.5573770491803279E-3</v>
      </c>
      <c r="I22" s="206">
        <f t="shared" si="7"/>
        <v>983.60655737704917</v>
      </c>
      <c r="J22" s="128">
        <f t="shared" si="8"/>
        <v>300</v>
      </c>
      <c r="K22" s="76">
        <f t="shared" si="9"/>
        <v>-1.6393442622950821E-2</v>
      </c>
      <c r="L22" s="205">
        <f t="shared" si="10"/>
        <v>-2459.0163934426232</v>
      </c>
      <c r="M22" s="45">
        <f t="shared" si="11"/>
        <v>301</v>
      </c>
      <c r="N22" s="76">
        <f t="shared" si="12"/>
        <v>-1.3114754098360656E-2</v>
      </c>
      <c r="O22" s="205">
        <f t="shared" si="13"/>
        <v>-1967.2131147540983</v>
      </c>
      <c r="Q22" s="268"/>
      <c r="R22" s="268"/>
      <c r="S22" s="268"/>
    </row>
    <row r="23" spans="1:19" ht="17.25" customHeight="1" thickBot="1">
      <c r="A23" s="124" t="s">
        <v>232</v>
      </c>
      <c r="B23" s="125">
        <f t="shared" si="0"/>
        <v>151</v>
      </c>
      <c r="C23" s="73">
        <f t="shared" si="1"/>
        <v>-1.30718954E-2</v>
      </c>
      <c r="D23" s="125">
        <f t="shared" si="2"/>
        <v>149</v>
      </c>
      <c r="E23" s="73">
        <f t="shared" si="3"/>
        <v>-1.3245033112582781E-2</v>
      </c>
      <c r="F23" s="136">
        <f t="shared" si="4"/>
        <v>-1986.7549668874171</v>
      </c>
      <c r="G23" s="39">
        <f t="shared" si="5"/>
        <v>151</v>
      </c>
      <c r="H23" s="73">
        <f t="shared" si="6"/>
        <v>0</v>
      </c>
      <c r="I23" s="202">
        <f t="shared" si="7"/>
        <v>0</v>
      </c>
      <c r="J23" s="125">
        <f t="shared" si="8"/>
        <v>147</v>
      </c>
      <c r="K23" s="73">
        <f t="shared" si="9"/>
        <v>-2.6490066225165563E-2</v>
      </c>
      <c r="L23" s="136">
        <f t="shared" si="10"/>
        <v>-3973.5099337748343</v>
      </c>
      <c r="M23" s="39">
        <f t="shared" si="11"/>
        <v>148</v>
      </c>
      <c r="N23" s="73">
        <f t="shared" si="12"/>
        <v>-1.9867549668874173E-2</v>
      </c>
      <c r="O23" s="136">
        <f t="shared" si="13"/>
        <v>-2980.1324503311262</v>
      </c>
      <c r="Q23" s="268"/>
      <c r="R23" s="268"/>
      <c r="S23" s="268"/>
    </row>
    <row r="24" spans="1:19" ht="17.25" customHeight="1" thickBot="1">
      <c r="A24" s="124" t="s">
        <v>174</v>
      </c>
      <c r="B24" s="125">
        <f t="shared" si="0"/>
        <v>243</v>
      </c>
      <c r="C24" s="73">
        <f t="shared" si="1"/>
        <v>-5.4474708199999999E-2</v>
      </c>
      <c r="D24" s="125">
        <f t="shared" si="2"/>
        <v>242</v>
      </c>
      <c r="E24" s="73">
        <f t="shared" si="3"/>
        <v>-4.11522633744856E-3</v>
      </c>
      <c r="F24" s="136">
        <f t="shared" si="4"/>
        <v>-617.28395061728395</v>
      </c>
      <c r="G24" s="39">
        <f t="shared" si="5"/>
        <v>245</v>
      </c>
      <c r="H24" s="73">
        <f t="shared" si="6"/>
        <v>8.23045267489712E-3</v>
      </c>
      <c r="I24" s="202">
        <f t="shared" si="7"/>
        <v>1234.5679012345679</v>
      </c>
      <c r="J24" s="125">
        <f t="shared" si="8"/>
        <v>240</v>
      </c>
      <c r="K24" s="73">
        <f t="shared" si="9"/>
        <v>-1.2345679012345678E-2</v>
      </c>
      <c r="L24" s="136">
        <f t="shared" si="10"/>
        <v>-1851.8518518518517</v>
      </c>
      <c r="M24" s="39">
        <f t="shared" si="11"/>
        <v>242</v>
      </c>
      <c r="N24" s="73">
        <f t="shared" si="12"/>
        <v>-4.11522633744856E-3</v>
      </c>
      <c r="O24" s="136">
        <f t="shared" si="13"/>
        <v>-617.28395061728395</v>
      </c>
      <c r="Q24" s="268"/>
      <c r="R24" s="268"/>
      <c r="S24" s="268"/>
    </row>
    <row r="25" spans="1:19" ht="17.25" customHeight="1" thickBot="1">
      <c r="A25" s="124" t="s">
        <v>112</v>
      </c>
      <c r="B25" s="125">
        <f t="shared" si="0"/>
        <v>226</v>
      </c>
      <c r="C25" s="73">
        <f t="shared" si="1"/>
        <v>-3.4188034200000002E-2</v>
      </c>
      <c r="D25" s="125">
        <f t="shared" si="2"/>
        <v>220</v>
      </c>
      <c r="E25" s="73">
        <f t="shared" si="3"/>
        <v>-2.6548672566371681E-2</v>
      </c>
      <c r="F25" s="136">
        <f t="shared" si="4"/>
        <v>-3982.3008849557523</v>
      </c>
      <c r="G25" s="39">
        <f t="shared" si="5"/>
        <v>225</v>
      </c>
      <c r="H25" s="73">
        <f t="shared" si="6"/>
        <v>-4.4247787610619468E-3</v>
      </c>
      <c r="I25" s="202">
        <f t="shared" si="7"/>
        <v>-663.71681415929197</v>
      </c>
      <c r="J25" s="125">
        <f t="shared" si="8"/>
        <v>221</v>
      </c>
      <c r="K25" s="73">
        <f t="shared" si="9"/>
        <v>-2.2123893805309734E-2</v>
      </c>
      <c r="L25" s="136">
        <f t="shared" si="10"/>
        <v>-3318.5840707964603</v>
      </c>
      <c r="M25" s="39">
        <f t="shared" si="11"/>
        <v>222</v>
      </c>
      <c r="N25" s="73">
        <f t="shared" si="12"/>
        <v>-1.7699115044247787E-2</v>
      </c>
      <c r="O25" s="136">
        <f t="shared" si="13"/>
        <v>-2654.8672566371679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102</v>
      </c>
      <c r="C26" s="75">
        <f t="shared" si="1"/>
        <v>-3.7735849100000003E-2</v>
      </c>
      <c r="D26" s="130">
        <f t="shared" si="2"/>
        <v>104</v>
      </c>
      <c r="E26" s="75">
        <f t="shared" si="3"/>
        <v>1.9607843137254902E-2</v>
      </c>
      <c r="F26" s="137">
        <f t="shared" si="4"/>
        <v>2941.1764705882351</v>
      </c>
      <c r="G26" s="37">
        <f t="shared" si="5"/>
        <v>104</v>
      </c>
      <c r="H26" s="75">
        <f t="shared" si="6"/>
        <v>1.9607843137254902E-2</v>
      </c>
      <c r="I26" s="207">
        <f t="shared" si="7"/>
        <v>2941.1764705882351</v>
      </c>
      <c r="J26" s="130">
        <f t="shared" si="8"/>
        <v>103</v>
      </c>
      <c r="K26" s="75">
        <f t="shared" si="9"/>
        <v>9.8039215686274508E-3</v>
      </c>
      <c r="L26" s="137">
        <f t="shared" si="10"/>
        <v>1470.5882352941176</v>
      </c>
      <c r="M26" s="37">
        <f t="shared" si="11"/>
        <v>106</v>
      </c>
      <c r="N26" s="75">
        <f t="shared" si="12"/>
        <v>3.9215686274509803E-2</v>
      </c>
      <c r="O26" s="137">
        <f t="shared" si="13"/>
        <v>5882.3529411764703</v>
      </c>
      <c r="Q26" s="269"/>
      <c r="R26" s="270"/>
      <c r="S26" s="271"/>
    </row>
    <row r="27" spans="1:19" ht="17.25" customHeight="1">
      <c r="A27" s="122" t="s">
        <v>202</v>
      </c>
      <c r="B27" s="123">
        <f t="shared" si="0"/>
        <v>163</v>
      </c>
      <c r="C27" s="72">
        <f t="shared" si="1"/>
        <v>-4.1176470600000001E-2</v>
      </c>
      <c r="D27" s="123">
        <f t="shared" si="2"/>
        <v>160</v>
      </c>
      <c r="E27" s="72">
        <f t="shared" si="3"/>
        <v>-1.8404907975460124E-2</v>
      </c>
      <c r="F27" s="140">
        <f t="shared" si="4"/>
        <v>-2760.7361963190187</v>
      </c>
      <c r="G27" s="38">
        <f t="shared" si="5"/>
        <v>165</v>
      </c>
      <c r="H27" s="72">
        <f t="shared" si="6"/>
        <v>1.2269938650306749E-2</v>
      </c>
      <c r="I27" s="201">
        <f t="shared" si="7"/>
        <v>1840.4907975460123</v>
      </c>
      <c r="J27" s="123">
        <f t="shared" si="8"/>
        <v>158</v>
      </c>
      <c r="K27" s="72">
        <f t="shared" si="9"/>
        <v>-3.0674846625766871E-2</v>
      </c>
      <c r="L27" s="140">
        <f t="shared" si="10"/>
        <v>-4601.2269938650306</v>
      </c>
      <c r="M27" s="38">
        <f t="shared" si="11"/>
        <v>159</v>
      </c>
      <c r="N27" s="72">
        <f t="shared" si="12"/>
        <v>-2.4539877300613498E-2</v>
      </c>
      <c r="O27" s="140">
        <f t="shared" si="13"/>
        <v>-3680.9815950920247</v>
      </c>
      <c r="Q27" s="272"/>
      <c r="R27" s="273"/>
      <c r="S27" s="274"/>
    </row>
    <row r="28" spans="1:19" ht="17.25" customHeight="1" thickBot="1">
      <c r="A28" s="124" t="s">
        <v>238</v>
      </c>
      <c r="B28" s="125">
        <f t="shared" si="0"/>
        <v>243</v>
      </c>
      <c r="C28" s="73">
        <f t="shared" si="1"/>
        <v>-1.2195121999999999E-2</v>
      </c>
      <c r="D28" s="125">
        <f t="shared" si="2"/>
        <v>235</v>
      </c>
      <c r="E28" s="73">
        <f t="shared" si="3"/>
        <v>-3.292181069958848E-2</v>
      </c>
      <c r="F28" s="136">
        <f t="shared" si="4"/>
        <v>-4938.2716049382716</v>
      </c>
      <c r="G28" s="39">
        <f t="shared" si="5"/>
        <v>241</v>
      </c>
      <c r="H28" s="73">
        <f t="shared" si="6"/>
        <v>-8.23045267489712E-3</v>
      </c>
      <c r="I28" s="202">
        <f t="shared" si="7"/>
        <v>-1234.5679012345679</v>
      </c>
      <c r="J28" s="125">
        <f t="shared" si="8"/>
        <v>235</v>
      </c>
      <c r="K28" s="73">
        <f t="shared" si="9"/>
        <v>-3.292181069958848E-2</v>
      </c>
      <c r="L28" s="136">
        <f t="shared" si="10"/>
        <v>-4938.2716049382716</v>
      </c>
      <c r="M28" s="39">
        <f t="shared" si="11"/>
        <v>237</v>
      </c>
      <c r="N28" s="73">
        <f t="shared" si="12"/>
        <v>-2.4691358024691357E-2</v>
      </c>
      <c r="O28" s="136">
        <f t="shared" si="13"/>
        <v>-3703.7037037037035</v>
      </c>
      <c r="Q28" s="275"/>
      <c r="R28" s="276"/>
      <c r="S28" s="277"/>
    </row>
    <row r="29" spans="1:19" ht="17.25" customHeight="1" thickBot="1">
      <c r="A29" s="124" t="s">
        <v>210</v>
      </c>
      <c r="B29" s="125">
        <f t="shared" si="0"/>
        <v>171</v>
      </c>
      <c r="C29" s="73">
        <f t="shared" si="1"/>
        <v>1.7857142900000001E-2</v>
      </c>
      <c r="D29" s="125">
        <f t="shared" si="2"/>
        <v>163</v>
      </c>
      <c r="E29" s="73">
        <f t="shared" si="3"/>
        <v>-4.6783625730994149E-2</v>
      </c>
      <c r="F29" s="136">
        <f t="shared" si="4"/>
        <v>-7017.5438596491222</v>
      </c>
      <c r="G29" s="39">
        <f t="shared" si="5"/>
        <v>168</v>
      </c>
      <c r="H29" s="73">
        <f t="shared" si="6"/>
        <v>-1.7543859649122806E-2</v>
      </c>
      <c r="I29" s="202">
        <f t="shared" si="7"/>
        <v>-2631.5789473684208</v>
      </c>
      <c r="J29" s="125">
        <f t="shared" si="8"/>
        <v>162</v>
      </c>
      <c r="K29" s="73">
        <f t="shared" si="9"/>
        <v>-5.2631578947368418E-2</v>
      </c>
      <c r="L29" s="136">
        <f t="shared" si="10"/>
        <v>-7894.7368421052624</v>
      </c>
      <c r="M29" s="39">
        <f t="shared" si="11"/>
        <v>163</v>
      </c>
      <c r="N29" s="73">
        <f t="shared" si="12"/>
        <v>-4.6783625730994149E-2</v>
      </c>
      <c r="O29" s="136">
        <f t="shared" si="13"/>
        <v>-7017.5438596491222</v>
      </c>
      <c r="Q29" s="268"/>
      <c r="R29" s="268"/>
      <c r="S29" s="268"/>
    </row>
    <row r="30" spans="1:19" ht="17.25" customHeight="1" thickBot="1">
      <c r="A30" s="124" t="s">
        <v>212</v>
      </c>
      <c r="B30" s="125">
        <f t="shared" si="0"/>
        <v>123</v>
      </c>
      <c r="C30" s="73">
        <f t="shared" si="1"/>
        <v>-3.90625E-2</v>
      </c>
      <c r="D30" s="125">
        <f t="shared" si="2"/>
        <v>120</v>
      </c>
      <c r="E30" s="73">
        <f t="shared" si="3"/>
        <v>-2.4390243902439025E-2</v>
      </c>
      <c r="F30" s="136">
        <f t="shared" si="4"/>
        <v>-3658.5365853658536</v>
      </c>
      <c r="G30" s="39">
        <f t="shared" si="5"/>
        <v>122</v>
      </c>
      <c r="H30" s="73">
        <f t="shared" si="6"/>
        <v>-8.130081300813009E-3</v>
      </c>
      <c r="I30" s="202">
        <f t="shared" si="7"/>
        <v>-1219.5121951219514</v>
      </c>
      <c r="J30" s="125">
        <f t="shared" si="8"/>
        <v>121</v>
      </c>
      <c r="K30" s="73">
        <f t="shared" si="9"/>
        <v>-1.6260162601626018E-2</v>
      </c>
      <c r="L30" s="136">
        <f t="shared" si="10"/>
        <v>-2439.0243902439029</v>
      </c>
      <c r="M30" s="39">
        <f t="shared" si="11"/>
        <v>120</v>
      </c>
      <c r="N30" s="73">
        <f t="shared" si="12"/>
        <v>-2.4390243902439025E-2</v>
      </c>
      <c r="O30" s="136">
        <f t="shared" si="13"/>
        <v>-3658.5365853658536</v>
      </c>
      <c r="Q30" s="278"/>
      <c r="R30" s="278"/>
      <c r="S30" s="278"/>
    </row>
    <row r="31" spans="1:19" ht="17.25" customHeight="1" thickBot="1">
      <c r="A31" s="126" t="s">
        <v>226</v>
      </c>
      <c r="B31" s="127">
        <f t="shared" si="0"/>
        <v>446</v>
      </c>
      <c r="C31" s="74">
        <f t="shared" si="1"/>
        <v>2.0594965699999999E-2</v>
      </c>
      <c r="D31" s="127">
        <f t="shared" si="2"/>
        <v>429</v>
      </c>
      <c r="E31" s="74">
        <f t="shared" si="3"/>
        <v>-3.811659192825112E-2</v>
      </c>
      <c r="F31" s="203">
        <f t="shared" si="4"/>
        <v>-5717.4887892376682</v>
      </c>
      <c r="G31" s="44">
        <f t="shared" si="5"/>
        <v>444</v>
      </c>
      <c r="H31" s="74">
        <f t="shared" si="6"/>
        <v>-4.4843049327354259E-3</v>
      </c>
      <c r="I31" s="204">
        <f t="shared" si="7"/>
        <v>-672.64573991031386</v>
      </c>
      <c r="J31" s="127">
        <f t="shared" si="8"/>
        <v>434</v>
      </c>
      <c r="K31" s="74">
        <f t="shared" si="9"/>
        <v>-2.6905829596412557E-2</v>
      </c>
      <c r="L31" s="203">
        <f t="shared" si="10"/>
        <v>-4035.8744394618834</v>
      </c>
      <c r="M31" s="44">
        <f t="shared" si="11"/>
        <v>436</v>
      </c>
      <c r="N31" s="74">
        <f t="shared" si="12"/>
        <v>-2.2421524663677129E-2</v>
      </c>
      <c r="O31" s="203">
        <f t="shared" si="13"/>
        <v>-3363.2286995515692</v>
      </c>
      <c r="Q31" s="278"/>
      <c r="R31" s="278"/>
      <c r="S31" s="278"/>
    </row>
    <row r="32" spans="1:19" ht="17.25" customHeight="1" thickBot="1">
      <c r="A32" s="124" t="s">
        <v>236</v>
      </c>
      <c r="B32" s="128">
        <f t="shared" si="0"/>
        <v>70.7</v>
      </c>
      <c r="C32" s="76">
        <f t="shared" si="1"/>
        <v>-2.7510316399999998E-2</v>
      </c>
      <c r="D32" s="128">
        <f t="shared" si="2"/>
        <v>74.900000000000006</v>
      </c>
      <c r="E32" s="76">
        <f t="shared" si="3"/>
        <v>5.9405940594059445E-2</v>
      </c>
      <c r="F32" s="205">
        <f t="shared" si="4"/>
        <v>8910.8910891089163</v>
      </c>
      <c r="G32" s="45">
        <f t="shared" si="5"/>
        <v>73.7</v>
      </c>
      <c r="H32" s="76">
        <f t="shared" si="6"/>
        <v>4.2432814710042434E-2</v>
      </c>
      <c r="I32" s="206">
        <f t="shared" si="7"/>
        <v>6364.922206506365</v>
      </c>
      <c r="J32" s="128">
        <f t="shared" si="8"/>
        <v>72.3</v>
      </c>
      <c r="K32" s="76">
        <f t="shared" si="9"/>
        <v>2.2630834512022548E-2</v>
      </c>
      <c r="L32" s="205">
        <f t="shared" si="10"/>
        <v>3394.6251768033821</v>
      </c>
      <c r="M32" s="45">
        <f t="shared" si="11"/>
        <v>72.5</v>
      </c>
      <c r="N32" s="76">
        <f t="shared" si="12"/>
        <v>2.5459688826025419E-2</v>
      </c>
      <c r="O32" s="205">
        <f t="shared" si="13"/>
        <v>3818.9533239038128</v>
      </c>
      <c r="Q32" s="268"/>
      <c r="R32" s="268"/>
      <c r="S32" s="26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68"/>
      <c r="R33" s="268"/>
      <c r="S33" s="26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68"/>
      <c r="R34" s="268"/>
      <c r="S34" s="26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57"/>
      <c r="R35" s="258"/>
      <c r="S35" s="25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60"/>
      <c r="R36" s="261"/>
      <c r="S36" s="262"/>
    </row>
    <row r="37" spans="1:19" ht="17.25" customHeight="1" thickBot="1">
      <c r="A37" s="131" t="s">
        <v>42</v>
      </c>
      <c r="B37" s="330">
        <v>150000</v>
      </c>
      <c r="C37" s="331"/>
      <c r="D37" s="131" t="s">
        <v>43</v>
      </c>
      <c r="E37" s="244">
        <f>IF(COUNT(E17:E36), SUM(E17:E36) / COUNT(E17:E36), 0)</f>
        <v>-1.492700995576594E-2</v>
      </c>
      <c r="F37" s="208">
        <f>SUM(F17:F36)</f>
        <v>-35824.823893838242</v>
      </c>
      <c r="G37" s="131" t="s">
        <v>43</v>
      </c>
      <c r="H37" s="244">
        <f>IF(COUNT(H17:H36), SUM(H17:H36) / COUNT(H17:H36), 0)</f>
        <v>3.5463362345100218E-3</v>
      </c>
      <c r="I37" s="208">
        <f>SUM(I17:I36)</f>
        <v>8511.2069628240533</v>
      </c>
      <c r="J37" s="131" t="s">
        <v>43</v>
      </c>
      <c r="K37" s="244">
        <f>IF(COUNT(K17:K36), SUM(K17:K36) / COUNT(K17:K36), 0)</f>
        <v>-1.9231178450765666E-2</v>
      </c>
      <c r="L37" s="208">
        <f>SUM(L17:L36)</f>
        <v>-46154.828281837588</v>
      </c>
      <c r="M37" s="131" t="s">
        <v>43</v>
      </c>
      <c r="N37" s="244">
        <f>IF(COUNT(N17:N36), SUM(N17:N36) / COUNT(N17:N36), 0)</f>
        <v>-1.4097284490832343E-2</v>
      </c>
      <c r="O37" s="208">
        <f>SUM(O17:O36)</f>
        <v>-33833.482777997619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41" t="s">
        <v>298</v>
      </c>
      <c r="B41" s="279" t="s">
        <v>36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55555000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-3.6323266700000002E-2</v>
      </c>
      <c r="N41" s="286"/>
      <c r="O41" s="287"/>
      <c r="Q41" s="278"/>
      <c r="R41" s="278"/>
      <c r="S41" s="278"/>
    </row>
    <row r="42" spans="1:19" ht="17.25" customHeight="1" thickBot="1">
      <c r="A42" s="332" t="s">
        <v>55</v>
      </c>
      <c r="B42" s="328" t="str">
        <f>TEXT($G$1, "[$-ko-KR]yyyy-mm-dd(ddd) ") &amp; "오전 00:00"</f>
        <v>2021-05-16(일) 오전 00:00</v>
      </c>
      <c r="C42" s="329"/>
      <c r="D42" s="279" t="str">
        <f>TEXT($G$1, "[$-ko-KR]yyyy-mm-dd(ddd) ") &amp; "오후 14:00"</f>
        <v>2021-05-16(일) 오후 14:00</v>
      </c>
      <c r="E42" s="280"/>
      <c r="F42" s="281"/>
      <c r="G42" s="279" t="str">
        <f>TEXT($G$1, "[$-ko-KR]yyyy-mm-dd(ddd) ") &amp; "오후 19:00"</f>
        <v>2021-05-16(일) 오후 19:00</v>
      </c>
      <c r="H42" s="280"/>
      <c r="I42" s="281"/>
      <c r="J42" s="279" t="str">
        <f>TEXT($G$1, "[$-ko-KR]yyyy-mm-dd(ddd) ") &amp; "오후 21:00"</f>
        <v>2021-05-16(일) 오후 21:00</v>
      </c>
      <c r="K42" s="280"/>
      <c r="L42" s="281"/>
      <c r="M42" s="279" t="str">
        <f>TEXT($G$1+1, "[$-ko-KR]yyyy-mm-dd(ddd) ") &amp; "오전 00:00"</f>
        <v>2021-05-17(월) 오전 00:00</v>
      </c>
      <c r="N42" s="280"/>
      <c r="O42" s="281"/>
      <c r="Q42" s="278"/>
      <c r="R42" s="278"/>
      <c r="S42" s="278"/>
    </row>
    <row r="43" spans="1:19" ht="17.25" customHeight="1" thickBot="1">
      <c r="A43" s="333"/>
      <c r="B43" s="120" t="s">
        <v>58</v>
      </c>
      <c r="C43" s="121" t="s">
        <v>59</v>
      </c>
      <c r="D43" s="120" t="s">
        <v>58</v>
      </c>
      <c r="E43" s="121" t="s">
        <v>299</v>
      </c>
      <c r="F43" s="248" t="s">
        <v>300</v>
      </c>
      <c r="G43" s="241" t="s">
        <v>58</v>
      </c>
      <c r="H43" s="242" t="s">
        <v>299</v>
      </c>
      <c r="I43" s="243" t="s">
        <v>300</v>
      </c>
      <c r="J43" s="121" t="s">
        <v>58</v>
      </c>
      <c r="K43" s="121" t="s">
        <v>299</v>
      </c>
      <c r="L43" s="246" t="s">
        <v>300</v>
      </c>
      <c r="M43" s="120" t="s">
        <v>58</v>
      </c>
      <c r="N43" s="121" t="s">
        <v>299</v>
      </c>
      <c r="O43" s="247" t="s">
        <v>300</v>
      </c>
      <c r="Q43" s="268"/>
      <c r="R43" s="268"/>
      <c r="S43" s="268"/>
    </row>
    <row r="44" spans="1:19" ht="17.25" customHeight="1" thickBot="1">
      <c r="A44" s="122" t="s">
        <v>220</v>
      </c>
      <c r="B44" s="123">
        <v>18.399999999999999</v>
      </c>
      <c r="C44" s="72">
        <v>2.2222222199999999E-2</v>
      </c>
      <c r="D44" s="123">
        <v>17.2</v>
      </c>
      <c r="E44" s="72">
        <f>IF(ISNUMBER(D44), (D44 - $B44) / $B44, "")</f>
        <v>-6.5217391304347797E-2</v>
      </c>
      <c r="F44" s="140">
        <f>IF(ISNUMBER(D44), $B64 * E44, "")</f>
        <v>-9782.6086956521704</v>
      </c>
      <c r="G44" s="38">
        <v>17.8</v>
      </c>
      <c r="H44" s="72">
        <f>IF(ISNUMBER(G44), (G44 - $B44) / $B44, "")</f>
        <v>-3.2608695652173801E-2</v>
      </c>
      <c r="I44" s="201">
        <f>IF(ISNUMBER(G44), $B64 * H44, "")</f>
        <v>-4891.3043478260697</v>
      </c>
      <c r="J44" s="123">
        <v>17.3</v>
      </c>
      <c r="K44" s="72">
        <f>IF(ISNUMBER(J44), (J44 - $B44) / $B44, "")</f>
        <v>-5.9782608695652065E-2</v>
      </c>
      <c r="L44" s="140">
        <f>IF(ISNUMBER(J44), $B64 * K44, "")</f>
        <v>-8967.3913043478096</v>
      </c>
      <c r="M44" s="38">
        <v>17.3</v>
      </c>
      <c r="N44" s="72">
        <f>IF(ISNUMBER(M44), (M44 - $B44) / $B44, "")</f>
        <v>-5.9782608695652065E-2</v>
      </c>
      <c r="O44" s="140">
        <f>IF(ISNUMBER(M44), $B64 * N44, "")</f>
        <v>-8967.3913043478096</v>
      </c>
      <c r="Q44" s="278"/>
      <c r="R44" s="278"/>
      <c r="S44" s="278"/>
    </row>
    <row r="45" spans="1:19" ht="17.25" customHeight="1" thickBot="1">
      <c r="A45" s="124" t="s">
        <v>126</v>
      </c>
      <c r="B45" s="125">
        <v>49.7</v>
      </c>
      <c r="C45" s="73">
        <v>2.0161290000000002E-3</v>
      </c>
      <c r="D45" s="125">
        <v>48</v>
      </c>
      <c r="E45" s="73">
        <f t="shared" ref="E45:E48" si="14">IF(ISNUMBER(D45), (D45 - $B45) / $B45, "")</f>
        <v>-3.4205231388330037E-2</v>
      </c>
      <c r="F45" s="136">
        <f>IF(ISNUMBER(D45), $B64 * E45, "")</f>
        <v>-5130.7847082495055</v>
      </c>
      <c r="G45" s="39">
        <v>49.3</v>
      </c>
      <c r="H45" s="73">
        <f t="shared" ref="H45:H48" si="15">IF(ISNUMBER(G45), (G45 - $B45) / $B45, "")</f>
        <v>-8.0482897384306969E-3</v>
      </c>
      <c r="I45" s="202">
        <f>IF(ISNUMBER(G45), $B64 * H45, "")</f>
        <v>-1207.2434607646046</v>
      </c>
      <c r="J45" s="125">
        <v>47.4</v>
      </c>
      <c r="K45" s="73">
        <f t="shared" ref="K45:K48" si="16">IF(ISNUMBER(J45), (J45 - $B45) / $B45, "")</f>
        <v>-4.6277665995975936E-2</v>
      </c>
      <c r="L45" s="136">
        <f>IF(ISNUMBER(J45), $B64 * K45, "")</f>
        <v>-6941.6498993963905</v>
      </c>
      <c r="M45" s="39">
        <v>47.4</v>
      </c>
      <c r="N45" s="73">
        <f t="shared" ref="N45:N48" si="17">IF(ISNUMBER(M45), (M45 - $B45) / $B45, "")</f>
        <v>-4.6277665995975936E-2</v>
      </c>
      <c r="O45" s="136">
        <f>IF(ISNUMBER(M45), $B64 * N45, "")</f>
        <v>-6941.6498993963905</v>
      </c>
      <c r="Q45" s="278"/>
      <c r="R45" s="278"/>
      <c r="S45" s="278"/>
    </row>
    <row r="46" spans="1:19" ht="17.25" customHeight="1" thickBot="1">
      <c r="A46" s="124" t="s">
        <v>100</v>
      </c>
      <c r="B46" s="125">
        <v>7.38</v>
      </c>
      <c r="C46" s="73">
        <v>-2.3809523799999999E-2</v>
      </c>
      <c r="D46" s="125">
        <v>7.28</v>
      </c>
      <c r="E46" s="73">
        <f t="shared" si="14"/>
        <v>-1.3550135501354966E-2</v>
      </c>
      <c r="F46" s="136">
        <f>IF(ISNUMBER(D46), $B64 * E46, "")</f>
        <v>-2032.520325203245</v>
      </c>
      <c r="G46" s="39">
        <v>7.56</v>
      </c>
      <c r="H46" s="73">
        <f t="shared" si="15"/>
        <v>2.4390243902438987E-2</v>
      </c>
      <c r="I46" s="202">
        <f>IF(ISNUMBER(G46), $B64 * H46, "")</f>
        <v>3658.5365853658482</v>
      </c>
      <c r="J46" s="125">
        <v>7.27</v>
      </c>
      <c r="K46" s="73">
        <f t="shared" si="16"/>
        <v>-1.4905149051490558E-2</v>
      </c>
      <c r="L46" s="136">
        <f>IF(ISNUMBER(J46), $B64 * K46, "")</f>
        <v>-2235.7723577235838</v>
      </c>
      <c r="M46" s="39">
        <v>7.25</v>
      </c>
      <c r="N46" s="73">
        <f t="shared" si="17"/>
        <v>-1.7615176151761502E-2</v>
      </c>
      <c r="O46" s="136">
        <f>IF(ISNUMBER(M46), $B64 * N46, "")</f>
        <v>-2642.2764227642256</v>
      </c>
      <c r="Q46" s="268"/>
      <c r="R46" s="268"/>
      <c r="S46" s="268"/>
    </row>
    <row r="47" spans="1:19" ht="17.25" customHeight="1" thickBot="1">
      <c r="A47" s="124" t="s">
        <v>236</v>
      </c>
      <c r="B47" s="125">
        <v>70.7</v>
      </c>
      <c r="C47" s="73">
        <v>-2.7510316399999998E-2</v>
      </c>
      <c r="D47" s="125">
        <v>74.900000000000006</v>
      </c>
      <c r="E47" s="73">
        <f t="shared" si="14"/>
        <v>5.9405940594059445E-2</v>
      </c>
      <c r="F47" s="136">
        <f>IF(ISNUMBER(D47), $B64 * E47, "")</f>
        <v>8910.8910891089163</v>
      </c>
      <c r="G47" s="39">
        <v>73.7</v>
      </c>
      <c r="H47" s="73">
        <f t="shared" si="15"/>
        <v>4.2432814710042434E-2</v>
      </c>
      <c r="I47" s="202">
        <f>IF(ISNUMBER(G47), $B64 * H47, "")</f>
        <v>6364.922206506365</v>
      </c>
      <c r="J47" s="125">
        <v>72.3</v>
      </c>
      <c r="K47" s="73">
        <f t="shared" si="16"/>
        <v>2.2630834512022548E-2</v>
      </c>
      <c r="L47" s="136">
        <f>IF(ISNUMBER(J47), $B64 * K47, "")</f>
        <v>3394.6251768033821</v>
      </c>
      <c r="M47" s="39">
        <v>72.5</v>
      </c>
      <c r="N47" s="73">
        <f t="shared" si="17"/>
        <v>2.5459688826025419E-2</v>
      </c>
      <c r="O47" s="136">
        <f>IF(ISNUMBER(M47), $B64 * N47, "")</f>
        <v>3818.9533239038128</v>
      </c>
      <c r="Q47" s="268"/>
      <c r="R47" s="268"/>
      <c r="S47" s="268"/>
    </row>
    <row r="48" spans="1:19" ht="17.25" customHeight="1" thickBot="1">
      <c r="A48" s="126" t="s">
        <v>196</v>
      </c>
      <c r="B48" s="127">
        <v>17.600000000000001</v>
      </c>
      <c r="C48" s="74">
        <v>-2.7624309400000002E-2</v>
      </c>
      <c r="D48" s="127">
        <v>17.399999999999999</v>
      </c>
      <c r="E48" s="74">
        <f t="shared" si="14"/>
        <v>-1.1363636363636524E-2</v>
      </c>
      <c r="F48" s="203">
        <f>IF(ISNUMBER(D48), $B64 * E48, "")</f>
        <v>-1704.5454545454786</v>
      </c>
      <c r="G48" s="44">
        <v>17.7</v>
      </c>
      <c r="H48" s="74">
        <f t="shared" si="15"/>
        <v>5.6818181818180605E-3</v>
      </c>
      <c r="I48" s="204">
        <f>IF(ISNUMBER(G48), $B64 * H48, "")</f>
        <v>852.27272727270906</v>
      </c>
      <c r="J48" s="127">
        <v>17.2</v>
      </c>
      <c r="K48" s="74">
        <f t="shared" si="16"/>
        <v>-2.2727272727272846E-2</v>
      </c>
      <c r="L48" s="203">
        <f>IF(ISNUMBER(J48), $B64 * K48, "")</f>
        <v>-3409.0909090909267</v>
      </c>
      <c r="M48" s="44">
        <v>17.2</v>
      </c>
      <c r="N48" s="74">
        <f t="shared" si="17"/>
        <v>-2.2727272727272846E-2</v>
      </c>
      <c r="O48" s="203">
        <f>IF(ISNUMBER(M48), $B64 * N48, "")</f>
        <v>-3409.0909090909267</v>
      </c>
      <c r="Q48" s="268"/>
      <c r="R48" s="268"/>
      <c r="S48" s="268"/>
    </row>
    <row r="49" spans="1:19" ht="17.25" customHeight="1" thickBot="1">
      <c r="A49" s="124" t="s">
        <v>254</v>
      </c>
      <c r="B49" s="128">
        <v>71.7</v>
      </c>
      <c r="C49" s="76">
        <v>-3.2388663999999998E-2</v>
      </c>
      <c r="D49" s="128">
        <v>72.099999999999994</v>
      </c>
      <c r="E49" s="76">
        <f>IF(ISNUMBER(D49), (D49 - $B49) / $B49, "")</f>
        <v>5.5788005578799368E-3</v>
      </c>
      <c r="F49" s="205">
        <f>IF(ISNUMBER(D49), $B64 * E49, "")</f>
        <v>836.82008368199047</v>
      </c>
      <c r="G49" s="45">
        <v>72.900000000000006</v>
      </c>
      <c r="H49" s="76">
        <f>IF(ISNUMBER(G49), (G49 - $B49) / $B49, "")</f>
        <v>1.6736401673640208E-2</v>
      </c>
      <c r="I49" s="206">
        <f>IF(ISNUMBER(G49), $B64 * H49, "")</f>
        <v>2510.4602510460313</v>
      </c>
      <c r="J49" s="128">
        <v>71.599999999999994</v>
      </c>
      <c r="K49" s="76">
        <f>IF(ISNUMBER(J49), (J49 - $B49) / $B49, "")</f>
        <v>-1.3947001394701327E-3</v>
      </c>
      <c r="L49" s="205">
        <f>IF(ISNUMBER(J49), $B64 * K49, "")</f>
        <v>-209.2050209205199</v>
      </c>
      <c r="M49" s="45">
        <v>71.8</v>
      </c>
      <c r="N49" s="76">
        <f>IF(ISNUMBER(M49), (M49 - $B49) / $B49, "")</f>
        <v>1.3947001394699345E-3</v>
      </c>
      <c r="O49" s="205">
        <f>IF(ISNUMBER(M49), $B64 * N49, "")</f>
        <v>209.20502092049017</v>
      </c>
      <c r="Q49" s="268"/>
      <c r="R49" s="268"/>
      <c r="S49" s="268"/>
    </row>
    <row r="50" spans="1:19" ht="17.25" customHeight="1" thickBot="1">
      <c r="A50" s="124" t="s">
        <v>154</v>
      </c>
      <c r="B50" s="125">
        <v>17.600000000000001</v>
      </c>
      <c r="C50" s="73">
        <v>-3.2967033E-2</v>
      </c>
      <c r="D50" s="125">
        <v>17.100000000000001</v>
      </c>
      <c r="E50" s="73">
        <f t="shared" ref="E50:E53" si="18">IF(ISNUMBER(D50), (D50 - $B50) / $B50, "")</f>
        <v>-2.8409090909090908E-2</v>
      </c>
      <c r="F50" s="136">
        <f>IF(ISNUMBER(D50), $B64 * E50, "")</f>
        <v>-4261.363636363636</v>
      </c>
      <c r="G50" s="39">
        <v>17.5</v>
      </c>
      <c r="H50" s="73">
        <f t="shared" ref="H50:H53" si="19">IF(ISNUMBER(G50), (G50 - $B50) / $B50, "")</f>
        <v>-5.6818181818182618E-3</v>
      </c>
      <c r="I50" s="202">
        <f>IF(ISNUMBER(G50), $B64 * H50, "")</f>
        <v>-852.2727272727393</v>
      </c>
      <c r="J50" s="125">
        <v>17.100000000000001</v>
      </c>
      <c r="K50" s="73">
        <f t="shared" ref="K50:K53" si="20">IF(ISNUMBER(J50), (J50 - $B50) / $B50, "")</f>
        <v>-2.8409090909090908E-2</v>
      </c>
      <c r="L50" s="136">
        <f>IF(ISNUMBER(J50), $B64 * K50, "")</f>
        <v>-4261.363636363636</v>
      </c>
      <c r="M50" s="39">
        <v>17.3</v>
      </c>
      <c r="N50" s="73">
        <f t="shared" ref="N50:N53" si="21">IF(ISNUMBER(M50), (M50 - $B50) / $B50, "")</f>
        <v>-1.7045454545454586E-2</v>
      </c>
      <c r="O50" s="136">
        <f>IF(ISNUMBER(M50), $B64 * N50, "")</f>
        <v>-2556.8181818181879</v>
      </c>
      <c r="Q50" s="268"/>
      <c r="R50" s="268"/>
      <c r="S50" s="268"/>
    </row>
    <row r="51" spans="1:19" ht="17.25" customHeight="1" thickBot="1">
      <c r="A51" s="124" t="s">
        <v>72</v>
      </c>
      <c r="B51" s="125">
        <v>31.2</v>
      </c>
      <c r="C51" s="73">
        <v>-3.7037037000000002E-2</v>
      </c>
      <c r="D51" s="125">
        <v>30.2</v>
      </c>
      <c r="E51" s="73">
        <f t="shared" si="18"/>
        <v>-3.2051282051282055E-2</v>
      </c>
      <c r="F51" s="136">
        <f>IF(ISNUMBER(D51), $B64 * E51, "")</f>
        <v>-4807.6923076923085</v>
      </c>
      <c r="G51" s="39">
        <v>31.1</v>
      </c>
      <c r="H51" s="73">
        <f t="shared" si="19"/>
        <v>-3.2051282051281369E-3</v>
      </c>
      <c r="I51" s="202">
        <f>IF(ISNUMBER(G51), $B64 * H51, "")</f>
        <v>-480.76923076922054</v>
      </c>
      <c r="J51" s="125">
        <v>30.3</v>
      </c>
      <c r="K51" s="73">
        <f t="shared" si="20"/>
        <v>-2.8846153846153803E-2</v>
      </c>
      <c r="L51" s="136">
        <f>IF(ISNUMBER(J51), $B64 * K51, "")</f>
        <v>-4326.9230769230708</v>
      </c>
      <c r="M51" s="39">
        <v>30.4</v>
      </c>
      <c r="N51" s="73">
        <f t="shared" si="21"/>
        <v>-2.5641025641025664E-2</v>
      </c>
      <c r="O51" s="136">
        <f>IF(ISNUMBER(M51), $B64 * N51, "")</f>
        <v>-3846.1538461538498</v>
      </c>
      <c r="Q51" s="268"/>
      <c r="R51" s="268"/>
      <c r="S51" s="268"/>
    </row>
    <row r="52" spans="1:19" ht="17.25" customHeight="1" thickBot="1">
      <c r="A52" s="124" t="s">
        <v>214</v>
      </c>
      <c r="B52" s="125">
        <v>19.100000000000001</v>
      </c>
      <c r="C52" s="73">
        <v>-4.0201004999999998E-2</v>
      </c>
      <c r="D52" s="125">
        <v>20.6</v>
      </c>
      <c r="E52" s="73">
        <f t="shared" si="18"/>
        <v>7.8534031413612565E-2</v>
      </c>
      <c r="F52" s="136">
        <f>IF(ISNUMBER(D52), $B64 * E52, "")</f>
        <v>11780.104712041884</v>
      </c>
      <c r="G52" s="39">
        <v>20.100000000000001</v>
      </c>
      <c r="H52" s="73">
        <f t="shared" si="19"/>
        <v>5.235602094240837E-2</v>
      </c>
      <c r="I52" s="202">
        <f>IF(ISNUMBER(G52), $B64 * H52, "")</f>
        <v>7853.4031413612556</v>
      </c>
      <c r="J52" s="125">
        <v>19.399999999999999</v>
      </c>
      <c r="K52" s="73">
        <f t="shared" si="20"/>
        <v>1.5706806282722363E-2</v>
      </c>
      <c r="L52" s="136">
        <f>IF(ISNUMBER(J52), $B64 * K52, "")</f>
        <v>2356.0209424083546</v>
      </c>
      <c r="M52" s="39">
        <v>20.100000000000001</v>
      </c>
      <c r="N52" s="73">
        <f t="shared" si="21"/>
        <v>5.235602094240837E-2</v>
      </c>
      <c r="O52" s="136">
        <f>IF(ISNUMBER(M52), $B64 * N52, "")</f>
        <v>7853.4031413612556</v>
      </c>
      <c r="Q52" s="33"/>
      <c r="R52" s="33"/>
    </row>
    <row r="53" spans="1:19" ht="17.25" customHeight="1" thickBot="1">
      <c r="A53" s="129" t="s">
        <v>268</v>
      </c>
      <c r="B53" s="130">
        <v>79</v>
      </c>
      <c r="C53" s="75">
        <v>-4.2424242399999999E-2</v>
      </c>
      <c r="D53" s="130">
        <v>77.7</v>
      </c>
      <c r="E53" s="75">
        <f t="shared" si="18"/>
        <v>-1.6455696202531608E-2</v>
      </c>
      <c r="F53" s="137">
        <f>IF(ISNUMBER(D53), $B64 * E53, "")</f>
        <v>-2468.3544303797412</v>
      </c>
      <c r="G53" s="37">
        <v>78.099999999999994</v>
      </c>
      <c r="H53" s="75">
        <f t="shared" si="19"/>
        <v>-1.139240506329121E-2</v>
      </c>
      <c r="I53" s="207">
        <f>IF(ISNUMBER(G53), $B64 * H53, "")</f>
        <v>-1708.8607594936816</v>
      </c>
      <c r="J53" s="130">
        <v>77</v>
      </c>
      <c r="K53" s="75">
        <f t="shared" si="20"/>
        <v>-2.5316455696202531E-2</v>
      </c>
      <c r="L53" s="137">
        <f>IF(ISNUMBER(J53), $B64 * K53, "")</f>
        <v>-3797.4683544303798</v>
      </c>
      <c r="M53" s="37">
        <v>77.3</v>
      </c>
      <c r="N53" s="75">
        <f t="shared" si="21"/>
        <v>-2.1518987341772187E-2</v>
      </c>
      <c r="O53" s="137">
        <f>IF(ISNUMBER(M53), $B64 * N53, "")</f>
        <v>-3227.8481012658281</v>
      </c>
      <c r="Q53" s="269"/>
      <c r="R53" s="270"/>
      <c r="S53" s="271"/>
    </row>
    <row r="54" spans="1:19" ht="17.25" customHeight="1">
      <c r="A54" s="122" t="s">
        <v>198</v>
      </c>
      <c r="B54" s="123">
        <v>23.4</v>
      </c>
      <c r="C54" s="72">
        <v>-4.4897959199999997E-2</v>
      </c>
      <c r="D54" s="123">
        <v>23.3</v>
      </c>
      <c r="E54" s="72">
        <f>IF(ISNUMBER(D54), (D54 - $B54) / $B54, "")</f>
        <v>-4.2735042735041829E-3</v>
      </c>
      <c r="F54" s="140">
        <f>IF(ISNUMBER(D54), $B64 * E54, "")</f>
        <v>-641.02564102562746</v>
      </c>
      <c r="G54" s="38">
        <v>23.5</v>
      </c>
      <c r="H54" s="72">
        <f>IF(ISNUMBER(G54), (G54 - $B54) / $B54, "")</f>
        <v>4.2735042735043346E-3</v>
      </c>
      <c r="I54" s="201">
        <f>IF(ISNUMBER(G54), $B64 * H54, "")</f>
        <v>641.0256410256502</v>
      </c>
      <c r="J54" s="123">
        <v>23</v>
      </c>
      <c r="K54" s="72">
        <f>IF(ISNUMBER(J54), (J54 - $B54) / $B54, "")</f>
        <v>-1.7094017094017033E-2</v>
      </c>
      <c r="L54" s="140">
        <f>IF(ISNUMBER(J54), $B64 * K54, "")</f>
        <v>-2564.1025641025549</v>
      </c>
      <c r="M54" s="38">
        <v>23.1</v>
      </c>
      <c r="N54" s="72">
        <f>IF(ISNUMBER(M54), (M54 - $B54) / $B54, "")</f>
        <v>-1.28205128205127E-2</v>
      </c>
      <c r="O54" s="140">
        <f>IF(ISNUMBER(M54), $B64 * N54, "")</f>
        <v>-1923.0769230769051</v>
      </c>
      <c r="Q54" s="272"/>
      <c r="R54" s="273"/>
      <c r="S54" s="274"/>
    </row>
    <row r="55" spans="1:19" ht="17.25" customHeight="1" thickBot="1">
      <c r="A55" s="124" t="s">
        <v>266</v>
      </c>
      <c r="B55" s="125">
        <v>88</v>
      </c>
      <c r="C55" s="73">
        <v>-4.55531453E-2</v>
      </c>
      <c r="D55" s="125">
        <v>86.5</v>
      </c>
      <c r="E55" s="73">
        <f t="shared" ref="E55:E58" si="22">IF(ISNUMBER(D55), (D55 - $B55) / $B55, "")</f>
        <v>-1.7045454545454544E-2</v>
      </c>
      <c r="F55" s="136">
        <f>IF(ISNUMBER(D55), $B64 * E55, "")</f>
        <v>-2556.8181818181815</v>
      </c>
      <c r="G55" s="39">
        <v>87.5</v>
      </c>
      <c r="H55" s="73">
        <f t="shared" ref="H55:H58" si="23">IF(ISNUMBER(G55), (G55 - $B55) / $B55, "")</f>
        <v>-5.681818181818182E-3</v>
      </c>
      <c r="I55" s="202">
        <f>IF(ISNUMBER(G55), $B64 * H55, "")</f>
        <v>-852.27272727272725</v>
      </c>
      <c r="J55" s="125">
        <v>85.7</v>
      </c>
      <c r="K55" s="73">
        <f t="shared" ref="K55:K58" si="24">IF(ISNUMBER(J55), (J55 - $B55) / $B55, "")</f>
        <v>-2.6136363636363603E-2</v>
      </c>
      <c r="L55" s="136">
        <f>IF(ISNUMBER(J55), $B64 * K55, "")</f>
        <v>-3920.4545454545405</v>
      </c>
      <c r="M55" s="39">
        <v>85.9</v>
      </c>
      <c r="N55" s="73">
        <f t="shared" ref="N55:N58" si="25">IF(ISNUMBER(M55), (M55 - $B55) / $B55, "")</f>
        <v>-2.3863636363636299E-2</v>
      </c>
      <c r="O55" s="136">
        <f>IF(ISNUMBER(M55), $B64 * N55, "")</f>
        <v>-3579.545454545445</v>
      </c>
      <c r="Q55" s="275"/>
      <c r="R55" s="276"/>
      <c r="S55" s="277"/>
    </row>
    <row r="56" spans="1:19" ht="17.25" customHeight="1" thickBot="1">
      <c r="A56" s="124" t="s">
        <v>65</v>
      </c>
      <c r="B56" s="125">
        <v>61.6</v>
      </c>
      <c r="C56" s="73">
        <v>-4.6439628500000003E-2</v>
      </c>
      <c r="D56" s="125">
        <v>61.6</v>
      </c>
      <c r="E56" s="73">
        <f t="shared" si="22"/>
        <v>0</v>
      </c>
      <c r="F56" s="136">
        <f>IF(ISNUMBER(D56), $B64 * E56, "")</f>
        <v>0</v>
      </c>
      <c r="G56" s="39">
        <v>64.3</v>
      </c>
      <c r="H56" s="73">
        <f t="shared" si="23"/>
        <v>4.3831168831168763E-2</v>
      </c>
      <c r="I56" s="202">
        <f>IF(ISNUMBER(G56), $B64 * H56, "")</f>
        <v>6574.6753246753142</v>
      </c>
      <c r="J56" s="125">
        <v>62.8</v>
      </c>
      <c r="K56" s="73">
        <f t="shared" si="24"/>
        <v>1.9480519480519411E-2</v>
      </c>
      <c r="L56" s="136">
        <f>IF(ISNUMBER(J56), $B64 * K56, "")</f>
        <v>2922.0779220779118</v>
      </c>
      <c r="M56" s="39">
        <v>62.5</v>
      </c>
      <c r="N56" s="73">
        <f t="shared" si="25"/>
        <v>1.4610389610389588E-2</v>
      </c>
      <c r="O56" s="136">
        <f>IF(ISNUMBER(M56), $B64 * N56, "")</f>
        <v>2191.5584415584381</v>
      </c>
      <c r="Q56" s="268"/>
      <c r="R56" s="268"/>
      <c r="S56" s="268"/>
    </row>
    <row r="57" spans="1:19" ht="17.25" customHeight="1" thickBot="1">
      <c r="A57" s="124" t="s">
        <v>222</v>
      </c>
      <c r="B57" s="125">
        <v>15.7</v>
      </c>
      <c r="C57" s="73">
        <v>-4.8484848499999997E-2</v>
      </c>
      <c r="D57" s="125">
        <v>15.4</v>
      </c>
      <c r="E57" s="73">
        <f t="shared" si="22"/>
        <v>-1.9108280254777003E-2</v>
      </c>
      <c r="F57" s="136">
        <f>IF(ISNUMBER(D57), $B64 * E57, "")</f>
        <v>-2866.2420382165506</v>
      </c>
      <c r="G57" s="39">
        <v>15.7</v>
      </c>
      <c r="H57" s="73">
        <f t="shared" si="23"/>
        <v>0</v>
      </c>
      <c r="I57" s="202">
        <f>IF(ISNUMBER(G57), $B64 * H57, "")</f>
        <v>0</v>
      </c>
      <c r="J57" s="125">
        <v>15.4</v>
      </c>
      <c r="K57" s="73">
        <f t="shared" si="24"/>
        <v>-1.9108280254777003E-2</v>
      </c>
      <c r="L57" s="136">
        <f>IF(ISNUMBER(J57), $B64 * K57, "")</f>
        <v>-2866.2420382165506</v>
      </c>
      <c r="M57" s="39">
        <v>15.5</v>
      </c>
      <c r="N57" s="73">
        <f t="shared" si="25"/>
        <v>-1.2738853503184669E-2</v>
      </c>
      <c r="O57" s="136">
        <f>IF(ISNUMBER(M57), $B64 * N57, "")</f>
        <v>-1910.8280254777003</v>
      </c>
      <c r="Q57" s="278"/>
      <c r="R57" s="278"/>
      <c r="S57" s="278"/>
    </row>
    <row r="58" spans="1:19" ht="17.25" customHeight="1" thickBot="1">
      <c r="A58" s="126" t="s">
        <v>228</v>
      </c>
      <c r="B58" s="127">
        <v>15.4</v>
      </c>
      <c r="C58" s="74">
        <v>-4.9382716E-2</v>
      </c>
      <c r="D58" s="127">
        <v>15.1</v>
      </c>
      <c r="E58" s="74">
        <f t="shared" si="22"/>
        <v>-1.9480519480519525E-2</v>
      </c>
      <c r="F58" s="203">
        <f>IF(ISNUMBER(D58), $B64 * E58, "")</f>
        <v>-2922.0779220779286</v>
      </c>
      <c r="G58" s="44">
        <v>15.4</v>
      </c>
      <c r="H58" s="74">
        <f t="shared" si="23"/>
        <v>0</v>
      </c>
      <c r="I58" s="204">
        <f>IF(ISNUMBER(G58), $B64 * H58, "")</f>
        <v>0</v>
      </c>
      <c r="J58" s="127">
        <v>15.1</v>
      </c>
      <c r="K58" s="74">
        <f t="shared" si="24"/>
        <v>-1.9480519480519525E-2</v>
      </c>
      <c r="L58" s="203">
        <f>IF(ISNUMBER(J58), $B64 * K58, "")</f>
        <v>-2922.0779220779286</v>
      </c>
      <c r="M58" s="44">
        <v>15.1</v>
      </c>
      <c r="N58" s="74">
        <f t="shared" si="25"/>
        <v>-1.9480519480519525E-2</v>
      </c>
      <c r="O58" s="203">
        <f>IF(ISNUMBER(M58), $B64 * N58, "")</f>
        <v>-2922.0779220779286</v>
      </c>
      <c r="Q58" s="278"/>
      <c r="R58" s="278"/>
      <c r="S58" s="278"/>
    </row>
    <row r="59" spans="1:19" ht="17.25" customHeight="1" thickBot="1">
      <c r="A59" s="124" t="s">
        <v>152</v>
      </c>
      <c r="B59" s="128">
        <v>37.9</v>
      </c>
      <c r="C59" s="76">
        <v>-5.2499999999999998E-2</v>
      </c>
      <c r="D59" s="128">
        <v>37.1</v>
      </c>
      <c r="E59" s="76">
        <f>IF(ISNUMBER(D59), (D59 - $B59) / $B59, "")</f>
        <v>-2.1108179419524992E-2</v>
      </c>
      <c r="F59" s="205">
        <f>IF(ISNUMBER(D59), $B64 * E59, "")</f>
        <v>-3166.2269129287488</v>
      </c>
      <c r="G59" s="45">
        <v>38.9</v>
      </c>
      <c r="H59" s="76">
        <f>IF(ISNUMBER(G59), (G59 - $B59) / $B59, "")</f>
        <v>2.6385224274406333E-2</v>
      </c>
      <c r="I59" s="206">
        <f>IF(ISNUMBER(G59), $B64 * H59, "")</f>
        <v>3957.7836411609501</v>
      </c>
      <c r="J59" s="128">
        <v>37.200000000000003</v>
      </c>
      <c r="K59" s="76">
        <f>IF(ISNUMBER(J59), (J59 - $B59) / $B59, "")</f>
        <v>-1.8469656992084322E-2</v>
      </c>
      <c r="L59" s="205">
        <f>IF(ISNUMBER(J59), $B64 * K59, "")</f>
        <v>-2770.4485488126484</v>
      </c>
      <c r="M59" s="45">
        <v>37.1</v>
      </c>
      <c r="N59" s="76">
        <f>IF(ISNUMBER(M59), (M59 - $B59) / $B59, "")</f>
        <v>-2.1108179419524992E-2</v>
      </c>
      <c r="O59" s="205">
        <f>IF(ISNUMBER(M59), $B64 * N59, "")</f>
        <v>-3166.2269129287488</v>
      </c>
      <c r="Q59" s="268"/>
      <c r="R59" s="268"/>
      <c r="S59" s="268"/>
    </row>
    <row r="60" spans="1:19" ht="17.25" customHeight="1" thickBot="1">
      <c r="A60" s="124" t="s">
        <v>218</v>
      </c>
      <c r="B60" s="125">
        <v>23</v>
      </c>
      <c r="C60" s="73">
        <v>-5.3497942399999998E-2</v>
      </c>
      <c r="D60" s="125">
        <v>22.6</v>
      </c>
      <c r="E60" s="73">
        <f t="shared" ref="E60:E63" si="26">IF(ISNUMBER(D60), (D60 - $B60) / $B60, "")</f>
        <v>-1.7391304347826025E-2</v>
      </c>
      <c r="F60" s="136">
        <f>IF(ISNUMBER(D60), $B64 * E60, "")</f>
        <v>-2608.6956521739039</v>
      </c>
      <c r="G60" s="39">
        <v>23.1</v>
      </c>
      <c r="H60" s="73">
        <f t="shared" ref="H60:H63" si="27">IF(ISNUMBER(G60), (G60 - $B60) / $B60, "")</f>
        <v>4.3478260869565834E-3</v>
      </c>
      <c r="I60" s="202">
        <f>IF(ISNUMBER(G60), $B64 * H60, "")</f>
        <v>652.17391304348746</v>
      </c>
      <c r="J60" s="125">
        <v>22.5</v>
      </c>
      <c r="K60" s="73">
        <f t="shared" ref="K60:K63" si="28">IF(ISNUMBER(J60), (J60 - $B60) / $B60, "")</f>
        <v>-2.1739130434782608E-2</v>
      </c>
      <c r="L60" s="136">
        <f>IF(ISNUMBER(J60), $B64 * K60, "")</f>
        <v>-3260.869565217391</v>
      </c>
      <c r="M60" s="39">
        <v>22.6</v>
      </c>
      <c r="N60" s="73">
        <f t="shared" ref="N60:N63" si="29">IF(ISNUMBER(M60), (M60 - $B60) / $B60, "")</f>
        <v>-1.7391304347826025E-2</v>
      </c>
      <c r="O60" s="136">
        <f>IF(ISNUMBER(M60), $B64 * N60, "")</f>
        <v>-2608.6956521739039</v>
      </c>
      <c r="Q60" s="268"/>
      <c r="R60" s="268"/>
      <c r="S60" s="268"/>
    </row>
    <row r="61" spans="1:19" ht="17.25" customHeight="1" thickBot="1">
      <c r="A61" s="124" t="s">
        <v>172</v>
      </c>
      <c r="B61" s="125">
        <v>22.5</v>
      </c>
      <c r="C61" s="73">
        <v>-6.25E-2</v>
      </c>
      <c r="D61" s="125">
        <v>22</v>
      </c>
      <c r="E61" s="73">
        <f t="shared" si="26"/>
        <v>-2.2222222222222223E-2</v>
      </c>
      <c r="F61" s="136">
        <f>IF(ISNUMBER(D61), $B64 * E61, "")</f>
        <v>-3333.3333333333335</v>
      </c>
      <c r="G61" s="39">
        <v>22.6</v>
      </c>
      <c r="H61" s="73">
        <f t="shared" si="27"/>
        <v>4.4444444444445078E-3</v>
      </c>
      <c r="I61" s="202">
        <f>IF(ISNUMBER(G61), $B64 * H61, "")</f>
        <v>666.66666666667618</v>
      </c>
      <c r="J61" s="125">
        <v>21.9</v>
      </c>
      <c r="K61" s="73">
        <f t="shared" si="28"/>
        <v>-2.6666666666666731E-2</v>
      </c>
      <c r="L61" s="136">
        <f>IF(ISNUMBER(J61), $B64 * K61, "")</f>
        <v>-4000.0000000000095</v>
      </c>
      <c r="M61" s="39">
        <v>22</v>
      </c>
      <c r="N61" s="73">
        <f t="shared" si="29"/>
        <v>-2.2222222222222223E-2</v>
      </c>
      <c r="O61" s="136">
        <f>IF(ISNUMBER(M61), $B64 * N61, "")</f>
        <v>-3333.3333333333335</v>
      </c>
      <c r="Q61" s="268"/>
      <c r="R61" s="268"/>
      <c r="S61" s="268"/>
    </row>
    <row r="62" spans="1:19" ht="17.25" customHeight="1">
      <c r="A62" s="124" t="s">
        <v>186</v>
      </c>
      <c r="B62" s="125">
        <v>22.4</v>
      </c>
      <c r="C62" s="73">
        <v>-7.4380165299999995E-2</v>
      </c>
      <c r="D62" s="125">
        <v>21.8</v>
      </c>
      <c r="E62" s="73">
        <f t="shared" si="26"/>
        <v>-2.6785714285714191E-2</v>
      </c>
      <c r="F62" s="136">
        <f>IF(ISNUMBER(D62), $B64 * E62, "")</f>
        <v>-4017.8571428571286</v>
      </c>
      <c r="G62" s="39">
        <v>22.3</v>
      </c>
      <c r="H62" s="73">
        <f t="shared" si="27"/>
        <v>-4.4642857142856195E-3</v>
      </c>
      <c r="I62" s="202">
        <f>IF(ISNUMBER(G62), $B64 * H62, "")</f>
        <v>-669.6428571428429</v>
      </c>
      <c r="J62" s="125">
        <v>22.6</v>
      </c>
      <c r="K62" s="73">
        <f t="shared" si="28"/>
        <v>8.9285714285715564E-3</v>
      </c>
      <c r="L62" s="136">
        <f>IF(ISNUMBER(J62), $B64 * K62, "")</f>
        <v>1339.2857142857335</v>
      </c>
      <c r="M62" s="39">
        <v>23</v>
      </c>
      <c r="N62" s="73">
        <f t="shared" si="29"/>
        <v>2.678571428571435E-2</v>
      </c>
      <c r="O62" s="136">
        <f>IF(ISNUMBER(M62), $B64 * N62, "")</f>
        <v>4017.8571428571527</v>
      </c>
      <c r="Q62" s="257"/>
      <c r="R62" s="258"/>
      <c r="S62" s="259"/>
    </row>
    <row r="63" spans="1:19" ht="17.25" customHeight="1" thickBot="1">
      <c r="A63" s="129" t="s">
        <v>303</v>
      </c>
      <c r="B63" s="130">
        <v>142</v>
      </c>
      <c r="C63" s="75">
        <v>-2.7400000000000001E-2</v>
      </c>
      <c r="D63" s="130">
        <v>141</v>
      </c>
      <c r="E63" s="75">
        <f t="shared" si="26"/>
        <v>-7.0422535211267607E-3</v>
      </c>
      <c r="F63" s="137">
        <f>IF(ISNUMBER(D63), $B64 * E63, "")</f>
        <v>-1056.338028169014</v>
      </c>
      <c r="G63" s="37">
        <v>144</v>
      </c>
      <c r="H63" s="75">
        <f t="shared" si="27"/>
        <v>1.4084507042253521E-2</v>
      </c>
      <c r="I63" s="207">
        <f>IF(ISNUMBER(G63), $B64 * H63, "")</f>
        <v>2112.676056338028</v>
      </c>
      <c r="J63" s="130">
        <v>140</v>
      </c>
      <c r="K63" s="75">
        <f t="shared" si="28"/>
        <v>-1.4084507042253521E-2</v>
      </c>
      <c r="L63" s="137">
        <f>IF(ISNUMBER(J63), $B64 * K63, "")</f>
        <v>-2112.676056338028</v>
      </c>
      <c r="M63" s="37">
        <v>141</v>
      </c>
      <c r="N63" s="75">
        <f t="shared" si="29"/>
        <v>-7.0422535211267607E-3</v>
      </c>
      <c r="O63" s="137">
        <f>IF(ISNUMBER(M63), $B64 * N63, "")</f>
        <v>-1056.338028169014</v>
      </c>
      <c r="Q63" s="260"/>
      <c r="R63" s="261"/>
      <c r="S63" s="262"/>
    </row>
    <row r="64" spans="1:19" ht="17.25" customHeight="1" thickBot="1">
      <c r="A64" s="131" t="s">
        <v>301</v>
      </c>
      <c r="B64" s="330">
        <f>$B$37</f>
        <v>150000</v>
      </c>
      <c r="C64" s="331"/>
      <c r="D64" s="131" t="s">
        <v>302</v>
      </c>
      <c r="E64" s="244">
        <f>IF(COUNT(E44:E63), SUM(E44:E63) / COUNT(E44:E63), 0)</f>
        <v>-1.0609556175284567E-2</v>
      </c>
      <c r="F64" s="208">
        <f>SUM(F44:F63)</f>
        <v>-31828.668525853707</v>
      </c>
      <c r="G64" s="131" t="s">
        <v>302</v>
      </c>
      <c r="H64" s="244">
        <f>IF(COUNT(H44:H63), SUM(H44:H63) / COUNT(H44:H63), 0)</f>
        <v>8.3940766813068099E-3</v>
      </c>
      <c r="I64" s="208">
        <f>SUM(I44:I63)</f>
        <v>25182.230043920423</v>
      </c>
      <c r="J64" s="131" t="s">
        <v>302</v>
      </c>
      <c r="K64" s="244">
        <f>IF(COUNT(K44:K63), SUM(K44:K63) / COUNT(K44:K63), 0)</f>
        <v>-1.6184575347946858E-2</v>
      </c>
      <c r="L64" s="208">
        <f>SUM(L44:L63)</f>
        <v>-48553.726043840586</v>
      </c>
      <c r="M64" s="131" t="s">
        <v>302</v>
      </c>
      <c r="N64" s="244">
        <f>IF(COUNT(N44:N63), SUM(N44:N63) / COUNT(N44:N63), 0)</f>
        <v>-1.1333457948673015E-2</v>
      </c>
      <c r="O64" s="208">
        <f>SUM(O44:O63)</f>
        <v>-34000.373846019043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41" t="s">
        <v>298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55555000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-3.6323266700000002E-2</v>
      </c>
      <c r="N68" s="286"/>
      <c r="O68" s="287"/>
      <c r="Q68" s="278"/>
      <c r="R68" s="278"/>
      <c r="S68" s="278"/>
    </row>
    <row r="69" spans="1:19" ht="17.25" thickBot="1">
      <c r="A69" s="332" t="s">
        <v>55</v>
      </c>
      <c r="B69" s="328" t="str">
        <f>TEXT($G$1, "[$-ko-KR]yyyy-mm-dd(ddd) ") &amp; "오전 00:00"</f>
        <v>2021-05-16(일) 오전 00:00</v>
      </c>
      <c r="C69" s="329"/>
      <c r="D69" s="279" t="str">
        <f>TEXT($G$1, "[$-ko-KR]yyyy-mm-dd(ddd) ") &amp; "오후 14:00"</f>
        <v>2021-05-16(일) 오후 14:00</v>
      </c>
      <c r="E69" s="280"/>
      <c r="F69" s="281"/>
      <c r="G69" s="279" t="str">
        <f>TEXT($G$1, "[$-ko-KR]yyyy-mm-dd(ddd) ") &amp; "오후 19:00"</f>
        <v>2021-05-16(일) 오후 19:00</v>
      </c>
      <c r="H69" s="280"/>
      <c r="I69" s="281"/>
      <c r="J69" s="279" t="str">
        <f>TEXT($G$1, "[$-ko-KR]yyyy-mm-dd(ddd) ") &amp; "오후 21:00"</f>
        <v>2021-05-16(일) 오후 21:00</v>
      </c>
      <c r="K69" s="280"/>
      <c r="L69" s="281"/>
      <c r="M69" s="279" t="str">
        <f>TEXT($G$1+1, "[$-ko-KR]yyyy-mm-dd(ddd) ") &amp; "오전 00:00"</f>
        <v>2021-05-17(월) 오전 00:00</v>
      </c>
      <c r="N69" s="280"/>
      <c r="O69" s="281"/>
      <c r="Q69" s="278"/>
      <c r="R69" s="278"/>
      <c r="S69" s="278"/>
    </row>
    <row r="70" spans="1:19" ht="17.25" thickBot="1">
      <c r="A70" s="333"/>
      <c r="B70" s="120" t="s">
        <v>58</v>
      </c>
      <c r="C70" s="121" t="s">
        <v>59</v>
      </c>
      <c r="D70" s="120" t="s">
        <v>58</v>
      </c>
      <c r="E70" s="121" t="s">
        <v>299</v>
      </c>
      <c r="F70" s="248" t="s">
        <v>300</v>
      </c>
      <c r="G70" s="241" t="s">
        <v>58</v>
      </c>
      <c r="H70" s="242" t="s">
        <v>299</v>
      </c>
      <c r="I70" s="243" t="s">
        <v>300</v>
      </c>
      <c r="J70" s="121" t="s">
        <v>58</v>
      </c>
      <c r="K70" s="121" t="s">
        <v>299</v>
      </c>
      <c r="L70" s="246" t="s">
        <v>300</v>
      </c>
      <c r="M70" s="120" t="s">
        <v>58</v>
      </c>
      <c r="N70" s="121" t="s">
        <v>299</v>
      </c>
      <c r="O70" s="247" t="s">
        <v>300</v>
      </c>
      <c r="Q70" s="268"/>
      <c r="R70" s="268"/>
      <c r="S70" s="268"/>
    </row>
    <row r="71" spans="1:19" ht="17.25" thickBot="1">
      <c r="A71" s="122" t="s">
        <v>88</v>
      </c>
      <c r="B71" s="123">
        <v>588</v>
      </c>
      <c r="C71" s="72">
        <v>9.0909090900000003E-2</v>
      </c>
      <c r="D71" s="123">
        <v>585</v>
      </c>
      <c r="E71" s="72">
        <f>IF(ISNUMBER(D71), (D71 - $B71) / $B71, "")</f>
        <v>-5.1020408163265302E-3</v>
      </c>
      <c r="F71" s="140">
        <f>IF(ISNUMBER(D71), $B91 * E71, "")</f>
        <v>-765.30612244897952</v>
      </c>
      <c r="G71" s="38">
        <v>571</v>
      </c>
      <c r="H71" s="72">
        <f>IF(ISNUMBER(G71), (G71 - $B71) / $B71, "")</f>
        <v>-2.8911564625850341E-2</v>
      </c>
      <c r="I71" s="201">
        <f>IF(ISNUMBER(G71), $B91 * H71, "")</f>
        <v>-4336.7346938775509</v>
      </c>
      <c r="J71" s="123">
        <v>554</v>
      </c>
      <c r="K71" s="72">
        <f>IF(ISNUMBER(J71), (J71 - $B71) / $B71, "")</f>
        <v>-5.7823129251700682E-2</v>
      </c>
      <c r="L71" s="140">
        <f>IF(ISNUMBER(J71), $B91 * K71, "")</f>
        <v>-8673.4693877551017</v>
      </c>
      <c r="M71" s="38">
        <v>553</v>
      </c>
      <c r="N71" s="72">
        <f>IF(ISNUMBER(M71), (M71 - $B71) / $B71, "")</f>
        <v>-5.9523809523809521E-2</v>
      </c>
      <c r="O71" s="140">
        <f>IF(ISNUMBER(M71), $B91 * N71, "")</f>
        <v>-8928.5714285714275</v>
      </c>
      <c r="Q71" s="278"/>
      <c r="R71" s="278"/>
      <c r="S71" s="278"/>
    </row>
    <row r="72" spans="1:19" ht="17.25" thickBot="1">
      <c r="A72" s="124" t="s">
        <v>116</v>
      </c>
      <c r="B72" s="125">
        <v>588</v>
      </c>
      <c r="C72" s="73">
        <v>8.2872928200000001E-2</v>
      </c>
      <c r="D72" s="125">
        <v>540</v>
      </c>
      <c r="E72" s="73">
        <f t="shared" ref="E72:E75" si="30">IF(ISNUMBER(D72), (D72 - $B72) / $B72, "")</f>
        <v>-8.1632653061224483E-2</v>
      </c>
      <c r="F72" s="136">
        <f>IF(ISNUMBER(D72), $B91 * E72, "")</f>
        <v>-12244.897959183672</v>
      </c>
      <c r="G72" s="39">
        <v>564</v>
      </c>
      <c r="H72" s="73">
        <f t="shared" ref="H72:H75" si="31">IF(ISNUMBER(G72), (G72 - $B72) / $B72, "")</f>
        <v>-4.0816326530612242E-2</v>
      </c>
      <c r="I72" s="202">
        <f>IF(ISNUMBER(G72), $B91 * H72, "")</f>
        <v>-6122.4489795918362</v>
      </c>
      <c r="J72" s="125">
        <v>545</v>
      </c>
      <c r="K72" s="73">
        <f t="shared" ref="K72:K75" si="32">IF(ISNUMBER(J72), (J72 - $B72) / $B72, "")</f>
        <v>-7.312925170068027E-2</v>
      </c>
      <c r="L72" s="136">
        <f>IF(ISNUMBER(J72), $B91 * K72, "")</f>
        <v>-10969.387755102041</v>
      </c>
      <c r="M72" s="39">
        <v>541</v>
      </c>
      <c r="N72" s="73">
        <f t="shared" ref="N72:N75" si="33">IF(ISNUMBER(M72), (M72 - $B72) / $B72, "")</f>
        <v>-7.9931972789115652E-2</v>
      </c>
      <c r="O72" s="136">
        <f>IF(ISNUMBER(M72), $B91 * N72, "")</f>
        <v>-11989.795918367348</v>
      </c>
      <c r="Q72" s="278"/>
      <c r="R72" s="278"/>
      <c r="S72" s="278"/>
    </row>
    <row r="73" spans="1:19" ht="17.25" thickBot="1">
      <c r="A73" s="124" t="s">
        <v>51</v>
      </c>
      <c r="B73" s="125">
        <v>888</v>
      </c>
      <c r="C73" s="73">
        <v>7.7669902900000004E-2</v>
      </c>
      <c r="D73" s="125">
        <v>930</v>
      </c>
      <c r="E73" s="73">
        <f t="shared" si="30"/>
        <v>4.72972972972973E-2</v>
      </c>
      <c r="F73" s="136">
        <f>IF(ISNUMBER(D73), $B91 * E73, "")</f>
        <v>7094.594594594595</v>
      </c>
      <c r="G73" s="39">
        <v>940</v>
      </c>
      <c r="H73" s="73">
        <f t="shared" si="31"/>
        <v>5.8558558558558557E-2</v>
      </c>
      <c r="I73" s="202">
        <f>IF(ISNUMBER(G73), $B91 * H73, "")</f>
        <v>8783.7837837837833</v>
      </c>
      <c r="J73" s="125">
        <v>916</v>
      </c>
      <c r="K73" s="73">
        <f t="shared" si="32"/>
        <v>3.1531531531531529E-2</v>
      </c>
      <c r="L73" s="136">
        <f>IF(ISNUMBER(J73), $B91 * K73, "")</f>
        <v>4729.7297297297291</v>
      </c>
      <c r="M73" s="39">
        <v>921</v>
      </c>
      <c r="N73" s="73">
        <f t="shared" si="33"/>
        <v>3.7162162162162164E-2</v>
      </c>
      <c r="O73" s="136">
        <f>IF(ISNUMBER(M73), $B91 * N73, "")</f>
        <v>5574.3243243243251</v>
      </c>
      <c r="Q73" s="268"/>
      <c r="R73" s="268"/>
      <c r="S73" s="268"/>
    </row>
    <row r="74" spans="1:19" ht="17.25" thickBot="1">
      <c r="A74" s="124" t="s">
        <v>246</v>
      </c>
      <c r="B74" s="125">
        <v>346</v>
      </c>
      <c r="C74" s="73">
        <v>5.4878048800000002E-2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343</v>
      </c>
      <c r="H74" s="73">
        <f t="shared" si="31"/>
        <v>-8.670520231213872E-3</v>
      </c>
      <c r="I74" s="202">
        <f>IF(ISNUMBER(G74), $B91 * H74, "")</f>
        <v>-1300.5780346820809</v>
      </c>
      <c r="J74" s="125">
        <v>331</v>
      </c>
      <c r="K74" s="73">
        <f t="shared" si="32"/>
        <v>-4.3352601156069363E-2</v>
      </c>
      <c r="L74" s="136">
        <f>IF(ISNUMBER(J74), $B91 * K74, "")</f>
        <v>-6502.8901734104047</v>
      </c>
      <c r="M74" s="39">
        <v>330</v>
      </c>
      <c r="N74" s="73">
        <f t="shared" si="33"/>
        <v>-4.6242774566473986E-2</v>
      </c>
      <c r="O74" s="136">
        <f>IF(ISNUMBER(M74), $B91 * N74, "")</f>
        <v>-6936.4161849710981</v>
      </c>
      <c r="Q74" s="268"/>
      <c r="R74" s="268"/>
      <c r="S74" s="268"/>
    </row>
    <row r="75" spans="1:19" ht="17.25" thickBot="1">
      <c r="A75" s="126" t="s">
        <v>168</v>
      </c>
      <c r="B75" s="127">
        <v>211</v>
      </c>
      <c r="C75" s="74">
        <v>4.4554455399999998E-2</v>
      </c>
      <c r="D75" s="127">
        <v>210</v>
      </c>
      <c r="E75" s="74">
        <f t="shared" si="30"/>
        <v>-4.7393364928909956E-3</v>
      </c>
      <c r="F75" s="203">
        <f>IF(ISNUMBER(D75), $B91 * E75, "")</f>
        <v>-710.90047393364932</v>
      </c>
      <c r="G75" s="44">
        <v>219</v>
      </c>
      <c r="H75" s="74">
        <f t="shared" si="31"/>
        <v>3.7914691943127965E-2</v>
      </c>
      <c r="I75" s="204">
        <f>IF(ISNUMBER(G75), $B91 * H75, "")</f>
        <v>5687.2037914691946</v>
      </c>
      <c r="J75" s="127">
        <v>214</v>
      </c>
      <c r="K75" s="74">
        <f t="shared" si="32"/>
        <v>1.4218009478672985E-2</v>
      </c>
      <c r="L75" s="203">
        <f>IF(ISNUMBER(J75), $B91 * K75, "")</f>
        <v>2132.7014218009476</v>
      </c>
      <c r="M75" s="44">
        <v>218</v>
      </c>
      <c r="N75" s="74">
        <f t="shared" si="33"/>
        <v>3.3175355450236969E-2</v>
      </c>
      <c r="O75" s="203">
        <f>IF(ISNUMBER(M75), $B91 * N75, "")</f>
        <v>4976.3033175355458</v>
      </c>
      <c r="Q75" s="268"/>
      <c r="R75" s="268"/>
      <c r="S75" s="268"/>
    </row>
    <row r="76" spans="1:19" ht="17.25" thickBot="1">
      <c r="A76" s="124" t="s">
        <v>230</v>
      </c>
      <c r="B76" s="128">
        <v>155</v>
      </c>
      <c r="C76" s="76">
        <v>4.0268456399999999E-2</v>
      </c>
      <c r="D76" s="128">
        <v>153</v>
      </c>
      <c r="E76" s="76">
        <f>IF(ISNUMBER(D76), (D76 - $B76) / $B76, "")</f>
        <v>-1.2903225806451613E-2</v>
      </c>
      <c r="F76" s="205">
        <f>IF(ISNUMBER(D76), $B91 * E76, "")</f>
        <v>-1935.483870967742</v>
      </c>
      <c r="G76" s="45">
        <v>156</v>
      </c>
      <c r="H76" s="76">
        <f>IF(ISNUMBER(G76), (G76 - $B76) / $B76, "")</f>
        <v>6.4516129032258064E-3</v>
      </c>
      <c r="I76" s="206">
        <f>IF(ISNUMBER(G76), $B91 * H76, "")</f>
        <v>967.74193548387098</v>
      </c>
      <c r="J76" s="128">
        <v>153</v>
      </c>
      <c r="K76" s="76">
        <f>IF(ISNUMBER(J76), (J76 - $B76) / $B76, "")</f>
        <v>-1.2903225806451613E-2</v>
      </c>
      <c r="L76" s="205">
        <f>IF(ISNUMBER(J76), $B91 * K76, "")</f>
        <v>-1935.483870967742</v>
      </c>
      <c r="M76" s="45">
        <v>152</v>
      </c>
      <c r="N76" s="76">
        <f>IF(ISNUMBER(M76), (M76 - $B76) / $B76, "")</f>
        <v>-1.935483870967742E-2</v>
      </c>
      <c r="O76" s="205">
        <f>IF(ISNUMBER(M76), $B91 * N76, "")</f>
        <v>-2903.2258064516132</v>
      </c>
      <c r="Q76" s="268"/>
      <c r="R76" s="268"/>
      <c r="S76" s="268"/>
    </row>
    <row r="77" spans="1:19" ht="17.25" thickBot="1">
      <c r="A77" s="124" t="s">
        <v>226</v>
      </c>
      <c r="B77" s="125">
        <v>446</v>
      </c>
      <c r="C77" s="73">
        <v>2.0594965699999999E-2</v>
      </c>
      <c r="D77" s="125">
        <v>429</v>
      </c>
      <c r="E77" s="73">
        <f t="shared" ref="E77:E80" si="34">IF(ISNUMBER(D77), (D77 - $B77) / $B77, "")</f>
        <v>-3.811659192825112E-2</v>
      </c>
      <c r="F77" s="136">
        <f>IF(ISNUMBER(D77), $B91 * E77, "")</f>
        <v>-5717.4887892376682</v>
      </c>
      <c r="G77" s="39">
        <v>444</v>
      </c>
      <c r="H77" s="73">
        <f t="shared" ref="H77:H80" si="35">IF(ISNUMBER(G77), (G77 - $B77) / $B77, "")</f>
        <v>-4.4843049327354259E-3</v>
      </c>
      <c r="I77" s="202">
        <f>IF(ISNUMBER(G77), $B91 * H77, "")</f>
        <v>-672.64573991031386</v>
      </c>
      <c r="J77" s="125">
        <v>434</v>
      </c>
      <c r="K77" s="73">
        <f t="shared" ref="K77:K80" si="36">IF(ISNUMBER(J77), (J77 - $B77) / $B77, "")</f>
        <v>-2.6905829596412557E-2</v>
      </c>
      <c r="L77" s="136">
        <f>IF(ISNUMBER(J77), $B91 * K77, "")</f>
        <v>-4035.8744394618834</v>
      </c>
      <c r="M77" s="39">
        <v>436</v>
      </c>
      <c r="N77" s="73">
        <f t="shared" ref="N77:N80" si="37">IF(ISNUMBER(M77), (M77 - $B77) / $B77, "")</f>
        <v>-2.2421524663677129E-2</v>
      </c>
      <c r="O77" s="136">
        <f>IF(ISNUMBER(M77), $B91 * N77, "")</f>
        <v>-3363.2286995515692</v>
      </c>
      <c r="Q77" s="268"/>
      <c r="R77" s="268"/>
      <c r="S77" s="268"/>
    </row>
    <row r="78" spans="1:19" ht="17.25" thickBot="1">
      <c r="A78" s="124" t="s">
        <v>210</v>
      </c>
      <c r="B78" s="125">
        <v>171</v>
      </c>
      <c r="C78" s="73">
        <v>1.7857142900000001E-2</v>
      </c>
      <c r="D78" s="125">
        <v>163</v>
      </c>
      <c r="E78" s="73">
        <f t="shared" si="34"/>
        <v>-4.6783625730994149E-2</v>
      </c>
      <c r="F78" s="136">
        <f>IF(ISNUMBER(D78), $B91 * E78, "")</f>
        <v>-7017.5438596491222</v>
      </c>
      <c r="G78" s="39">
        <v>168</v>
      </c>
      <c r="H78" s="73">
        <f t="shared" si="35"/>
        <v>-1.7543859649122806E-2</v>
      </c>
      <c r="I78" s="202">
        <f>IF(ISNUMBER(G78), $B91 * H78, "")</f>
        <v>-2631.5789473684208</v>
      </c>
      <c r="J78" s="125">
        <v>162</v>
      </c>
      <c r="K78" s="73">
        <f t="shared" si="36"/>
        <v>-5.2631578947368418E-2</v>
      </c>
      <c r="L78" s="136">
        <f>IF(ISNUMBER(J78), $B91 * K78, "")</f>
        <v>-7894.7368421052624</v>
      </c>
      <c r="M78" s="39">
        <v>163</v>
      </c>
      <c r="N78" s="73">
        <f t="shared" si="37"/>
        <v>-4.6783625730994149E-2</v>
      </c>
      <c r="O78" s="136">
        <f>IF(ISNUMBER(M78), $B91 * N78, "")</f>
        <v>-7017.5438596491222</v>
      </c>
      <c r="Q78" s="268"/>
      <c r="R78" s="268"/>
      <c r="S78" s="268"/>
    </row>
    <row r="79" spans="1:19" ht="17.25" thickBot="1">
      <c r="A79" s="124" t="s">
        <v>260</v>
      </c>
      <c r="B79" s="125">
        <v>131</v>
      </c>
      <c r="C79" s="73">
        <v>1.5503876E-2</v>
      </c>
      <c r="D79" s="125">
        <v>125</v>
      </c>
      <c r="E79" s="73">
        <f t="shared" si="34"/>
        <v>-4.5801526717557252E-2</v>
      </c>
      <c r="F79" s="136">
        <f>IF(ISNUMBER(D79), $B91 * E79, "")</f>
        <v>-6870.2290076335876</v>
      </c>
      <c r="G79" s="39">
        <v>129</v>
      </c>
      <c r="H79" s="73">
        <f t="shared" si="35"/>
        <v>-1.5267175572519083E-2</v>
      </c>
      <c r="I79" s="202">
        <f>IF(ISNUMBER(G79), $B91 * H79, "")</f>
        <v>-2290.0763358778627</v>
      </c>
      <c r="J79" s="125">
        <v>125</v>
      </c>
      <c r="K79" s="73">
        <f t="shared" si="36"/>
        <v>-4.5801526717557252E-2</v>
      </c>
      <c r="L79" s="136">
        <f>IF(ISNUMBER(J79), $B91 * K79, "")</f>
        <v>-6870.2290076335876</v>
      </c>
      <c r="M79" s="39">
        <v>124</v>
      </c>
      <c r="N79" s="73">
        <f t="shared" si="37"/>
        <v>-5.3435114503816793E-2</v>
      </c>
      <c r="O79" s="136">
        <f>IF(ISNUMBER(M79), $B91 * N79, "")</f>
        <v>-8015.2671755725187</v>
      </c>
      <c r="Q79" s="33"/>
      <c r="R79" s="33"/>
    </row>
    <row r="80" spans="1:19" ht="17.25" thickBot="1">
      <c r="A80" s="129" t="s">
        <v>57</v>
      </c>
      <c r="B80" s="130">
        <v>395</v>
      </c>
      <c r="C80" s="75">
        <v>0</v>
      </c>
      <c r="D80" s="130">
        <v>376</v>
      </c>
      <c r="E80" s="75">
        <f t="shared" si="34"/>
        <v>-4.810126582278481E-2</v>
      </c>
      <c r="F80" s="137">
        <f>IF(ISNUMBER(D80), $B91 * E80, "")</f>
        <v>-7215.1898734177212</v>
      </c>
      <c r="G80" s="37">
        <v>393</v>
      </c>
      <c r="H80" s="75">
        <f t="shared" si="35"/>
        <v>-5.0632911392405064E-3</v>
      </c>
      <c r="I80" s="207">
        <f>IF(ISNUMBER(G80), $B91 * H80, "")</f>
        <v>-759.49367088607596</v>
      </c>
      <c r="J80" s="130">
        <v>382</v>
      </c>
      <c r="K80" s="75">
        <f t="shared" si="36"/>
        <v>-3.2911392405063293E-2</v>
      </c>
      <c r="L80" s="137">
        <f>IF(ISNUMBER(J80), $B91 * K80, "")</f>
        <v>-4936.7088607594942</v>
      </c>
      <c r="M80" s="37">
        <v>380</v>
      </c>
      <c r="N80" s="75">
        <f t="shared" si="37"/>
        <v>-3.7974683544303799E-2</v>
      </c>
      <c r="O80" s="137">
        <f>IF(ISNUMBER(M80), $B91 * N80, "")</f>
        <v>-5696.2025316455702</v>
      </c>
      <c r="Q80" s="269"/>
      <c r="R80" s="270"/>
      <c r="S80" s="271"/>
    </row>
    <row r="81" spans="1:19">
      <c r="A81" s="122" t="s">
        <v>156</v>
      </c>
      <c r="B81" s="123">
        <v>154</v>
      </c>
      <c r="C81" s="72">
        <v>0</v>
      </c>
      <c r="D81" s="123">
        <v>153</v>
      </c>
      <c r="E81" s="72">
        <f>IF(ISNUMBER(D81), (D81 - $B81) / $B81, "")</f>
        <v>-6.4935064935064939E-3</v>
      </c>
      <c r="F81" s="140">
        <f>IF(ISNUMBER(D81), $B91 * E81, "")</f>
        <v>-974.02597402597405</v>
      </c>
      <c r="G81" s="38">
        <v>160</v>
      </c>
      <c r="H81" s="72">
        <f>IF(ISNUMBER(G81), (G81 - $B81) / $B81, "")</f>
        <v>3.896103896103896E-2</v>
      </c>
      <c r="I81" s="201">
        <f>IF(ISNUMBER(G81), $B91 * H81, "")</f>
        <v>5844.1558441558436</v>
      </c>
      <c r="J81" s="123">
        <v>153</v>
      </c>
      <c r="K81" s="72">
        <f>IF(ISNUMBER(J81), (J81 - $B81) / $B81, "")</f>
        <v>-6.4935064935064939E-3</v>
      </c>
      <c r="L81" s="140">
        <f>IF(ISNUMBER(J81), $B91 * K81, "")</f>
        <v>-974.02597402597405</v>
      </c>
      <c r="M81" s="38">
        <v>153</v>
      </c>
      <c r="N81" s="72">
        <f>IF(ISNUMBER(M81), (M81 - $B81) / $B81, "")</f>
        <v>-6.4935064935064939E-3</v>
      </c>
      <c r="O81" s="140">
        <f>IF(ISNUMBER(M81), $B91 * N81, "")</f>
        <v>-974.02597402597405</v>
      </c>
      <c r="Q81" s="272"/>
      <c r="R81" s="273"/>
      <c r="S81" s="274"/>
    </row>
    <row r="82" spans="1:19" ht="17.25" thickBot="1">
      <c r="A82" s="124" t="s">
        <v>282</v>
      </c>
      <c r="B82" s="125">
        <v>151</v>
      </c>
      <c r="C82" s="73">
        <v>0</v>
      </c>
      <c r="D82" s="125">
        <v>146</v>
      </c>
      <c r="E82" s="73">
        <f t="shared" ref="E82:E85" si="38">IF(ISNUMBER(D82), (D82 - $B82) / $B82, "")</f>
        <v>-3.3112582781456956E-2</v>
      </c>
      <c r="F82" s="136">
        <f>IF(ISNUMBER(D82), $B91 * E82, "")</f>
        <v>-4966.8874172185433</v>
      </c>
      <c r="G82" s="39">
        <v>149</v>
      </c>
      <c r="H82" s="73">
        <f t="shared" ref="H82:H85" si="39">IF(ISNUMBER(G82), (G82 - $B82) / $B82, "")</f>
        <v>-1.3245033112582781E-2</v>
      </c>
      <c r="I82" s="202">
        <f>IF(ISNUMBER(G82), $B91 * H82, "")</f>
        <v>-1986.7549668874171</v>
      </c>
      <c r="J82" s="125">
        <v>145</v>
      </c>
      <c r="K82" s="73">
        <f t="shared" ref="K82:K85" si="40">IF(ISNUMBER(J82), (J82 - $B82) / $B82, "")</f>
        <v>-3.9735099337748346E-2</v>
      </c>
      <c r="L82" s="136">
        <f>IF(ISNUMBER(J82), $B91 * K82, "")</f>
        <v>-5960.2649006622523</v>
      </c>
      <c r="M82" s="39">
        <v>144</v>
      </c>
      <c r="N82" s="73">
        <f t="shared" ref="N82:N85" si="41">IF(ISNUMBER(M82), (M82 - $B82) / $B82, "")</f>
        <v>-4.6357615894039736E-2</v>
      </c>
      <c r="O82" s="136">
        <f>IF(ISNUMBER(M82), $B91 * N82, "")</f>
        <v>-6953.6423841059604</v>
      </c>
      <c r="Q82" s="275"/>
      <c r="R82" s="276"/>
      <c r="S82" s="277"/>
    </row>
    <row r="83" spans="1:19" ht="17.25" thickBot="1">
      <c r="A83" s="124" t="s">
        <v>216</v>
      </c>
      <c r="B83" s="125">
        <v>438</v>
      </c>
      <c r="C83" s="73">
        <v>-1.12866817E-2</v>
      </c>
      <c r="D83" s="125">
        <v>417</v>
      </c>
      <c r="E83" s="73">
        <f t="shared" si="38"/>
        <v>-4.7945205479452052E-2</v>
      </c>
      <c r="F83" s="136">
        <f>IF(ISNUMBER(D83), $B91 * E83, "")</f>
        <v>-7191.7808219178078</v>
      </c>
      <c r="G83" s="39">
        <v>432</v>
      </c>
      <c r="H83" s="73">
        <f t="shared" si="39"/>
        <v>-1.3698630136986301E-2</v>
      </c>
      <c r="I83" s="202">
        <f>IF(ISNUMBER(G83), $B91 * H83, "")</f>
        <v>-2054.794520547945</v>
      </c>
      <c r="J83" s="125">
        <v>421</v>
      </c>
      <c r="K83" s="73">
        <f t="shared" si="40"/>
        <v>-3.8812785388127852E-2</v>
      </c>
      <c r="L83" s="136">
        <f>IF(ISNUMBER(J83), $B91 * K83, "")</f>
        <v>-5821.9178082191775</v>
      </c>
      <c r="M83" s="39">
        <v>418</v>
      </c>
      <c r="N83" s="73">
        <f t="shared" si="41"/>
        <v>-4.5662100456621002E-2</v>
      </c>
      <c r="O83" s="136">
        <f>IF(ISNUMBER(M83), $B91 * N83, "")</f>
        <v>-6849.3150684931506</v>
      </c>
      <c r="Q83" s="268"/>
      <c r="R83" s="268"/>
      <c r="S83" s="268"/>
    </row>
    <row r="84" spans="1:19" ht="17.25" thickBot="1">
      <c r="A84" s="124" t="s">
        <v>238</v>
      </c>
      <c r="B84" s="125">
        <v>243</v>
      </c>
      <c r="C84" s="73">
        <v>-1.2195121999999999E-2</v>
      </c>
      <c r="D84" s="125">
        <v>235</v>
      </c>
      <c r="E84" s="73">
        <f t="shared" si="38"/>
        <v>-3.292181069958848E-2</v>
      </c>
      <c r="F84" s="136">
        <f>IF(ISNUMBER(D84), $B91 * E84, "")</f>
        <v>-4938.2716049382716</v>
      </c>
      <c r="G84" s="39">
        <v>241</v>
      </c>
      <c r="H84" s="73">
        <f t="shared" si="39"/>
        <v>-8.23045267489712E-3</v>
      </c>
      <c r="I84" s="202">
        <f>IF(ISNUMBER(G84), $B91 * H84, "")</f>
        <v>-1234.5679012345679</v>
      </c>
      <c r="J84" s="125">
        <v>235</v>
      </c>
      <c r="K84" s="73">
        <f t="shared" si="40"/>
        <v>-3.292181069958848E-2</v>
      </c>
      <c r="L84" s="136">
        <f>IF(ISNUMBER(J84), $B91 * K84, "")</f>
        <v>-4938.2716049382716</v>
      </c>
      <c r="M84" s="39">
        <v>237</v>
      </c>
      <c r="N84" s="73">
        <f t="shared" si="41"/>
        <v>-2.4691358024691357E-2</v>
      </c>
      <c r="O84" s="136">
        <f>IF(ISNUMBER(M84), $B91 * N84, "")</f>
        <v>-3703.7037037037035</v>
      </c>
      <c r="Q84" s="278"/>
      <c r="R84" s="278"/>
      <c r="S84" s="278"/>
    </row>
    <row r="85" spans="1:19" ht="17.25" thickBot="1">
      <c r="A85" s="126" t="s">
        <v>232</v>
      </c>
      <c r="B85" s="127">
        <v>151</v>
      </c>
      <c r="C85" s="74">
        <v>-1.30718954E-2</v>
      </c>
      <c r="D85" s="127">
        <v>149</v>
      </c>
      <c r="E85" s="74">
        <f t="shared" si="38"/>
        <v>-1.3245033112582781E-2</v>
      </c>
      <c r="F85" s="203">
        <f>IF(ISNUMBER(D85), $B91 * E85, "")</f>
        <v>-1986.7549668874171</v>
      </c>
      <c r="G85" s="44">
        <v>151</v>
      </c>
      <c r="H85" s="74">
        <f t="shared" si="39"/>
        <v>0</v>
      </c>
      <c r="I85" s="204">
        <f>IF(ISNUMBER(G85), $B91 * H85, "")</f>
        <v>0</v>
      </c>
      <c r="J85" s="127">
        <v>147</v>
      </c>
      <c r="K85" s="74">
        <f t="shared" si="40"/>
        <v>-2.6490066225165563E-2</v>
      </c>
      <c r="L85" s="203">
        <f>IF(ISNUMBER(J85), $B91 * K85, "")</f>
        <v>-3973.5099337748343</v>
      </c>
      <c r="M85" s="44">
        <v>148</v>
      </c>
      <c r="N85" s="74">
        <f t="shared" si="41"/>
        <v>-1.9867549668874173E-2</v>
      </c>
      <c r="O85" s="203">
        <f>IF(ISNUMBER(M85), $B91 * N85, "")</f>
        <v>-2980.1324503311262</v>
      </c>
      <c r="Q85" s="278"/>
      <c r="R85" s="278"/>
      <c r="S85" s="278"/>
    </row>
    <row r="86" spans="1:19" ht="17.25" thickBot="1">
      <c r="A86" s="124" t="s">
        <v>278</v>
      </c>
      <c r="B86" s="128">
        <v>139</v>
      </c>
      <c r="C86" s="76">
        <v>-1.4184397200000001E-2</v>
      </c>
      <c r="D86" s="128">
        <v>137</v>
      </c>
      <c r="E86" s="76">
        <f>IF(ISNUMBER(D86), (D86 - $B86) / $B86, "")</f>
        <v>-1.4388489208633094E-2</v>
      </c>
      <c r="F86" s="205">
        <f>IF(ISNUMBER(D86), $B91 * E86, "")</f>
        <v>-2158.2733812949641</v>
      </c>
      <c r="G86" s="45">
        <v>141</v>
      </c>
      <c r="H86" s="76">
        <f>IF(ISNUMBER(G86), (G86 - $B86) / $B86, "")</f>
        <v>1.4388489208633094E-2</v>
      </c>
      <c r="I86" s="206">
        <f>IF(ISNUMBER(G86), $B91 * H86, "")</f>
        <v>2158.2733812949641</v>
      </c>
      <c r="J86" s="128">
        <v>136</v>
      </c>
      <c r="K86" s="76">
        <f>IF(ISNUMBER(J86), (J86 - $B86) / $B86, "")</f>
        <v>-2.1582733812949641E-2</v>
      </c>
      <c r="L86" s="205">
        <f>IF(ISNUMBER(J86), $B91 * K86, "")</f>
        <v>-3237.4100719424464</v>
      </c>
      <c r="M86" s="45">
        <v>137</v>
      </c>
      <c r="N86" s="76">
        <f>IF(ISNUMBER(M86), (M86 - $B86) / $B86, "")</f>
        <v>-1.4388489208633094E-2</v>
      </c>
      <c r="O86" s="205">
        <f>IF(ISNUMBER(M86), $B91 * N86, "")</f>
        <v>-2158.2733812949641</v>
      </c>
      <c r="Q86" s="268"/>
      <c r="R86" s="268"/>
      <c r="S86" s="268"/>
    </row>
    <row r="87" spans="1:19" ht="17.25" thickBot="1">
      <c r="A87" s="124" t="s">
        <v>120</v>
      </c>
      <c r="B87" s="125">
        <v>199</v>
      </c>
      <c r="C87" s="73">
        <v>-1.97044335E-2</v>
      </c>
      <c r="D87" s="125">
        <v>195</v>
      </c>
      <c r="E87" s="73">
        <f t="shared" ref="E87:E90" si="42">IF(ISNUMBER(D87), (D87 - $B87) / $B87, "")</f>
        <v>-2.0100502512562814E-2</v>
      </c>
      <c r="F87" s="136">
        <f>IF(ISNUMBER(D87), $B91 * E87, "")</f>
        <v>-3015.075376884422</v>
      </c>
      <c r="G87" s="39">
        <v>201</v>
      </c>
      <c r="H87" s="73">
        <f t="shared" ref="H87:H90" si="43">IF(ISNUMBER(G87), (G87 - $B87) / $B87, "")</f>
        <v>1.0050251256281407E-2</v>
      </c>
      <c r="I87" s="202">
        <f>IF(ISNUMBER(G87), $B91 * H87, "")</f>
        <v>1507.537688442211</v>
      </c>
      <c r="J87" s="125">
        <v>197</v>
      </c>
      <c r="K87" s="73">
        <f t="shared" ref="K87:K90" si="44">IF(ISNUMBER(J87), (J87 - $B87) / $B87, "")</f>
        <v>-1.0050251256281407E-2</v>
      </c>
      <c r="L87" s="136">
        <f>IF(ISNUMBER(J87), $B91 * K87, "")</f>
        <v>-1507.537688442211</v>
      </c>
      <c r="M87" s="39">
        <v>195</v>
      </c>
      <c r="N87" s="73">
        <f t="shared" ref="N87:N90" si="45">IF(ISNUMBER(M87), (M87 - $B87) / $B87, "")</f>
        <v>-2.0100502512562814E-2</v>
      </c>
      <c r="O87" s="136">
        <f>IF(ISNUMBER(M87), $B91 * N87, "")</f>
        <v>-3015.075376884422</v>
      </c>
      <c r="Q87" s="268"/>
      <c r="R87" s="268"/>
      <c r="S87" s="268"/>
    </row>
    <row r="88" spans="1:19" ht="17.25" thickBot="1">
      <c r="A88" s="124" t="s">
        <v>128</v>
      </c>
      <c r="B88" s="125">
        <v>585</v>
      </c>
      <c r="C88" s="73">
        <v>-2.1739130400000001E-2</v>
      </c>
      <c r="D88" s="125">
        <v>564</v>
      </c>
      <c r="E88" s="73">
        <f t="shared" si="42"/>
        <v>-3.5897435897435895E-2</v>
      </c>
      <c r="F88" s="136">
        <f>IF(ISNUMBER(D88), $B91 * E88, "")</f>
        <v>-5384.6153846153838</v>
      </c>
      <c r="G88" s="39">
        <v>587</v>
      </c>
      <c r="H88" s="73">
        <f t="shared" si="43"/>
        <v>3.4188034188034188E-3</v>
      </c>
      <c r="I88" s="202">
        <f>IF(ISNUMBER(G88), $B91 * H88, "")</f>
        <v>512.82051282051282</v>
      </c>
      <c r="J88" s="125">
        <v>568</v>
      </c>
      <c r="K88" s="73">
        <f t="shared" si="44"/>
        <v>-2.9059829059829061E-2</v>
      </c>
      <c r="L88" s="136">
        <f>IF(ISNUMBER(J88), $B91 * K88, "")</f>
        <v>-4358.9743589743593</v>
      </c>
      <c r="M88" s="39">
        <v>572</v>
      </c>
      <c r="N88" s="73">
        <f t="shared" si="45"/>
        <v>-2.2222222222222223E-2</v>
      </c>
      <c r="O88" s="136">
        <f>IF(ISNUMBER(M88), $B91 * N88, "")</f>
        <v>-3333.3333333333335</v>
      </c>
      <c r="Q88" s="268"/>
      <c r="R88" s="268"/>
      <c r="S88" s="268"/>
    </row>
    <row r="89" spans="1:19">
      <c r="A89" s="124" t="s">
        <v>250</v>
      </c>
      <c r="B89" s="125">
        <v>177</v>
      </c>
      <c r="C89" s="73">
        <v>-2.2099447500000001E-2</v>
      </c>
      <c r="D89" s="125">
        <v>172</v>
      </c>
      <c r="E89" s="73">
        <f t="shared" si="42"/>
        <v>-2.8248587570621469E-2</v>
      </c>
      <c r="F89" s="136">
        <f>IF(ISNUMBER(D89), $B91 * E89, "")</f>
        <v>-4237.2881355932204</v>
      </c>
      <c r="G89" s="39">
        <v>176</v>
      </c>
      <c r="H89" s="73">
        <f t="shared" si="43"/>
        <v>-5.6497175141242938E-3</v>
      </c>
      <c r="I89" s="202">
        <f>IF(ISNUMBER(G89), $B91 * H89, "")</f>
        <v>-847.45762711864404</v>
      </c>
      <c r="J89" s="125">
        <v>173</v>
      </c>
      <c r="K89" s="73">
        <f t="shared" si="44"/>
        <v>-2.2598870056497175E-2</v>
      </c>
      <c r="L89" s="136">
        <f>IF(ISNUMBER(J89), $B91 * K89, "")</f>
        <v>-3389.8305084745762</v>
      </c>
      <c r="M89" s="39">
        <v>173</v>
      </c>
      <c r="N89" s="73">
        <f t="shared" si="45"/>
        <v>-2.2598870056497175E-2</v>
      </c>
      <c r="O89" s="136">
        <f>IF(ISNUMBER(M89), $B91 * N89, "")</f>
        <v>-3389.8305084745762</v>
      </c>
      <c r="Q89" s="257"/>
      <c r="R89" s="258"/>
      <c r="S89" s="259"/>
    </row>
    <row r="90" spans="1:19" ht="17.25" thickBot="1">
      <c r="A90" s="129" t="s">
        <v>200</v>
      </c>
      <c r="B90" s="130">
        <v>305</v>
      </c>
      <c r="C90" s="75">
        <v>-2.5559105400000001E-2</v>
      </c>
      <c r="D90" s="130">
        <v>301</v>
      </c>
      <c r="E90" s="75">
        <f t="shared" si="42"/>
        <v>-1.3114754098360656E-2</v>
      </c>
      <c r="F90" s="137">
        <f>IF(ISNUMBER(D90), $B91 * E90, "")</f>
        <v>-1967.2131147540983</v>
      </c>
      <c r="G90" s="37">
        <v>307</v>
      </c>
      <c r="H90" s="75">
        <f t="shared" si="43"/>
        <v>6.5573770491803279E-3</v>
      </c>
      <c r="I90" s="207">
        <f>IF(ISNUMBER(G90), $B91 * H90, "")</f>
        <v>983.60655737704917</v>
      </c>
      <c r="J90" s="130">
        <v>300</v>
      </c>
      <c r="K90" s="75">
        <f t="shared" si="44"/>
        <v>-1.6393442622950821E-2</v>
      </c>
      <c r="L90" s="137">
        <f>IF(ISNUMBER(J90), $B91 * K90, "")</f>
        <v>-2459.0163934426232</v>
      </c>
      <c r="M90" s="37">
        <v>301</v>
      </c>
      <c r="N90" s="75">
        <f t="shared" si="45"/>
        <v>-1.3114754098360656E-2</v>
      </c>
      <c r="O90" s="137">
        <f>IF(ISNUMBER(M90), $B91 * N90, "")</f>
        <v>-1967.2131147540983</v>
      </c>
      <c r="Q90" s="260"/>
      <c r="R90" s="261"/>
      <c r="S90" s="262"/>
    </row>
    <row r="91" spans="1:19" ht="17.25" thickBot="1">
      <c r="A91" s="131" t="s">
        <v>301</v>
      </c>
      <c r="B91" s="330">
        <f>$B$37</f>
        <v>150000</v>
      </c>
      <c r="C91" s="331"/>
      <c r="D91" s="131" t="s">
        <v>302</v>
      </c>
      <c r="E91" s="244">
        <f>IF(COUNT(E71:E90), SUM(E71:E90) / COUNT(E71:E90), 0)</f>
        <v>-2.5801647892911988E-2</v>
      </c>
      <c r="F91" s="208">
        <f>SUM(F71:F90)</f>
        <v>-77404.943678735974</v>
      </c>
      <c r="G91" s="131" t="s">
        <v>302</v>
      </c>
      <c r="H91" s="244">
        <f>IF(COUNT(H71:H90), SUM(H71:H90) / COUNT(H71:H90), 0)</f>
        <v>7.3599735894823838E-4</v>
      </c>
      <c r="I91" s="208">
        <f>SUM(I71:I90)</f>
        <v>2207.992076844715</v>
      </c>
      <c r="J91" s="131" t="s">
        <v>302</v>
      </c>
      <c r="K91" s="244">
        <f>IF(COUNT(K71:K90), SUM(K71:K90) / COUNT(K71:K90), 0)</f>
        <v>-2.7192369476187188E-2</v>
      </c>
      <c r="L91" s="208">
        <f>SUM(L71:L90)</f>
        <v>-81577.10842856158</v>
      </c>
      <c r="M91" s="131" t="s">
        <v>302</v>
      </c>
      <c r="N91" s="244">
        <f>IF(COUNT(N71:N90), SUM(N71:N90) / COUNT(N71:N90), 0)</f>
        <v>-2.6541389752773897E-2</v>
      </c>
      <c r="O91" s="208">
        <f>SUM(O71:O90)</f>
        <v>-79624.169258321679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41" t="s">
        <v>298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55555000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-3.6323266700000002E-2</v>
      </c>
      <c r="N95" s="286"/>
      <c r="O95" s="287"/>
      <c r="Q95" s="278"/>
      <c r="R95" s="278"/>
      <c r="S95" s="278"/>
    </row>
    <row r="96" spans="1:19" ht="17.25" thickBot="1">
      <c r="A96" s="332" t="s">
        <v>55</v>
      </c>
      <c r="B96" s="328" t="str">
        <f>TEXT($G$1, "[$-ko-KR]yyyy-mm-dd(ddd) ") &amp; "오전 00:00"</f>
        <v>2021-05-16(일) 오전 00:00</v>
      </c>
      <c r="C96" s="329"/>
      <c r="D96" s="279" t="str">
        <f>TEXT($G$1, "[$-ko-KR]yyyy-mm-dd(ddd) ") &amp; "오후 14:00"</f>
        <v>2021-05-16(일) 오후 14:00</v>
      </c>
      <c r="E96" s="280"/>
      <c r="F96" s="281"/>
      <c r="G96" s="279" t="str">
        <f>TEXT($G$1, "[$-ko-KR]yyyy-mm-dd(ddd) ") &amp; "오후 19:00"</f>
        <v>2021-05-16(일) 오후 19:00</v>
      </c>
      <c r="H96" s="280"/>
      <c r="I96" s="281"/>
      <c r="J96" s="279" t="str">
        <f>TEXT($G$1, "[$-ko-KR]yyyy-mm-dd(ddd) ") &amp; "오후 21:00"</f>
        <v>2021-05-16(일) 오후 21:00</v>
      </c>
      <c r="K96" s="280"/>
      <c r="L96" s="281"/>
      <c r="M96" s="279" t="str">
        <f>TEXT($G$1+1, "[$-ko-KR]yyyy-mm-dd(ddd) ") &amp; "오전 00:00"</f>
        <v>2021-05-17(월) 오전 00:00</v>
      </c>
      <c r="N96" s="280"/>
      <c r="O96" s="281"/>
      <c r="Q96" s="278"/>
      <c r="R96" s="278"/>
      <c r="S96" s="278"/>
    </row>
    <row r="97" spans="1:19" ht="17.25" thickBot="1">
      <c r="A97" s="333"/>
      <c r="B97" s="120" t="s">
        <v>58</v>
      </c>
      <c r="C97" s="121" t="s">
        <v>59</v>
      </c>
      <c r="D97" s="120" t="s">
        <v>58</v>
      </c>
      <c r="E97" s="121" t="s">
        <v>299</v>
      </c>
      <c r="F97" s="248" t="s">
        <v>300</v>
      </c>
      <c r="G97" s="241" t="s">
        <v>58</v>
      </c>
      <c r="H97" s="242" t="s">
        <v>299</v>
      </c>
      <c r="I97" s="243" t="s">
        <v>300</v>
      </c>
      <c r="J97" s="121" t="s">
        <v>58</v>
      </c>
      <c r="K97" s="121" t="s">
        <v>299</v>
      </c>
      <c r="L97" s="246" t="s">
        <v>300</v>
      </c>
      <c r="M97" s="120" t="s">
        <v>58</v>
      </c>
      <c r="N97" s="121" t="s">
        <v>299</v>
      </c>
      <c r="O97" s="247" t="s">
        <v>300</v>
      </c>
      <c r="Q97" s="268"/>
      <c r="R97" s="268"/>
      <c r="S97" s="268"/>
    </row>
    <row r="98" spans="1:19" ht="17.25" thickBot="1">
      <c r="A98" s="122" t="s">
        <v>84</v>
      </c>
      <c r="B98" s="123">
        <v>2810</v>
      </c>
      <c r="C98" s="72">
        <v>0.1353535354</v>
      </c>
      <c r="D98" s="123">
        <v>2810</v>
      </c>
      <c r="E98" s="72">
        <f>IF(ISNUMBER(D98), (D98 - $B98) / $B98, "")</f>
        <v>0</v>
      </c>
      <c r="F98" s="140">
        <f>IF(ISNUMBER(D98), $B118 * E98, "")</f>
        <v>0</v>
      </c>
      <c r="G98" s="38">
        <v>2905</v>
      </c>
      <c r="H98" s="72">
        <f>IF(ISNUMBER(G98), (G98 - $B98) / $B98, "")</f>
        <v>3.3807829181494664E-2</v>
      </c>
      <c r="I98" s="201">
        <f>IF(ISNUMBER(G98), $B118 * H98, "")</f>
        <v>5071.1743772241998</v>
      </c>
      <c r="J98" s="123">
        <v>2855</v>
      </c>
      <c r="K98" s="72">
        <f>IF(ISNUMBER(J98), (J98 - $B98) / $B98, "")</f>
        <v>1.601423487544484E-2</v>
      </c>
      <c r="L98" s="140">
        <f>IF(ISNUMBER(J98), $B118 * K98, "")</f>
        <v>2402.1352313167263</v>
      </c>
      <c r="M98" s="38">
        <v>2835</v>
      </c>
      <c r="N98" s="72">
        <f>IF(ISNUMBER(M98), (M98 - $B98) / $B98, "")</f>
        <v>8.8967971530249119E-3</v>
      </c>
      <c r="O98" s="140">
        <f>IF(ISNUMBER(M98), $B118 * N98, "")</f>
        <v>1334.5195729537368</v>
      </c>
      <c r="Q98" s="278"/>
      <c r="R98" s="278"/>
      <c r="S98" s="278"/>
    </row>
    <row r="99" spans="1:19" ht="17.25" thickBot="1">
      <c r="A99" s="124" t="s">
        <v>88</v>
      </c>
      <c r="B99" s="125">
        <v>588</v>
      </c>
      <c r="C99" s="73">
        <v>9.0909090900000003E-2</v>
      </c>
      <c r="D99" s="125">
        <v>585</v>
      </c>
      <c r="E99" s="73">
        <f t="shared" ref="E99:E102" si="46">IF(ISNUMBER(D99), (D99 - $B99) / $B99, "")</f>
        <v>-5.1020408163265302E-3</v>
      </c>
      <c r="F99" s="136">
        <f>IF(ISNUMBER(D99), $B118 * E99, "")</f>
        <v>-765.30612244897952</v>
      </c>
      <c r="G99" s="39">
        <v>571</v>
      </c>
      <c r="H99" s="73">
        <f t="shared" ref="H99:H102" si="47">IF(ISNUMBER(G99), (G99 - $B99) / $B99, "")</f>
        <v>-2.8911564625850341E-2</v>
      </c>
      <c r="I99" s="202">
        <f>IF(ISNUMBER(G99), $B118 * H99, "")</f>
        <v>-4336.7346938775509</v>
      </c>
      <c r="J99" s="125">
        <v>554</v>
      </c>
      <c r="K99" s="73">
        <f t="shared" ref="K99:K102" si="48">IF(ISNUMBER(J99), (J99 - $B99) / $B99, "")</f>
        <v>-5.7823129251700682E-2</v>
      </c>
      <c r="L99" s="136">
        <f>IF(ISNUMBER(J99), $B118 * K99, "")</f>
        <v>-8673.4693877551017</v>
      </c>
      <c r="M99" s="39">
        <v>553</v>
      </c>
      <c r="N99" s="73">
        <f t="shared" ref="N99:N102" si="49">IF(ISNUMBER(M99), (M99 - $B99) / $B99, "")</f>
        <v>-5.9523809523809521E-2</v>
      </c>
      <c r="O99" s="136">
        <f>IF(ISNUMBER(M99), $B118 * N99, "")</f>
        <v>-8928.5714285714275</v>
      </c>
      <c r="Q99" s="278"/>
      <c r="R99" s="278"/>
      <c r="S99" s="278"/>
    </row>
    <row r="100" spans="1:19" ht="17.25" thickBot="1">
      <c r="A100" s="124" t="s">
        <v>116</v>
      </c>
      <c r="B100" s="125">
        <v>588</v>
      </c>
      <c r="C100" s="73">
        <v>8.2872928200000001E-2</v>
      </c>
      <c r="D100" s="125">
        <v>540</v>
      </c>
      <c r="E100" s="73">
        <f t="shared" si="46"/>
        <v>-8.1632653061224483E-2</v>
      </c>
      <c r="F100" s="136">
        <f>IF(ISNUMBER(D100), $B118 * E100, "")</f>
        <v>-12244.897959183672</v>
      </c>
      <c r="G100" s="39">
        <v>564</v>
      </c>
      <c r="H100" s="73">
        <f t="shared" si="47"/>
        <v>-4.0816326530612242E-2</v>
      </c>
      <c r="I100" s="202">
        <f>IF(ISNUMBER(G100), $B118 * H100, "")</f>
        <v>-6122.4489795918362</v>
      </c>
      <c r="J100" s="125">
        <v>545</v>
      </c>
      <c r="K100" s="73">
        <f t="shared" si="48"/>
        <v>-7.312925170068027E-2</v>
      </c>
      <c r="L100" s="136">
        <f>IF(ISNUMBER(J100), $B118 * K100, "")</f>
        <v>-10969.387755102041</v>
      </c>
      <c r="M100" s="39">
        <v>541</v>
      </c>
      <c r="N100" s="73">
        <f t="shared" si="49"/>
        <v>-7.9931972789115652E-2</v>
      </c>
      <c r="O100" s="136">
        <f>IF(ISNUMBER(M100), $B118 * N100, "")</f>
        <v>-11989.795918367348</v>
      </c>
      <c r="Q100" s="268"/>
      <c r="R100" s="268"/>
      <c r="S100" s="268"/>
    </row>
    <row r="101" spans="1:19" ht="17.25" thickBot="1">
      <c r="A101" s="124" t="s">
        <v>51</v>
      </c>
      <c r="B101" s="125">
        <v>888</v>
      </c>
      <c r="C101" s="73">
        <v>7.7669902900000004E-2</v>
      </c>
      <c r="D101" s="125">
        <v>930</v>
      </c>
      <c r="E101" s="73">
        <f t="shared" si="46"/>
        <v>4.72972972972973E-2</v>
      </c>
      <c r="F101" s="136">
        <f>IF(ISNUMBER(D101), $B118 * E101, "")</f>
        <v>7094.594594594595</v>
      </c>
      <c r="G101" s="39">
        <v>940</v>
      </c>
      <c r="H101" s="73">
        <f t="shared" si="47"/>
        <v>5.8558558558558557E-2</v>
      </c>
      <c r="I101" s="202">
        <f>IF(ISNUMBER(G101), $B118 * H101, "")</f>
        <v>8783.7837837837833</v>
      </c>
      <c r="J101" s="125">
        <v>916</v>
      </c>
      <c r="K101" s="73">
        <f t="shared" si="48"/>
        <v>3.1531531531531529E-2</v>
      </c>
      <c r="L101" s="136">
        <f>IF(ISNUMBER(J101), $B118 * K101, "")</f>
        <v>4729.7297297297291</v>
      </c>
      <c r="M101" s="39">
        <v>921</v>
      </c>
      <c r="N101" s="73">
        <f t="shared" si="49"/>
        <v>3.7162162162162164E-2</v>
      </c>
      <c r="O101" s="136">
        <f>IF(ISNUMBER(M101), $B118 * N101, "")</f>
        <v>5574.3243243243251</v>
      </c>
      <c r="Q101" s="268"/>
      <c r="R101" s="268"/>
      <c r="S101" s="268"/>
    </row>
    <row r="102" spans="1:19" ht="17.25" thickBot="1">
      <c r="A102" s="126" t="s">
        <v>74</v>
      </c>
      <c r="B102" s="127">
        <v>34130</v>
      </c>
      <c r="C102" s="74">
        <v>6.7563340599999994E-2</v>
      </c>
      <c r="D102" s="127">
        <v>31200</v>
      </c>
      <c r="E102" s="74">
        <f t="shared" si="46"/>
        <v>-8.5848227365953711E-2</v>
      </c>
      <c r="F102" s="203">
        <f>IF(ISNUMBER(D102), $B118 * E102, "")</f>
        <v>-12877.234104893058</v>
      </c>
      <c r="G102" s="44">
        <v>32170</v>
      </c>
      <c r="H102" s="74">
        <f t="shared" si="47"/>
        <v>-5.7427483152651629E-2</v>
      </c>
      <c r="I102" s="204">
        <f>IF(ISNUMBER(G102), $B118 * H102, "")</f>
        <v>-8614.122472897745</v>
      </c>
      <c r="J102" s="127">
        <v>31250</v>
      </c>
      <c r="K102" s="74">
        <f t="shared" si="48"/>
        <v>-8.4383240550835042E-2</v>
      </c>
      <c r="L102" s="203">
        <f>IF(ISNUMBER(J102), $B118 * K102, "")</f>
        <v>-12657.486082625257</v>
      </c>
      <c r="M102" s="44">
        <v>31250</v>
      </c>
      <c r="N102" s="74">
        <f t="shared" si="49"/>
        <v>-8.4383240550835042E-2</v>
      </c>
      <c r="O102" s="203">
        <f>IF(ISNUMBER(M102), $B118 * N102, "")</f>
        <v>-12657.486082625257</v>
      </c>
      <c r="Q102" s="268"/>
      <c r="R102" s="268"/>
      <c r="S102" s="268"/>
    </row>
    <row r="103" spans="1:19" ht="17.25" thickBot="1">
      <c r="A103" s="124" t="s">
        <v>92</v>
      </c>
      <c r="B103" s="128">
        <v>1835</v>
      </c>
      <c r="C103" s="76">
        <v>6.3768115900000005E-2</v>
      </c>
      <c r="D103" s="128">
        <v>1910</v>
      </c>
      <c r="E103" s="76">
        <f>IF(ISNUMBER(D103), (D103 - $B103) / $B103, "")</f>
        <v>4.0871934604904632E-2</v>
      </c>
      <c r="F103" s="205">
        <f>IF(ISNUMBER(D103), $B118 * E103, "")</f>
        <v>6130.7901907356945</v>
      </c>
      <c r="G103" s="45">
        <v>1930</v>
      </c>
      <c r="H103" s="76">
        <f>IF(ISNUMBER(G103), (G103 - $B103) / $B103, "")</f>
        <v>5.1771117166212535E-2</v>
      </c>
      <c r="I103" s="206">
        <f>IF(ISNUMBER(G103), $B118 * H103, "")</f>
        <v>7765.6675749318802</v>
      </c>
      <c r="J103" s="128">
        <v>1865</v>
      </c>
      <c r="K103" s="76">
        <f>IF(ISNUMBER(J103), (J103 - $B103) / $B103, "")</f>
        <v>1.6348773841961851E-2</v>
      </c>
      <c r="L103" s="205">
        <f>IF(ISNUMBER(J103), $B118 * K103, "")</f>
        <v>2452.3160762942775</v>
      </c>
      <c r="M103" s="45">
        <v>1855</v>
      </c>
      <c r="N103" s="76">
        <f>IF(ISNUMBER(M103), (M103 - $B103) / $B103, "")</f>
        <v>1.0899182561307902E-2</v>
      </c>
      <c r="O103" s="205">
        <f>IF(ISNUMBER(M103), $B118 * N103, "")</f>
        <v>1634.8773841961852</v>
      </c>
      <c r="Q103" s="268"/>
      <c r="R103" s="268"/>
      <c r="S103" s="268"/>
    </row>
    <row r="104" spans="1:19" ht="17.25" thickBot="1">
      <c r="A104" s="124" t="s">
        <v>246</v>
      </c>
      <c r="B104" s="125">
        <v>346</v>
      </c>
      <c r="C104" s="73">
        <v>5.4878048800000002E-2</v>
      </c>
      <c r="D104" s="125">
        <v>334</v>
      </c>
      <c r="E104" s="73">
        <f t="shared" ref="E104:E107" si="50">IF(ISNUMBER(D104), (D104 - $B104) / $B104, "")</f>
        <v>-3.4682080924855488E-2</v>
      </c>
      <c r="F104" s="136">
        <f>IF(ISNUMBER(D104), $B118 * E104, "")</f>
        <v>-5202.3121387283236</v>
      </c>
      <c r="G104" s="39">
        <v>343</v>
      </c>
      <c r="H104" s="73">
        <f t="shared" ref="H104:H107" si="51">IF(ISNUMBER(G104), (G104 - $B104) / $B104, "")</f>
        <v>-8.670520231213872E-3</v>
      </c>
      <c r="I104" s="202">
        <f>IF(ISNUMBER(G104), $B118 * H104, "")</f>
        <v>-1300.5780346820809</v>
      </c>
      <c r="J104" s="125">
        <v>331</v>
      </c>
      <c r="K104" s="73">
        <f t="shared" ref="K104:K107" si="52">IF(ISNUMBER(J104), (J104 - $B104) / $B104, "")</f>
        <v>-4.3352601156069363E-2</v>
      </c>
      <c r="L104" s="136">
        <f>IF(ISNUMBER(J104), $B118 * K104, "")</f>
        <v>-6502.8901734104047</v>
      </c>
      <c r="M104" s="39">
        <v>330</v>
      </c>
      <c r="N104" s="73">
        <f t="shared" ref="N104:N107" si="53">IF(ISNUMBER(M104), (M104 - $B104) / $B104, "")</f>
        <v>-4.6242774566473986E-2</v>
      </c>
      <c r="O104" s="136">
        <f>IF(ISNUMBER(M104), $B118 * N104, "")</f>
        <v>-6936.4161849710981</v>
      </c>
      <c r="Q104" s="268"/>
      <c r="R104" s="268"/>
      <c r="S104" s="268"/>
    </row>
    <row r="105" spans="1:19" ht="17.25" thickBot="1">
      <c r="A105" s="124" t="s">
        <v>168</v>
      </c>
      <c r="B105" s="125">
        <v>211</v>
      </c>
      <c r="C105" s="73">
        <v>4.4554455399999998E-2</v>
      </c>
      <c r="D105" s="125">
        <v>210</v>
      </c>
      <c r="E105" s="73">
        <f t="shared" si="50"/>
        <v>-4.7393364928909956E-3</v>
      </c>
      <c r="F105" s="136">
        <f>IF(ISNUMBER(D105), $B118 * E105, "")</f>
        <v>-710.90047393364932</v>
      </c>
      <c r="G105" s="39">
        <v>219</v>
      </c>
      <c r="H105" s="73">
        <f t="shared" si="51"/>
        <v>3.7914691943127965E-2</v>
      </c>
      <c r="I105" s="202">
        <f>IF(ISNUMBER(G105), $B118 * H105, "")</f>
        <v>5687.2037914691946</v>
      </c>
      <c r="J105" s="125">
        <v>214</v>
      </c>
      <c r="K105" s="73">
        <f t="shared" si="52"/>
        <v>1.4218009478672985E-2</v>
      </c>
      <c r="L105" s="136">
        <f>IF(ISNUMBER(J105), $B118 * K105, "")</f>
        <v>2132.7014218009476</v>
      </c>
      <c r="M105" s="39">
        <v>218</v>
      </c>
      <c r="N105" s="73">
        <f t="shared" si="53"/>
        <v>3.3175355450236969E-2</v>
      </c>
      <c r="O105" s="136">
        <f>IF(ISNUMBER(M105), $B118 * N105, "")</f>
        <v>4976.3033175355458</v>
      </c>
      <c r="Q105" s="268"/>
      <c r="R105" s="268"/>
      <c r="S105" s="268"/>
    </row>
    <row r="106" spans="1:19" ht="17.25" thickBot="1">
      <c r="A106" s="124" t="s">
        <v>230</v>
      </c>
      <c r="B106" s="125">
        <v>155</v>
      </c>
      <c r="C106" s="73">
        <v>4.0268456399999999E-2</v>
      </c>
      <c r="D106" s="125">
        <v>153</v>
      </c>
      <c r="E106" s="73">
        <f t="shared" si="50"/>
        <v>-1.2903225806451613E-2</v>
      </c>
      <c r="F106" s="136">
        <f>IF(ISNUMBER(D106), $B118 * E106, "")</f>
        <v>-1935.483870967742</v>
      </c>
      <c r="G106" s="39">
        <v>156</v>
      </c>
      <c r="H106" s="73">
        <f t="shared" si="51"/>
        <v>6.4516129032258064E-3</v>
      </c>
      <c r="I106" s="202">
        <f>IF(ISNUMBER(G106), $B118 * H106, "")</f>
        <v>967.74193548387098</v>
      </c>
      <c r="J106" s="125">
        <v>153</v>
      </c>
      <c r="K106" s="73">
        <f t="shared" si="52"/>
        <v>-1.2903225806451613E-2</v>
      </c>
      <c r="L106" s="136">
        <f>IF(ISNUMBER(J106), $B118 * K106, "")</f>
        <v>-1935.483870967742</v>
      </c>
      <c r="M106" s="39">
        <v>152</v>
      </c>
      <c r="N106" s="73">
        <f t="shared" si="53"/>
        <v>-1.935483870967742E-2</v>
      </c>
      <c r="O106" s="136">
        <f>IF(ISNUMBER(M106), $B118 * N106, "")</f>
        <v>-2903.2258064516132</v>
      </c>
      <c r="Q106" s="33"/>
      <c r="R106" s="33"/>
    </row>
    <row r="107" spans="1:19" ht="17.25" thickBot="1">
      <c r="A107" s="129" t="s">
        <v>86</v>
      </c>
      <c r="B107" s="130">
        <v>14240</v>
      </c>
      <c r="C107" s="75">
        <v>3.0390738099999998E-2</v>
      </c>
      <c r="D107" s="130">
        <v>13050</v>
      </c>
      <c r="E107" s="75">
        <f t="shared" si="50"/>
        <v>-8.3567415730337075E-2</v>
      </c>
      <c r="F107" s="137">
        <f>IF(ISNUMBER(D107), $B118 * E107, "")</f>
        <v>-12535.112359550561</v>
      </c>
      <c r="G107" s="37">
        <v>13570</v>
      </c>
      <c r="H107" s="75">
        <f t="shared" si="51"/>
        <v>-4.7050561797752806E-2</v>
      </c>
      <c r="I107" s="207">
        <f>IF(ISNUMBER(G107), $B118 * H107, "")</f>
        <v>-7057.5842696629206</v>
      </c>
      <c r="J107" s="130">
        <v>12940</v>
      </c>
      <c r="K107" s="75">
        <f t="shared" si="52"/>
        <v>-9.1292134831460675E-2</v>
      </c>
      <c r="L107" s="137">
        <f>IF(ISNUMBER(J107), $B118 * K107, "")</f>
        <v>-13693.820224719102</v>
      </c>
      <c r="M107" s="37">
        <v>12820</v>
      </c>
      <c r="N107" s="75">
        <f t="shared" si="53"/>
        <v>-9.9719101123595499E-2</v>
      </c>
      <c r="O107" s="137">
        <f>IF(ISNUMBER(M107), $B118 * N107, "")</f>
        <v>-14957.865168539325</v>
      </c>
      <c r="Q107" s="269"/>
      <c r="R107" s="270"/>
      <c r="S107" s="271"/>
    </row>
    <row r="108" spans="1:19">
      <c r="A108" s="122" t="s">
        <v>220</v>
      </c>
      <c r="B108" s="123">
        <v>18.399999999999999</v>
      </c>
      <c r="C108" s="72">
        <v>2.2222222199999999E-2</v>
      </c>
      <c r="D108" s="123">
        <v>17.2</v>
      </c>
      <c r="E108" s="72">
        <f>IF(ISNUMBER(D108), (D108 - $B108) / $B108, "")</f>
        <v>-6.5217391304347797E-2</v>
      </c>
      <c r="F108" s="140">
        <f>IF(ISNUMBER(D108), $B118 * E108, "")</f>
        <v>-9782.6086956521704</v>
      </c>
      <c r="G108" s="38">
        <v>17.8</v>
      </c>
      <c r="H108" s="72">
        <f>IF(ISNUMBER(G108), (G108 - $B108) / $B108, "")</f>
        <v>-3.2608695652173801E-2</v>
      </c>
      <c r="I108" s="201">
        <f>IF(ISNUMBER(G108), $B118 * H108, "")</f>
        <v>-4891.3043478260697</v>
      </c>
      <c r="J108" s="123">
        <v>17.3</v>
      </c>
      <c r="K108" s="72">
        <f>IF(ISNUMBER(J108), (J108 - $B108) / $B108, "")</f>
        <v>-5.9782608695652065E-2</v>
      </c>
      <c r="L108" s="140">
        <f>IF(ISNUMBER(J108), $B118 * K108, "")</f>
        <v>-8967.3913043478096</v>
      </c>
      <c r="M108" s="38">
        <v>17.3</v>
      </c>
      <c r="N108" s="72">
        <f>IF(ISNUMBER(M108), (M108 - $B108) / $B108, "")</f>
        <v>-5.9782608695652065E-2</v>
      </c>
      <c r="O108" s="140">
        <f>IF(ISNUMBER(M108), $B118 * N108, "")</f>
        <v>-8967.3913043478096</v>
      </c>
      <c r="Q108" s="272"/>
      <c r="R108" s="273"/>
      <c r="S108" s="274"/>
    </row>
    <row r="109" spans="1:19" ht="17.25" thickBot="1">
      <c r="A109" s="124" t="s">
        <v>206</v>
      </c>
      <c r="B109" s="125">
        <v>31500</v>
      </c>
      <c r="C109" s="73">
        <v>2.1732079099999999E-2</v>
      </c>
      <c r="D109" s="125">
        <v>30350</v>
      </c>
      <c r="E109" s="73">
        <f t="shared" ref="E109:E112" si="54">IF(ISNUMBER(D109), (D109 - $B109) / $B109, "")</f>
        <v>-3.650793650793651E-2</v>
      </c>
      <c r="F109" s="136">
        <f>IF(ISNUMBER(D109), $B118 * E109, "")</f>
        <v>-5476.1904761904761</v>
      </c>
      <c r="G109" s="39">
        <v>31040</v>
      </c>
      <c r="H109" s="73">
        <f t="shared" ref="H109:H112" si="55">IF(ISNUMBER(G109), (G109 - $B109) / $B109, "")</f>
        <v>-1.4603174603174604E-2</v>
      </c>
      <c r="I109" s="202">
        <f>IF(ISNUMBER(G109), $B118 * H109, "")</f>
        <v>-2190.4761904761908</v>
      </c>
      <c r="J109" s="125">
        <v>30530</v>
      </c>
      <c r="K109" s="73">
        <f t="shared" ref="K109:K112" si="56">IF(ISNUMBER(J109), (J109 - $B109) / $B109, "")</f>
        <v>-3.0793650793650793E-2</v>
      </c>
      <c r="L109" s="136">
        <f>IF(ISNUMBER(J109), $B118 * K109, "")</f>
        <v>-4619.0476190476193</v>
      </c>
      <c r="M109" s="39">
        <v>30660</v>
      </c>
      <c r="N109" s="73">
        <f t="shared" ref="N109:N112" si="57">IF(ISNUMBER(M109), (M109 - $B109) / $B109, "")</f>
        <v>-2.6666666666666668E-2</v>
      </c>
      <c r="O109" s="136">
        <f>IF(ISNUMBER(M109), $B118 * N109, "")</f>
        <v>-4000.0000000000005</v>
      </c>
      <c r="Q109" s="275"/>
      <c r="R109" s="276"/>
      <c r="S109" s="277"/>
    </row>
    <row r="110" spans="1:19" ht="17.25" thickBot="1">
      <c r="A110" s="124" t="s">
        <v>226</v>
      </c>
      <c r="B110" s="125">
        <v>446</v>
      </c>
      <c r="C110" s="73">
        <v>2.0594965699999999E-2</v>
      </c>
      <c r="D110" s="125">
        <v>429</v>
      </c>
      <c r="E110" s="73">
        <f t="shared" si="54"/>
        <v>-3.811659192825112E-2</v>
      </c>
      <c r="F110" s="136">
        <f>IF(ISNUMBER(D110), $B118 * E110, "")</f>
        <v>-5717.4887892376682</v>
      </c>
      <c r="G110" s="39">
        <v>444</v>
      </c>
      <c r="H110" s="73">
        <f t="shared" si="55"/>
        <v>-4.4843049327354259E-3</v>
      </c>
      <c r="I110" s="202">
        <f>IF(ISNUMBER(G110), $B118 * H110, "")</f>
        <v>-672.64573991031386</v>
      </c>
      <c r="J110" s="125">
        <v>434</v>
      </c>
      <c r="K110" s="73">
        <f t="shared" si="56"/>
        <v>-2.6905829596412557E-2</v>
      </c>
      <c r="L110" s="136">
        <f>IF(ISNUMBER(J110), $B118 * K110, "")</f>
        <v>-4035.8744394618834</v>
      </c>
      <c r="M110" s="39">
        <v>436</v>
      </c>
      <c r="N110" s="73">
        <f t="shared" si="57"/>
        <v>-2.2421524663677129E-2</v>
      </c>
      <c r="O110" s="136">
        <f>IF(ISNUMBER(M110), $B118 * N110, "")</f>
        <v>-3363.2286995515692</v>
      </c>
      <c r="Q110" s="268"/>
      <c r="R110" s="268"/>
      <c r="S110" s="268"/>
    </row>
    <row r="111" spans="1:19" ht="17.25" thickBot="1">
      <c r="A111" s="124" t="s">
        <v>210</v>
      </c>
      <c r="B111" s="125">
        <v>171</v>
      </c>
      <c r="C111" s="73">
        <v>1.7857142900000001E-2</v>
      </c>
      <c r="D111" s="125">
        <v>163</v>
      </c>
      <c r="E111" s="73">
        <f t="shared" si="54"/>
        <v>-4.6783625730994149E-2</v>
      </c>
      <c r="F111" s="136">
        <f>IF(ISNUMBER(D111), $B118 * E111, "")</f>
        <v>-7017.5438596491222</v>
      </c>
      <c r="G111" s="39">
        <v>168</v>
      </c>
      <c r="H111" s="73">
        <f t="shared" si="55"/>
        <v>-1.7543859649122806E-2</v>
      </c>
      <c r="I111" s="202">
        <f>IF(ISNUMBER(G111), $B118 * H111, "")</f>
        <v>-2631.5789473684208</v>
      </c>
      <c r="J111" s="125">
        <v>162</v>
      </c>
      <c r="K111" s="73">
        <f t="shared" si="56"/>
        <v>-5.2631578947368418E-2</v>
      </c>
      <c r="L111" s="136">
        <f>IF(ISNUMBER(J111), $B118 * K111, "")</f>
        <v>-7894.7368421052624</v>
      </c>
      <c r="M111" s="39">
        <v>163</v>
      </c>
      <c r="N111" s="73">
        <f t="shared" si="57"/>
        <v>-4.6783625730994149E-2</v>
      </c>
      <c r="O111" s="136">
        <f>IF(ISNUMBER(M111), $B118 * N111, "")</f>
        <v>-7017.5438596491222</v>
      </c>
      <c r="Q111" s="278"/>
      <c r="R111" s="278"/>
      <c r="S111" s="278"/>
    </row>
    <row r="112" spans="1:19" ht="17.25" thickBot="1">
      <c r="A112" s="126" t="s">
        <v>260</v>
      </c>
      <c r="B112" s="127">
        <v>131</v>
      </c>
      <c r="C112" s="74">
        <v>1.5503876E-2</v>
      </c>
      <c r="D112" s="127">
        <v>125</v>
      </c>
      <c r="E112" s="74">
        <f t="shared" si="54"/>
        <v>-4.5801526717557252E-2</v>
      </c>
      <c r="F112" s="203">
        <f>IF(ISNUMBER(D112), $B118 * E112, "")</f>
        <v>-6870.2290076335876</v>
      </c>
      <c r="G112" s="44">
        <v>129</v>
      </c>
      <c r="H112" s="74">
        <f t="shared" si="55"/>
        <v>-1.5267175572519083E-2</v>
      </c>
      <c r="I112" s="204">
        <f>IF(ISNUMBER(G112), $B118 * H112, "")</f>
        <v>-2290.0763358778627</v>
      </c>
      <c r="J112" s="127">
        <v>125</v>
      </c>
      <c r="K112" s="74">
        <f t="shared" si="56"/>
        <v>-4.5801526717557252E-2</v>
      </c>
      <c r="L112" s="203">
        <f>IF(ISNUMBER(J112), $B118 * K112, "")</f>
        <v>-6870.2290076335876</v>
      </c>
      <c r="M112" s="44">
        <v>124</v>
      </c>
      <c r="N112" s="74">
        <f t="shared" si="57"/>
        <v>-5.3435114503816793E-2</v>
      </c>
      <c r="O112" s="203">
        <f>IF(ISNUMBER(M112), $B118 * N112, "")</f>
        <v>-8015.2671755725187</v>
      </c>
      <c r="Q112" s="278"/>
      <c r="R112" s="278"/>
      <c r="S112" s="278"/>
    </row>
    <row r="113" spans="1:19" ht="17.25" thickBot="1">
      <c r="A113" s="124" t="s">
        <v>126</v>
      </c>
      <c r="B113" s="128">
        <v>49.7</v>
      </c>
      <c r="C113" s="76">
        <v>2.0161290000000002E-3</v>
      </c>
      <c r="D113" s="128">
        <v>48</v>
      </c>
      <c r="E113" s="76">
        <f>IF(ISNUMBER(D113), (D113 - $B113) / $B113, "")</f>
        <v>-3.4205231388330037E-2</v>
      </c>
      <c r="F113" s="205">
        <f>IF(ISNUMBER(D113), $B118 * E113, "")</f>
        <v>-5130.7847082495055</v>
      </c>
      <c r="G113" s="45">
        <v>49.3</v>
      </c>
      <c r="H113" s="76">
        <f>IF(ISNUMBER(G113), (G113 - $B113) / $B113, "")</f>
        <v>-8.0482897384306969E-3</v>
      </c>
      <c r="I113" s="206">
        <f>IF(ISNUMBER(G113), $B118 * H113, "")</f>
        <v>-1207.2434607646046</v>
      </c>
      <c r="J113" s="128">
        <v>47.4</v>
      </c>
      <c r="K113" s="76">
        <f>IF(ISNUMBER(J113), (J113 - $B113) / $B113, "")</f>
        <v>-4.6277665995975936E-2</v>
      </c>
      <c r="L113" s="205">
        <f>IF(ISNUMBER(J113), $B118 * K113, "")</f>
        <v>-6941.6498993963905</v>
      </c>
      <c r="M113" s="45">
        <v>47.4</v>
      </c>
      <c r="N113" s="76">
        <f>IF(ISNUMBER(M113), (M113 - $B113) / $B113, "")</f>
        <v>-4.6277665995975936E-2</v>
      </c>
      <c r="O113" s="205">
        <f>IF(ISNUMBER(M113), $B118 * N113, "")</f>
        <v>-6941.6498993963905</v>
      </c>
      <c r="Q113" s="268"/>
      <c r="R113" s="268"/>
      <c r="S113" s="268"/>
    </row>
    <row r="114" spans="1:19" ht="17.25" thickBot="1">
      <c r="A114" s="124" t="s">
        <v>57</v>
      </c>
      <c r="B114" s="125">
        <v>395</v>
      </c>
      <c r="C114" s="73">
        <v>0</v>
      </c>
      <c r="D114" s="125">
        <v>376</v>
      </c>
      <c r="E114" s="73">
        <f t="shared" ref="E114:E117" si="58">IF(ISNUMBER(D114), (D114 - $B114) / $B114, "")</f>
        <v>-4.810126582278481E-2</v>
      </c>
      <c r="F114" s="136">
        <f>IF(ISNUMBER(D114), $B118 * E114, "")</f>
        <v>-7215.1898734177212</v>
      </c>
      <c r="G114" s="39">
        <v>393</v>
      </c>
      <c r="H114" s="73">
        <f t="shared" ref="H114:H117" si="59">IF(ISNUMBER(G114), (G114 - $B114) / $B114, "")</f>
        <v>-5.0632911392405064E-3</v>
      </c>
      <c r="I114" s="202">
        <f>IF(ISNUMBER(G114), $B118 * H114, "")</f>
        <v>-759.49367088607596</v>
      </c>
      <c r="J114" s="125">
        <v>382</v>
      </c>
      <c r="K114" s="73">
        <f t="shared" ref="K114:K117" si="60">IF(ISNUMBER(J114), (J114 - $B114) / $B114, "")</f>
        <v>-3.2911392405063293E-2</v>
      </c>
      <c r="L114" s="136">
        <f>IF(ISNUMBER(J114), $B118 * K114, "")</f>
        <v>-4936.7088607594942</v>
      </c>
      <c r="M114" s="39">
        <v>380</v>
      </c>
      <c r="N114" s="73">
        <f t="shared" ref="N114:N117" si="61">IF(ISNUMBER(M114), (M114 - $B114) / $B114, "")</f>
        <v>-3.7974683544303799E-2</v>
      </c>
      <c r="O114" s="136">
        <f>IF(ISNUMBER(M114), $B118 * N114, "")</f>
        <v>-5696.2025316455702</v>
      </c>
      <c r="Q114" s="268"/>
      <c r="R114" s="268"/>
      <c r="S114" s="268"/>
    </row>
    <row r="115" spans="1:19" ht="17.25" thickBot="1">
      <c r="A115" s="124" t="s">
        <v>156</v>
      </c>
      <c r="B115" s="125">
        <v>154</v>
      </c>
      <c r="C115" s="73">
        <v>0</v>
      </c>
      <c r="D115" s="125">
        <v>153</v>
      </c>
      <c r="E115" s="73">
        <f t="shared" si="58"/>
        <v>-6.4935064935064939E-3</v>
      </c>
      <c r="F115" s="136">
        <f>IF(ISNUMBER(D115), $B118 * E115, "")</f>
        <v>-974.02597402597405</v>
      </c>
      <c r="G115" s="39">
        <v>160</v>
      </c>
      <c r="H115" s="73">
        <f t="shared" si="59"/>
        <v>3.896103896103896E-2</v>
      </c>
      <c r="I115" s="202">
        <f>IF(ISNUMBER(G115), $B118 * H115, "")</f>
        <v>5844.1558441558436</v>
      </c>
      <c r="J115" s="125">
        <v>153</v>
      </c>
      <c r="K115" s="73">
        <f t="shared" si="60"/>
        <v>-6.4935064935064939E-3</v>
      </c>
      <c r="L115" s="136">
        <f>IF(ISNUMBER(J115), $B118 * K115, "")</f>
        <v>-974.02597402597405</v>
      </c>
      <c r="M115" s="39">
        <v>153</v>
      </c>
      <c r="N115" s="73">
        <f t="shared" si="61"/>
        <v>-6.4935064935064939E-3</v>
      </c>
      <c r="O115" s="136">
        <f>IF(ISNUMBER(M115), $B118 * N115, "")</f>
        <v>-974.02597402597405</v>
      </c>
      <c r="Q115" s="268"/>
      <c r="R115" s="268"/>
      <c r="S115" s="268"/>
    </row>
    <row r="116" spans="1:19">
      <c r="A116" s="124" t="s">
        <v>282</v>
      </c>
      <c r="B116" s="125">
        <v>151</v>
      </c>
      <c r="C116" s="73">
        <v>0</v>
      </c>
      <c r="D116" s="125">
        <v>146</v>
      </c>
      <c r="E116" s="73">
        <f t="shared" si="58"/>
        <v>-3.3112582781456956E-2</v>
      </c>
      <c r="F116" s="136">
        <f>IF(ISNUMBER(D116), $B118 * E116, "")</f>
        <v>-4966.8874172185433</v>
      </c>
      <c r="G116" s="39">
        <v>149</v>
      </c>
      <c r="H116" s="73">
        <f t="shared" si="59"/>
        <v>-1.3245033112582781E-2</v>
      </c>
      <c r="I116" s="202">
        <f>IF(ISNUMBER(G116), $B118 * H116, "")</f>
        <v>-1986.7549668874171</v>
      </c>
      <c r="J116" s="125">
        <v>145</v>
      </c>
      <c r="K116" s="73">
        <f t="shared" si="60"/>
        <v>-3.9735099337748346E-2</v>
      </c>
      <c r="L116" s="136">
        <f>IF(ISNUMBER(J116), $B118 * K116, "")</f>
        <v>-5960.2649006622523</v>
      </c>
      <c r="M116" s="39">
        <v>144</v>
      </c>
      <c r="N116" s="73">
        <f t="shared" si="61"/>
        <v>-4.6357615894039736E-2</v>
      </c>
      <c r="O116" s="136">
        <f>IF(ISNUMBER(M116), $B118 * N116, "")</f>
        <v>-6953.6423841059604</v>
      </c>
      <c r="Q116" s="257"/>
      <c r="R116" s="258"/>
      <c r="S116" s="259"/>
    </row>
    <row r="117" spans="1:19" ht="17.25" thickBot="1">
      <c r="A117" s="129" t="s">
        <v>90</v>
      </c>
      <c r="B117" s="130">
        <v>413500</v>
      </c>
      <c r="C117" s="75">
        <v>-1.2090439999999999E-4</v>
      </c>
      <c r="D117" s="130">
        <v>392000</v>
      </c>
      <c r="E117" s="75">
        <f t="shared" si="58"/>
        <v>-5.1995163240628778E-2</v>
      </c>
      <c r="F117" s="137">
        <f>IF(ISNUMBER(D117), $B118 * E117, "")</f>
        <v>-7799.2744860943167</v>
      </c>
      <c r="G117" s="37">
        <v>402800</v>
      </c>
      <c r="H117" s="75">
        <f t="shared" si="59"/>
        <v>-2.5876662636033856E-2</v>
      </c>
      <c r="I117" s="207">
        <f>IF(ISNUMBER(G117), $B118 * H117, "")</f>
        <v>-3881.4993954050783</v>
      </c>
      <c r="J117" s="130">
        <v>389700</v>
      </c>
      <c r="K117" s="75">
        <f t="shared" si="60"/>
        <v>-5.7557436517533256E-2</v>
      </c>
      <c r="L117" s="137">
        <f>IF(ISNUMBER(J117), $B118 * K117, "")</f>
        <v>-8633.6154776299882</v>
      </c>
      <c r="M117" s="37">
        <v>384300</v>
      </c>
      <c r="N117" s="75">
        <f t="shared" si="61"/>
        <v>-7.0616686819830715E-2</v>
      </c>
      <c r="O117" s="137">
        <f>IF(ISNUMBER(M117), $B118 * N117, "")</f>
        <v>-10592.503022974608</v>
      </c>
      <c r="Q117" s="260"/>
      <c r="R117" s="261"/>
      <c r="S117" s="262"/>
    </row>
    <row r="118" spans="1:19" ht="17.25" thickBot="1">
      <c r="A118" s="131" t="s">
        <v>301</v>
      </c>
      <c r="B118" s="330">
        <f>$B$37</f>
        <v>150000</v>
      </c>
      <c r="C118" s="331"/>
      <c r="D118" s="131" t="s">
        <v>302</v>
      </c>
      <c r="E118" s="244">
        <f>IF(COUNT(E98:E117), SUM(E98:E117) / COUNT(E98:E117), 0)</f>
        <v>-3.1332028510581589E-2</v>
      </c>
      <c r="F118" s="208">
        <f>SUM(F98:F117)</f>
        <v>-93996.085531744786</v>
      </c>
      <c r="G118" s="131" t="s">
        <v>302</v>
      </c>
      <c r="H118" s="244">
        <f>IF(COUNT(H98:H117), SUM(H98:H117) / COUNT(H98:H117), 0)</f>
        <v>-4.6076047330217973E-3</v>
      </c>
      <c r="I118" s="208">
        <f>SUM(I98:I117)</f>
        <v>-13822.814199065397</v>
      </c>
      <c r="J118" s="131" t="s">
        <v>302</v>
      </c>
      <c r="K118" s="244">
        <f>IF(COUNT(K98:K117), SUM(K98:K117) / COUNT(K98:K117), 0)</f>
        <v>-3.418306645350274E-2</v>
      </c>
      <c r="L118" s="208">
        <f>SUM(L98:L117)</f>
        <v>-102549.19936050824</v>
      </c>
      <c r="M118" s="131" t="s">
        <v>302</v>
      </c>
      <c r="N118" s="244">
        <f>IF(COUNT(N98:N117), SUM(N98:N117) / COUNT(N98:N117), 0)</f>
        <v>-3.5791596947261931E-2</v>
      </c>
      <c r="O118" s="208">
        <f>SUM(O98:O117)</f>
        <v>-107374.7908417858</v>
      </c>
      <c r="Q118" s="263"/>
      <c r="R118" s="264"/>
      <c r="S118" s="265"/>
    </row>
    <row r="120" spans="1:19" ht="17.25" thickBot="1"/>
    <row r="121" spans="1:19" ht="17.25" thickBot="1">
      <c r="A121" s="279" t="s">
        <v>288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41" t="s">
        <v>298</v>
      </c>
      <c r="B122" s="279" t="s">
        <v>49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55555000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-3.6323266700000002E-2</v>
      </c>
      <c r="N122" s="286"/>
      <c r="O122" s="287"/>
      <c r="Q122" s="278"/>
      <c r="R122" s="278"/>
      <c r="S122" s="278"/>
    </row>
    <row r="123" spans="1:19" ht="17.25" thickBot="1">
      <c r="A123" s="332" t="s">
        <v>55</v>
      </c>
      <c r="B123" s="328" t="str">
        <f>TEXT($G$1, "[$-ko-KR]yyyy-mm-dd(ddd) ") &amp; "오전 00:00"</f>
        <v>2021-05-16(일) 오전 00:00</v>
      </c>
      <c r="C123" s="329"/>
      <c r="D123" s="279" t="str">
        <f>TEXT($G$1, "[$-ko-KR]yyyy-mm-dd(ddd) ") &amp; "오후 14:00"</f>
        <v>2021-05-16(일) 오후 14:00</v>
      </c>
      <c r="E123" s="280"/>
      <c r="F123" s="281"/>
      <c r="G123" s="279" t="str">
        <f>TEXT($G$1, "[$-ko-KR]yyyy-mm-dd(ddd) ") &amp; "오후 19:00"</f>
        <v>2021-05-16(일) 오후 19:00</v>
      </c>
      <c r="H123" s="280"/>
      <c r="I123" s="281"/>
      <c r="J123" s="279" t="str">
        <f>TEXT($G$1, "[$-ko-KR]yyyy-mm-dd(ddd) ") &amp; "오후 21:00"</f>
        <v>2021-05-16(일) 오후 21:00</v>
      </c>
      <c r="K123" s="280"/>
      <c r="L123" s="281"/>
      <c r="M123" s="279" t="str">
        <f>TEXT($G$1+1, "[$-ko-KR]yyyy-mm-dd(ddd) ") &amp; "오전 00:00"</f>
        <v>2021-05-17(월) 오전 00:00</v>
      </c>
      <c r="N123" s="280"/>
      <c r="O123" s="281"/>
      <c r="Q123" s="278"/>
      <c r="R123" s="278"/>
      <c r="S123" s="278"/>
    </row>
    <row r="124" spans="1:19" ht="17.25" thickBot="1">
      <c r="A124" s="333"/>
      <c r="B124" s="120" t="s">
        <v>58</v>
      </c>
      <c r="C124" s="121" t="s">
        <v>59</v>
      </c>
      <c r="D124" s="120" t="s">
        <v>58</v>
      </c>
      <c r="E124" s="121" t="s">
        <v>299</v>
      </c>
      <c r="F124" s="248" t="s">
        <v>300</v>
      </c>
      <c r="G124" s="241" t="s">
        <v>58</v>
      </c>
      <c r="H124" s="242" t="s">
        <v>299</v>
      </c>
      <c r="I124" s="243" t="s">
        <v>300</v>
      </c>
      <c r="J124" s="121" t="s">
        <v>58</v>
      </c>
      <c r="K124" s="121" t="s">
        <v>299</v>
      </c>
      <c r="L124" s="246" t="s">
        <v>300</v>
      </c>
      <c r="M124" s="120" t="s">
        <v>58</v>
      </c>
      <c r="N124" s="121" t="s">
        <v>299</v>
      </c>
      <c r="O124" s="247" t="s">
        <v>300</v>
      </c>
      <c r="Q124" s="268"/>
      <c r="R124" s="268"/>
      <c r="S124" s="268"/>
    </row>
    <row r="125" spans="1:19" ht="17.25" thickBot="1">
      <c r="A125" s="122" t="s">
        <v>220</v>
      </c>
      <c r="B125" s="123">
        <v>18.399999999999999</v>
      </c>
      <c r="C125" s="72">
        <v>2.2222222199999999E-2</v>
      </c>
      <c r="D125" s="123">
        <v>17.2</v>
      </c>
      <c r="E125" s="72">
        <f>IF(ISNUMBER(D125), (D125 - $B125) / $B125, "")</f>
        <v>-6.5217391304347797E-2</v>
      </c>
      <c r="F125" s="140">
        <f>IF(ISNUMBER(D125), $B145 * E125, "")</f>
        <v>-9782.6086956521704</v>
      </c>
      <c r="G125" s="38">
        <v>17.8</v>
      </c>
      <c r="H125" s="72">
        <f>IF(ISNUMBER(G125), (G125 - $B125) / $B125, "")</f>
        <v>-3.2608695652173801E-2</v>
      </c>
      <c r="I125" s="201">
        <f>IF(ISNUMBER(G125), $B145 * H125, "")</f>
        <v>-4891.3043478260697</v>
      </c>
      <c r="J125" s="123">
        <v>17.3</v>
      </c>
      <c r="K125" s="72">
        <f>IF(ISNUMBER(J125), (J125 - $B125) / $B125, "")</f>
        <v>-5.9782608695652065E-2</v>
      </c>
      <c r="L125" s="140">
        <f>IF(ISNUMBER(J125), $B145 * K125, "")</f>
        <v>-8967.3913043478096</v>
      </c>
      <c r="M125" s="38">
        <v>17.3</v>
      </c>
      <c r="N125" s="72">
        <f>IF(ISNUMBER(M125), (M125 - $B125) / $B125, "")</f>
        <v>-5.9782608695652065E-2</v>
      </c>
      <c r="O125" s="140">
        <f>IF(ISNUMBER(M125), $B145 * N125, "")</f>
        <v>-8967.3913043478096</v>
      </c>
      <c r="Q125" s="278"/>
      <c r="R125" s="278"/>
      <c r="S125" s="278"/>
    </row>
    <row r="126" spans="1:19" ht="17.25" thickBot="1">
      <c r="A126" s="124" t="s">
        <v>126</v>
      </c>
      <c r="B126" s="125">
        <v>49.7</v>
      </c>
      <c r="C126" s="73">
        <v>2.0161290000000002E-3</v>
      </c>
      <c r="D126" s="125">
        <v>48</v>
      </c>
      <c r="E126" s="73">
        <f t="shared" ref="E126:E129" si="62">IF(ISNUMBER(D126), (D126 - $B126) / $B126, "")</f>
        <v>-3.4205231388330037E-2</v>
      </c>
      <c r="F126" s="136">
        <f>IF(ISNUMBER(D126), $B145 * E126, "")</f>
        <v>-5130.7847082495055</v>
      </c>
      <c r="G126" s="39">
        <v>49.3</v>
      </c>
      <c r="H126" s="73">
        <f t="shared" ref="H126:H129" si="63">IF(ISNUMBER(G126), (G126 - $B126) / $B126, "")</f>
        <v>-8.0482897384306969E-3</v>
      </c>
      <c r="I126" s="202">
        <f>IF(ISNUMBER(G126), $B145 * H126, "")</f>
        <v>-1207.2434607646046</v>
      </c>
      <c r="J126" s="125">
        <v>47.4</v>
      </c>
      <c r="K126" s="73">
        <f t="shared" ref="K126:K129" si="64">IF(ISNUMBER(J126), (J126 - $B126) / $B126, "")</f>
        <v>-4.6277665995975936E-2</v>
      </c>
      <c r="L126" s="136">
        <f>IF(ISNUMBER(J126), $B145 * K126, "")</f>
        <v>-6941.6498993963905</v>
      </c>
      <c r="M126" s="39">
        <v>47.4</v>
      </c>
      <c r="N126" s="73">
        <f t="shared" ref="N126:N129" si="65">IF(ISNUMBER(M126), (M126 - $B126) / $B126, "")</f>
        <v>-4.6277665995975936E-2</v>
      </c>
      <c r="O126" s="136">
        <f>IF(ISNUMBER(M126), $B145 * N126, "")</f>
        <v>-6941.6498993963905</v>
      </c>
      <c r="Q126" s="278"/>
      <c r="R126" s="278"/>
      <c r="S126" s="278"/>
    </row>
    <row r="127" spans="1:19" ht="17.25" thickBot="1">
      <c r="A127" s="124" t="s">
        <v>100</v>
      </c>
      <c r="B127" s="125">
        <v>7.38</v>
      </c>
      <c r="C127" s="73">
        <v>-2.3809523799999999E-2</v>
      </c>
      <c r="D127" s="125">
        <v>7.28</v>
      </c>
      <c r="E127" s="73">
        <f t="shared" si="62"/>
        <v>-1.3550135501354966E-2</v>
      </c>
      <c r="F127" s="136">
        <f>IF(ISNUMBER(D127), $B145 * E127, "")</f>
        <v>-2032.520325203245</v>
      </c>
      <c r="G127" s="39">
        <v>7.56</v>
      </c>
      <c r="H127" s="73">
        <f t="shared" si="63"/>
        <v>2.4390243902438987E-2</v>
      </c>
      <c r="I127" s="202">
        <f>IF(ISNUMBER(G127), $B145 * H127, "")</f>
        <v>3658.5365853658482</v>
      </c>
      <c r="J127" s="125">
        <v>7.27</v>
      </c>
      <c r="K127" s="73">
        <f t="shared" si="64"/>
        <v>-1.4905149051490558E-2</v>
      </c>
      <c r="L127" s="136">
        <f>IF(ISNUMBER(J127), $B145 * K127, "")</f>
        <v>-2235.7723577235838</v>
      </c>
      <c r="M127" s="39">
        <v>7.25</v>
      </c>
      <c r="N127" s="73">
        <f t="shared" si="65"/>
        <v>-1.7615176151761502E-2</v>
      </c>
      <c r="O127" s="136">
        <f>IF(ISNUMBER(M127), $B145 * N127, "")</f>
        <v>-2642.2764227642256</v>
      </c>
      <c r="Q127" s="268"/>
      <c r="R127" s="268"/>
      <c r="S127" s="268"/>
    </row>
    <row r="128" spans="1:19" ht="17.25" thickBot="1">
      <c r="A128" s="124" t="s">
        <v>236</v>
      </c>
      <c r="B128" s="125">
        <v>70.7</v>
      </c>
      <c r="C128" s="73">
        <v>-2.7510316399999998E-2</v>
      </c>
      <c r="D128" s="125">
        <v>74.900000000000006</v>
      </c>
      <c r="E128" s="73">
        <f t="shared" si="62"/>
        <v>5.9405940594059445E-2</v>
      </c>
      <c r="F128" s="136">
        <f>IF(ISNUMBER(D128), $B145 * E128, "")</f>
        <v>8910.8910891089163</v>
      </c>
      <c r="G128" s="39">
        <v>73.7</v>
      </c>
      <c r="H128" s="73">
        <f t="shared" si="63"/>
        <v>4.2432814710042434E-2</v>
      </c>
      <c r="I128" s="202">
        <f>IF(ISNUMBER(G128), $B145 * H128, "")</f>
        <v>6364.922206506365</v>
      </c>
      <c r="J128" s="125">
        <v>72.3</v>
      </c>
      <c r="K128" s="73">
        <f t="shared" si="64"/>
        <v>2.2630834512022548E-2</v>
      </c>
      <c r="L128" s="136">
        <f>IF(ISNUMBER(J128), $B145 * K128, "")</f>
        <v>3394.6251768033821</v>
      </c>
      <c r="M128" s="39">
        <v>72.5</v>
      </c>
      <c r="N128" s="73">
        <f t="shared" si="65"/>
        <v>2.5459688826025419E-2</v>
      </c>
      <c r="O128" s="136">
        <f>IF(ISNUMBER(M128), $B145 * N128, "")</f>
        <v>3818.9533239038128</v>
      </c>
      <c r="Q128" s="268"/>
      <c r="R128" s="268"/>
      <c r="S128" s="268"/>
    </row>
    <row r="129" spans="1:19" ht="17.25" thickBot="1">
      <c r="A129" s="126" t="s">
        <v>196</v>
      </c>
      <c r="B129" s="127">
        <v>17.600000000000001</v>
      </c>
      <c r="C129" s="74">
        <v>-2.7624309400000002E-2</v>
      </c>
      <c r="D129" s="127">
        <v>17.399999999999999</v>
      </c>
      <c r="E129" s="74">
        <f t="shared" si="62"/>
        <v>-1.1363636363636524E-2</v>
      </c>
      <c r="F129" s="203">
        <f>IF(ISNUMBER(D129), $B145 * E129, "")</f>
        <v>-1704.5454545454786</v>
      </c>
      <c r="G129" s="44">
        <v>17.7</v>
      </c>
      <c r="H129" s="74">
        <f t="shared" si="63"/>
        <v>5.6818181818180605E-3</v>
      </c>
      <c r="I129" s="204">
        <f>IF(ISNUMBER(G129), $B145 * H129, "")</f>
        <v>852.27272727270906</v>
      </c>
      <c r="J129" s="127">
        <v>17.2</v>
      </c>
      <c r="K129" s="74">
        <f t="shared" si="64"/>
        <v>-2.2727272727272846E-2</v>
      </c>
      <c r="L129" s="203">
        <f>IF(ISNUMBER(J129), $B145 * K129, "")</f>
        <v>-3409.0909090909267</v>
      </c>
      <c r="M129" s="44">
        <v>17.2</v>
      </c>
      <c r="N129" s="74">
        <f t="shared" si="65"/>
        <v>-2.2727272727272846E-2</v>
      </c>
      <c r="O129" s="203">
        <f>IF(ISNUMBER(M129), $B145 * N129, "")</f>
        <v>-3409.0909090909267</v>
      </c>
      <c r="Q129" s="268"/>
      <c r="R129" s="268"/>
      <c r="S129" s="268"/>
    </row>
    <row r="130" spans="1:19" ht="17.25" thickBot="1">
      <c r="A130" s="124" t="s">
        <v>254</v>
      </c>
      <c r="B130" s="128">
        <v>71.7</v>
      </c>
      <c r="C130" s="76">
        <v>-3.2388663999999998E-2</v>
      </c>
      <c r="D130" s="128">
        <v>72.099999999999994</v>
      </c>
      <c r="E130" s="76">
        <f>IF(ISNUMBER(D130), (D130 - $B130) / $B130, "")</f>
        <v>5.5788005578799368E-3</v>
      </c>
      <c r="F130" s="205">
        <f>IF(ISNUMBER(D130), $B145 * E130, "")</f>
        <v>836.82008368199047</v>
      </c>
      <c r="G130" s="45">
        <v>72.900000000000006</v>
      </c>
      <c r="H130" s="76">
        <f>IF(ISNUMBER(G130), (G130 - $B130) / $B130, "")</f>
        <v>1.6736401673640208E-2</v>
      </c>
      <c r="I130" s="206">
        <f>IF(ISNUMBER(G130), $B145 * H130, "")</f>
        <v>2510.4602510460313</v>
      </c>
      <c r="J130" s="128">
        <v>71.599999999999994</v>
      </c>
      <c r="K130" s="76">
        <f>IF(ISNUMBER(J130), (J130 - $B130) / $B130, "")</f>
        <v>-1.3947001394701327E-3</v>
      </c>
      <c r="L130" s="205">
        <f>IF(ISNUMBER(J130), $B145 * K130, "")</f>
        <v>-209.2050209205199</v>
      </c>
      <c r="M130" s="45">
        <v>71.8</v>
      </c>
      <c r="N130" s="76">
        <f>IF(ISNUMBER(M130), (M130 - $B130) / $B130, "")</f>
        <v>1.3947001394699345E-3</v>
      </c>
      <c r="O130" s="205">
        <f>IF(ISNUMBER(M130), $B145 * N130, "")</f>
        <v>209.20502092049017</v>
      </c>
      <c r="Q130" s="268"/>
      <c r="R130" s="268"/>
      <c r="S130" s="268"/>
    </row>
    <row r="131" spans="1:19" ht="17.25" thickBot="1">
      <c r="A131" s="124" t="s">
        <v>154</v>
      </c>
      <c r="B131" s="125">
        <v>17.600000000000001</v>
      </c>
      <c r="C131" s="73">
        <v>-3.2967033E-2</v>
      </c>
      <c r="D131" s="125">
        <v>17.100000000000001</v>
      </c>
      <c r="E131" s="73">
        <f t="shared" ref="E131:E134" si="66">IF(ISNUMBER(D131), (D131 - $B131) / $B131, "")</f>
        <v>-2.8409090909090908E-2</v>
      </c>
      <c r="F131" s="136">
        <f>IF(ISNUMBER(D131), $B145 * E131, "")</f>
        <v>-4261.363636363636</v>
      </c>
      <c r="G131" s="39">
        <v>17.5</v>
      </c>
      <c r="H131" s="73">
        <f t="shared" ref="H131:H134" si="67">IF(ISNUMBER(G131), (G131 - $B131) / $B131, "")</f>
        <v>-5.6818181818182618E-3</v>
      </c>
      <c r="I131" s="202">
        <f>IF(ISNUMBER(G131), $B145 * H131, "")</f>
        <v>-852.2727272727393</v>
      </c>
      <c r="J131" s="125">
        <v>17.100000000000001</v>
      </c>
      <c r="K131" s="73">
        <f t="shared" ref="K131:K134" si="68">IF(ISNUMBER(J131), (J131 - $B131) / $B131, "")</f>
        <v>-2.8409090909090908E-2</v>
      </c>
      <c r="L131" s="136">
        <f>IF(ISNUMBER(J131), $B145 * K131, "")</f>
        <v>-4261.363636363636</v>
      </c>
      <c r="M131" s="39">
        <v>17.3</v>
      </c>
      <c r="N131" s="73">
        <f t="shared" ref="N131:N134" si="69">IF(ISNUMBER(M131), (M131 - $B131) / $B131, "")</f>
        <v>-1.7045454545454586E-2</v>
      </c>
      <c r="O131" s="136">
        <f>IF(ISNUMBER(M131), $B145 * N131, "")</f>
        <v>-2556.8181818181879</v>
      </c>
      <c r="Q131" s="268"/>
      <c r="R131" s="268"/>
      <c r="S131" s="268"/>
    </row>
    <row r="132" spans="1:19" ht="17.25" thickBot="1">
      <c r="A132" s="124" t="s">
        <v>72</v>
      </c>
      <c r="B132" s="125">
        <v>31.2</v>
      </c>
      <c r="C132" s="73">
        <v>-3.7037037000000002E-2</v>
      </c>
      <c r="D132" s="125">
        <v>30.2</v>
      </c>
      <c r="E132" s="73">
        <f t="shared" si="66"/>
        <v>-3.2051282051282055E-2</v>
      </c>
      <c r="F132" s="136">
        <f>IF(ISNUMBER(D132), $B145 * E132, "")</f>
        <v>-4807.6923076923085</v>
      </c>
      <c r="G132" s="39">
        <v>31.1</v>
      </c>
      <c r="H132" s="73">
        <f t="shared" si="67"/>
        <v>-3.2051282051281369E-3</v>
      </c>
      <c r="I132" s="202">
        <f>IF(ISNUMBER(G132), $B145 * H132, "")</f>
        <v>-480.76923076922054</v>
      </c>
      <c r="J132" s="125">
        <v>30.3</v>
      </c>
      <c r="K132" s="73">
        <f t="shared" si="68"/>
        <v>-2.8846153846153803E-2</v>
      </c>
      <c r="L132" s="136">
        <f>IF(ISNUMBER(J132), $B145 * K132, "")</f>
        <v>-4326.9230769230708</v>
      </c>
      <c r="M132" s="39">
        <v>30.4</v>
      </c>
      <c r="N132" s="73">
        <f t="shared" si="69"/>
        <v>-2.5641025641025664E-2</v>
      </c>
      <c r="O132" s="136">
        <f>IF(ISNUMBER(M132), $B145 * N132, "")</f>
        <v>-3846.1538461538498</v>
      </c>
      <c r="Q132" s="268"/>
      <c r="R132" s="268"/>
      <c r="S132" s="268"/>
    </row>
    <row r="133" spans="1:19" ht="17.25" thickBot="1">
      <c r="A133" s="124" t="s">
        <v>214</v>
      </c>
      <c r="B133" s="125">
        <v>19.100000000000001</v>
      </c>
      <c r="C133" s="73">
        <v>-4.0201004999999998E-2</v>
      </c>
      <c r="D133" s="125">
        <v>20.6</v>
      </c>
      <c r="E133" s="73">
        <f t="shared" si="66"/>
        <v>7.8534031413612565E-2</v>
      </c>
      <c r="F133" s="136">
        <f>IF(ISNUMBER(D133), $B145 * E133, "")</f>
        <v>11780.104712041884</v>
      </c>
      <c r="G133" s="39">
        <v>20.100000000000001</v>
      </c>
      <c r="H133" s="73">
        <f t="shared" si="67"/>
        <v>5.235602094240837E-2</v>
      </c>
      <c r="I133" s="202">
        <f>IF(ISNUMBER(G133), $B145 * H133, "")</f>
        <v>7853.4031413612556</v>
      </c>
      <c r="J133" s="125">
        <v>19.399999999999999</v>
      </c>
      <c r="K133" s="73">
        <f t="shared" si="68"/>
        <v>1.5706806282722363E-2</v>
      </c>
      <c r="L133" s="136">
        <f>IF(ISNUMBER(J133), $B145 * K133, "")</f>
        <v>2356.0209424083546</v>
      </c>
      <c r="M133" s="39">
        <v>20.100000000000001</v>
      </c>
      <c r="N133" s="73">
        <f t="shared" si="69"/>
        <v>5.235602094240837E-2</v>
      </c>
      <c r="O133" s="136">
        <f>IF(ISNUMBER(M133), $B145 * N133, "")</f>
        <v>7853.4031413612556</v>
      </c>
      <c r="Q133" s="33"/>
      <c r="R133" s="33"/>
    </row>
    <row r="134" spans="1:19" ht="17.25" thickBot="1">
      <c r="A134" s="129" t="s">
        <v>268</v>
      </c>
      <c r="B134" s="130">
        <v>79</v>
      </c>
      <c r="C134" s="75">
        <v>-4.2424242399999999E-2</v>
      </c>
      <c r="D134" s="130">
        <v>77.7</v>
      </c>
      <c r="E134" s="75">
        <f t="shared" si="66"/>
        <v>-1.6455696202531608E-2</v>
      </c>
      <c r="F134" s="137">
        <f>IF(ISNUMBER(D134), $B145 * E134, "")</f>
        <v>-2468.3544303797412</v>
      </c>
      <c r="G134" s="37">
        <v>78.099999999999994</v>
      </c>
      <c r="H134" s="75">
        <f t="shared" si="67"/>
        <v>-1.139240506329121E-2</v>
      </c>
      <c r="I134" s="207">
        <f>IF(ISNUMBER(G134), $B145 * H134, "")</f>
        <v>-1708.8607594936816</v>
      </c>
      <c r="J134" s="130">
        <v>77</v>
      </c>
      <c r="K134" s="75">
        <f t="shared" si="68"/>
        <v>-2.5316455696202531E-2</v>
      </c>
      <c r="L134" s="137">
        <f>IF(ISNUMBER(J134), $B145 * K134, "")</f>
        <v>-3797.4683544303798</v>
      </c>
      <c r="M134" s="37">
        <v>77.3</v>
      </c>
      <c r="N134" s="75">
        <f t="shared" si="69"/>
        <v>-2.1518987341772187E-2</v>
      </c>
      <c r="O134" s="137">
        <f>IF(ISNUMBER(M134), $B145 * N134, "")</f>
        <v>-3227.8481012658281</v>
      </c>
      <c r="Q134" s="269"/>
      <c r="R134" s="270"/>
      <c r="S134" s="271"/>
    </row>
    <row r="135" spans="1:19">
      <c r="A135" s="122" t="s">
        <v>198</v>
      </c>
      <c r="B135" s="123">
        <v>23.4</v>
      </c>
      <c r="C135" s="72">
        <v>-4.4897959199999997E-2</v>
      </c>
      <c r="D135" s="123">
        <v>23.3</v>
      </c>
      <c r="E135" s="72">
        <f>IF(ISNUMBER(D135), (D135 - $B135) / $B135, "")</f>
        <v>-4.2735042735041829E-3</v>
      </c>
      <c r="F135" s="140">
        <f>IF(ISNUMBER(D135), $B145 * E135, "")</f>
        <v>-641.02564102562746</v>
      </c>
      <c r="G135" s="38">
        <v>23.5</v>
      </c>
      <c r="H135" s="72">
        <f>IF(ISNUMBER(G135), (G135 - $B135) / $B135, "")</f>
        <v>4.2735042735043346E-3</v>
      </c>
      <c r="I135" s="201">
        <f>IF(ISNUMBER(G135), $B145 * H135, "")</f>
        <v>641.0256410256502</v>
      </c>
      <c r="J135" s="123">
        <v>23</v>
      </c>
      <c r="K135" s="72">
        <f>IF(ISNUMBER(J135), (J135 - $B135) / $B135, "")</f>
        <v>-1.7094017094017033E-2</v>
      </c>
      <c r="L135" s="140">
        <f>IF(ISNUMBER(J135), $B145 * K135, "")</f>
        <v>-2564.1025641025549</v>
      </c>
      <c r="M135" s="38">
        <v>23.1</v>
      </c>
      <c r="N135" s="72">
        <f>IF(ISNUMBER(M135), (M135 - $B135) / $B135, "")</f>
        <v>-1.28205128205127E-2</v>
      </c>
      <c r="O135" s="140">
        <f>IF(ISNUMBER(M135), $B145 * N135, "")</f>
        <v>-1923.0769230769051</v>
      </c>
      <c r="Q135" s="272"/>
      <c r="R135" s="273"/>
      <c r="S135" s="274"/>
    </row>
    <row r="136" spans="1:19" ht="17.25" thickBot="1">
      <c r="A136" s="124" t="s">
        <v>266</v>
      </c>
      <c r="B136" s="125">
        <v>88</v>
      </c>
      <c r="C136" s="73">
        <v>-4.55531453E-2</v>
      </c>
      <c r="D136" s="125">
        <v>86.5</v>
      </c>
      <c r="E136" s="73">
        <f t="shared" ref="E136:E139" si="70">IF(ISNUMBER(D136), (D136 - $B136) / $B136, "")</f>
        <v>-1.7045454545454544E-2</v>
      </c>
      <c r="F136" s="136">
        <f>IF(ISNUMBER(D136), $B145 * E136, "")</f>
        <v>-2556.8181818181815</v>
      </c>
      <c r="G136" s="39">
        <v>87.5</v>
      </c>
      <c r="H136" s="73">
        <f t="shared" ref="H136:H139" si="71">IF(ISNUMBER(G136), (G136 - $B136) / $B136, "")</f>
        <v>-5.681818181818182E-3</v>
      </c>
      <c r="I136" s="202">
        <f>IF(ISNUMBER(G136), $B145 * H136, "")</f>
        <v>-852.27272727272725</v>
      </c>
      <c r="J136" s="125">
        <v>85.7</v>
      </c>
      <c r="K136" s="73">
        <f t="shared" ref="K136:K139" si="72">IF(ISNUMBER(J136), (J136 - $B136) / $B136, "")</f>
        <v>-2.6136363636363603E-2</v>
      </c>
      <c r="L136" s="136">
        <f>IF(ISNUMBER(J136), $B145 * K136, "")</f>
        <v>-3920.4545454545405</v>
      </c>
      <c r="M136" s="39">
        <v>85.9</v>
      </c>
      <c r="N136" s="73">
        <f t="shared" ref="N136:N139" si="73">IF(ISNUMBER(M136), (M136 - $B136) / $B136, "")</f>
        <v>-2.3863636363636299E-2</v>
      </c>
      <c r="O136" s="136">
        <f>IF(ISNUMBER(M136), $B145 * N136, "")</f>
        <v>-3579.545454545445</v>
      </c>
      <c r="Q136" s="275"/>
      <c r="R136" s="276"/>
      <c r="S136" s="277"/>
    </row>
    <row r="137" spans="1:19" ht="17.25" thickBot="1">
      <c r="A137" s="124" t="s">
        <v>65</v>
      </c>
      <c r="B137" s="125">
        <v>61.6</v>
      </c>
      <c r="C137" s="73">
        <v>-4.6439628500000003E-2</v>
      </c>
      <c r="D137" s="125">
        <v>61.6</v>
      </c>
      <c r="E137" s="73">
        <f t="shared" si="70"/>
        <v>0</v>
      </c>
      <c r="F137" s="136">
        <f>IF(ISNUMBER(D137), $B145 * E137, "")</f>
        <v>0</v>
      </c>
      <c r="G137" s="39">
        <v>64.3</v>
      </c>
      <c r="H137" s="73">
        <f t="shared" si="71"/>
        <v>4.3831168831168763E-2</v>
      </c>
      <c r="I137" s="202">
        <f>IF(ISNUMBER(G137), $B145 * H137, "")</f>
        <v>6574.6753246753142</v>
      </c>
      <c r="J137" s="125">
        <v>62.8</v>
      </c>
      <c r="K137" s="73">
        <f t="shared" si="72"/>
        <v>1.9480519480519411E-2</v>
      </c>
      <c r="L137" s="136">
        <f>IF(ISNUMBER(J137), $B145 * K137, "")</f>
        <v>2922.0779220779118</v>
      </c>
      <c r="M137" s="39">
        <v>62.5</v>
      </c>
      <c r="N137" s="73">
        <f t="shared" si="73"/>
        <v>1.4610389610389588E-2</v>
      </c>
      <c r="O137" s="136">
        <f>IF(ISNUMBER(M137), $B145 * N137, "")</f>
        <v>2191.5584415584381</v>
      </c>
      <c r="Q137" s="268"/>
      <c r="R137" s="268"/>
      <c r="S137" s="268"/>
    </row>
    <row r="138" spans="1:19" ht="17.25" thickBot="1">
      <c r="A138" s="124" t="s">
        <v>222</v>
      </c>
      <c r="B138" s="125">
        <v>15.7</v>
      </c>
      <c r="C138" s="73">
        <v>-4.8484848499999997E-2</v>
      </c>
      <c r="D138" s="125">
        <v>15.4</v>
      </c>
      <c r="E138" s="73">
        <f t="shared" si="70"/>
        <v>-1.9108280254777003E-2</v>
      </c>
      <c r="F138" s="136">
        <f>IF(ISNUMBER(D138), $B145 * E138, "")</f>
        <v>-2866.2420382165506</v>
      </c>
      <c r="G138" s="39">
        <v>15.7</v>
      </c>
      <c r="H138" s="73">
        <f t="shared" si="71"/>
        <v>0</v>
      </c>
      <c r="I138" s="202">
        <f>IF(ISNUMBER(G138), $B145 * H138, "")</f>
        <v>0</v>
      </c>
      <c r="J138" s="125">
        <v>15.4</v>
      </c>
      <c r="K138" s="73">
        <f t="shared" si="72"/>
        <v>-1.9108280254777003E-2</v>
      </c>
      <c r="L138" s="136">
        <f>IF(ISNUMBER(J138), $B145 * K138, "")</f>
        <v>-2866.2420382165506</v>
      </c>
      <c r="M138" s="39">
        <v>15.5</v>
      </c>
      <c r="N138" s="73">
        <f t="shared" si="73"/>
        <v>-1.2738853503184669E-2</v>
      </c>
      <c r="O138" s="136">
        <f>IF(ISNUMBER(M138), $B145 * N138, "")</f>
        <v>-1910.8280254777003</v>
      </c>
      <c r="Q138" s="278"/>
      <c r="R138" s="278"/>
      <c r="S138" s="278"/>
    </row>
    <row r="139" spans="1:19" ht="17.25" thickBot="1">
      <c r="A139" s="126" t="s">
        <v>228</v>
      </c>
      <c r="B139" s="127">
        <v>15.4</v>
      </c>
      <c r="C139" s="74">
        <v>-4.9382716E-2</v>
      </c>
      <c r="D139" s="127">
        <v>15.1</v>
      </c>
      <c r="E139" s="74">
        <f t="shared" si="70"/>
        <v>-1.9480519480519525E-2</v>
      </c>
      <c r="F139" s="203">
        <f>IF(ISNUMBER(D139), $B145 * E139, "")</f>
        <v>-2922.0779220779286</v>
      </c>
      <c r="G139" s="44">
        <v>15.4</v>
      </c>
      <c r="H139" s="74">
        <f t="shared" si="71"/>
        <v>0</v>
      </c>
      <c r="I139" s="204">
        <f>IF(ISNUMBER(G139), $B145 * H139, "")</f>
        <v>0</v>
      </c>
      <c r="J139" s="127">
        <v>15.1</v>
      </c>
      <c r="K139" s="74">
        <f t="shared" si="72"/>
        <v>-1.9480519480519525E-2</v>
      </c>
      <c r="L139" s="203">
        <f>IF(ISNUMBER(J139), $B145 * K139, "")</f>
        <v>-2922.0779220779286</v>
      </c>
      <c r="M139" s="44">
        <v>15.1</v>
      </c>
      <c r="N139" s="74">
        <f t="shared" si="73"/>
        <v>-1.9480519480519525E-2</v>
      </c>
      <c r="O139" s="203">
        <f>IF(ISNUMBER(M139), $B145 * N139, "")</f>
        <v>-2922.0779220779286</v>
      </c>
      <c r="Q139" s="278"/>
      <c r="R139" s="278"/>
      <c r="S139" s="278"/>
    </row>
    <row r="140" spans="1:19" ht="17.25" thickBot="1">
      <c r="A140" s="124" t="s">
        <v>152</v>
      </c>
      <c r="B140" s="128">
        <v>37.9</v>
      </c>
      <c r="C140" s="76">
        <v>-5.2499999999999998E-2</v>
      </c>
      <c r="D140" s="128">
        <v>37.1</v>
      </c>
      <c r="E140" s="76">
        <f>IF(ISNUMBER(D140), (D140 - $B140) / $B140, "")</f>
        <v>-2.1108179419524992E-2</v>
      </c>
      <c r="F140" s="205">
        <f>IF(ISNUMBER(D140), $B145 * E140, "")</f>
        <v>-3166.2269129287488</v>
      </c>
      <c r="G140" s="45">
        <v>38.9</v>
      </c>
      <c r="H140" s="76">
        <f>IF(ISNUMBER(G140), (G140 - $B140) / $B140, "")</f>
        <v>2.6385224274406333E-2</v>
      </c>
      <c r="I140" s="206">
        <f>IF(ISNUMBER(G140), $B145 * H140, "")</f>
        <v>3957.7836411609501</v>
      </c>
      <c r="J140" s="128">
        <v>37.200000000000003</v>
      </c>
      <c r="K140" s="76">
        <f>IF(ISNUMBER(J140), (J140 - $B140) / $B140, "")</f>
        <v>-1.8469656992084322E-2</v>
      </c>
      <c r="L140" s="205">
        <f>IF(ISNUMBER(J140), $B145 * K140, "")</f>
        <v>-2770.4485488126484</v>
      </c>
      <c r="M140" s="45">
        <v>37.1</v>
      </c>
      <c r="N140" s="76">
        <f>IF(ISNUMBER(M140), (M140 - $B140) / $B140, "")</f>
        <v>-2.1108179419524992E-2</v>
      </c>
      <c r="O140" s="205">
        <f>IF(ISNUMBER(M140), $B145 * N140, "")</f>
        <v>-3166.2269129287488</v>
      </c>
      <c r="Q140" s="268"/>
      <c r="R140" s="268"/>
      <c r="S140" s="268"/>
    </row>
    <row r="141" spans="1:19" ht="17.25" thickBot="1">
      <c r="A141" s="124" t="s">
        <v>218</v>
      </c>
      <c r="B141" s="125">
        <v>23</v>
      </c>
      <c r="C141" s="73">
        <v>-5.3497942399999998E-2</v>
      </c>
      <c r="D141" s="125">
        <v>22.6</v>
      </c>
      <c r="E141" s="73">
        <f t="shared" ref="E141:E144" si="74">IF(ISNUMBER(D141), (D141 - $B141) / $B141, "")</f>
        <v>-1.7391304347826025E-2</v>
      </c>
      <c r="F141" s="136">
        <f>IF(ISNUMBER(D141), $B145 * E141, "")</f>
        <v>-2608.6956521739039</v>
      </c>
      <c r="G141" s="39">
        <v>23.1</v>
      </c>
      <c r="H141" s="73">
        <f t="shared" ref="H141:H144" si="75">IF(ISNUMBER(G141), (G141 - $B141) / $B141, "")</f>
        <v>4.3478260869565834E-3</v>
      </c>
      <c r="I141" s="202">
        <f>IF(ISNUMBER(G141), $B145 * H141, "")</f>
        <v>652.17391304348746</v>
      </c>
      <c r="J141" s="125">
        <v>22.5</v>
      </c>
      <c r="K141" s="73">
        <f t="shared" ref="K141:K144" si="76">IF(ISNUMBER(J141), (J141 - $B141) / $B141, "")</f>
        <v>-2.1739130434782608E-2</v>
      </c>
      <c r="L141" s="136">
        <f>IF(ISNUMBER(J141), $B145 * K141, "")</f>
        <v>-3260.869565217391</v>
      </c>
      <c r="M141" s="39">
        <v>22.6</v>
      </c>
      <c r="N141" s="73">
        <f t="shared" ref="N141:N144" si="77">IF(ISNUMBER(M141), (M141 - $B141) / $B141, "")</f>
        <v>-1.7391304347826025E-2</v>
      </c>
      <c r="O141" s="136">
        <f>IF(ISNUMBER(M141), $B145 * N141, "")</f>
        <v>-2608.6956521739039</v>
      </c>
      <c r="Q141" s="268"/>
      <c r="R141" s="268"/>
      <c r="S141" s="268"/>
    </row>
    <row r="142" spans="1:19" ht="17.25" thickBot="1">
      <c r="A142" s="124" t="s">
        <v>172</v>
      </c>
      <c r="B142" s="125">
        <v>22.5</v>
      </c>
      <c r="C142" s="73">
        <v>-6.25E-2</v>
      </c>
      <c r="D142" s="125">
        <v>22</v>
      </c>
      <c r="E142" s="73">
        <f t="shared" si="74"/>
        <v>-2.2222222222222223E-2</v>
      </c>
      <c r="F142" s="136">
        <f>IF(ISNUMBER(D142), $B145 * E142, "")</f>
        <v>-3333.3333333333335</v>
      </c>
      <c r="G142" s="39">
        <v>22.6</v>
      </c>
      <c r="H142" s="73">
        <f t="shared" si="75"/>
        <v>4.4444444444445078E-3</v>
      </c>
      <c r="I142" s="202">
        <f>IF(ISNUMBER(G142), $B145 * H142, "")</f>
        <v>666.66666666667618</v>
      </c>
      <c r="J142" s="125">
        <v>21.9</v>
      </c>
      <c r="K142" s="73">
        <f t="shared" si="76"/>
        <v>-2.6666666666666731E-2</v>
      </c>
      <c r="L142" s="136">
        <f>IF(ISNUMBER(J142), $B145 * K142, "")</f>
        <v>-4000.0000000000095</v>
      </c>
      <c r="M142" s="39">
        <v>22</v>
      </c>
      <c r="N142" s="73">
        <f t="shared" si="77"/>
        <v>-2.2222222222222223E-2</v>
      </c>
      <c r="O142" s="136">
        <f>IF(ISNUMBER(M142), $B145 * N142, "")</f>
        <v>-3333.3333333333335</v>
      </c>
      <c r="Q142" s="268"/>
      <c r="R142" s="268"/>
      <c r="S142" s="268"/>
    </row>
    <row r="143" spans="1:19">
      <c r="A143" s="124" t="s">
        <v>186</v>
      </c>
      <c r="B143" s="125">
        <v>22.4</v>
      </c>
      <c r="C143" s="73">
        <v>-7.4380165299999995E-2</v>
      </c>
      <c r="D143" s="125">
        <v>21.8</v>
      </c>
      <c r="E143" s="73">
        <f t="shared" si="74"/>
        <v>-2.6785714285714191E-2</v>
      </c>
      <c r="F143" s="136">
        <f>IF(ISNUMBER(D143), $B145 * E143, "")</f>
        <v>-4017.8571428571286</v>
      </c>
      <c r="G143" s="39">
        <v>22.3</v>
      </c>
      <c r="H143" s="73">
        <f t="shared" si="75"/>
        <v>-4.4642857142856195E-3</v>
      </c>
      <c r="I143" s="202">
        <f>IF(ISNUMBER(G143), $B145 * H143, "")</f>
        <v>-669.6428571428429</v>
      </c>
      <c r="J143" s="125">
        <v>22.6</v>
      </c>
      <c r="K143" s="73">
        <f t="shared" si="76"/>
        <v>8.9285714285715564E-3</v>
      </c>
      <c r="L143" s="136">
        <f>IF(ISNUMBER(J143), $B145 * K143, "")</f>
        <v>1339.2857142857335</v>
      </c>
      <c r="M143" s="39">
        <v>23</v>
      </c>
      <c r="N143" s="73">
        <f t="shared" si="77"/>
        <v>2.678571428571435E-2</v>
      </c>
      <c r="O143" s="136">
        <f>IF(ISNUMBER(M143), $B145 * N143, "")</f>
        <v>4017.8571428571527</v>
      </c>
      <c r="Q143" s="257"/>
      <c r="R143" s="258"/>
      <c r="S143" s="259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60"/>
      <c r="R144" s="261"/>
      <c r="S144" s="262"/>
    </row>
    <row r="145" spans="1:19" ht="17.25" thickBot="1">
      <c r="A145" s="131" t="s">
        <v>301</v>
      </c>
      <c r="B145" s="330">
        <f>$B$37</f>
        <v>150000</v>
      </c>
      <c r="C145" s="331"/>
      <c r="D145" s="131" t="s">
        <v>302</v>
      </c>
      <c r="E145" s="244">
        <f>IF(COUNT(E125:E144), SUM(E125:E144) / COUNT(E125:E144), 0)</f>
        <v>-1.0797308946556032E-2</v>
      </c>
      <c r="F145" s="208">
        <f>SUM(F125:F144)</f>
        <v>-30772.330497684692</v>
      </c>
      <c r="G145" s="131" t="s">
        <v>302</v>
      </c>
      <c r="H145" s="244">
        <f>IF(COUNT(H125:H144), SUM(H125:H144) / COUNT(H125:H144), 0)</f>
        <v>8.0945803465201412E-3</v>
      </c>
      <c r="I145" s="208">
        <f>SUM(I125:I144)</f>
        <v>23069.553987582396</v>
      </c>
      <c r="J145" s="131" t="s">
        <v>302</v>
      </c>
      <c r="K145" s="244">
        <f>IF(COUNT(K125:K144), SUM(K125:K144) / COUNT(K125:K144), 0)</f>
        <v>-1.6295105258772823E-2</v>
      </c>
      <c r="L145" s="208">
        <f>SUM(L125:L144)</f>
        <v>-46441.049987502556</v>
      </c>
      <c r="M145" s="131" t="s">
        <v>302</v>
      </c>
      <c r="N145" s="244">
        <f>IF(COUNT(N125:N144), SUM(N125:N144) / COUNT(N125:N144), 0)</f>
        <v>-1.1559310813280713E-2</v>
      </c>
      <c r="O145" s="208">
        <f>SUM(O125:O144)</f>
        <v>-32944.035817850032</v>
      </c>
      <c r="Q145" s="263"/>
      <c r="R145" s="264"/>
      <c r="S145" s="265"/>
    </row>
    <row r="147" spans="1:19" ht="17.25" thickBot="1"/>
    <row r="148" spans="1:19" ht="17.25" thickBot="1">
      <c r="A148" s="279" t="s">
        <v>289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41" t="s">
        <v>298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55555000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-3.6323266700000002E-2</v>
      </c>
      <c r="N149" s="286"/>
      <c r="O149" s="287"/>
      <c r="Q149" s="278"/>
      <c r="R149" s="278"/>
      <c r="S149" s="278"/>
    </row>
    <row r="150" spans="1:19" ht="17.25" thickBot="1">
      <c r="A150" s="332" t="s">
        <v>55</v>
      </c>
      <c r="B150" s="328" t="str">
        <f>TEXT($G$1, "[$-ko-KR]yyyy-mm-dd(ddd) ") &amp; "오전 00:00"</f>
        <v>2021-05-16(일) 오전 00:00</v>
      </c>
      <c r="C150" s="329"/>
      <c r="D150" s="279" t="str">
        <f>TEXT($G$1, "[$-ko-KR]yyyy-mm-dd(ddd) ") &amp; "오후 14:00"</f>
        <v>2021-05-16(일) 오후 14:00</v>
      </c>
      <c r="E150" s="280"/>
      <c r="F150" s="281"/>
      <c r="G150" s="279" t="str">
        <f>TEXT($G$1, "[$-ko-KR]yyyy-mm-dd(ddd) ") &amp; "오후 19:00"</f>
        <v>2021-05-16(일) 오후 19:00</v>
      </c>
      <c r="H150" s="280"/>
      <c r="I150" s="281"/>
      <c r="J150" s="279" t="str">
        <f>TEXT($G$1, "[$-ko-KR]yyyy-mm-dd(ddd) ") &amp; "오후 21:00"</f>
        <v>2021-05-16(일) 오후 21:00</v>
      </c>
      <c r="K150" s="280"/>
      <c r="L150" s="281"/>
      <c r="M150" s="279" t="str">
        <f>TEXT($G$1+1, "[$-ko-KR]yyyy-mm-dd(ddd) ") &amp; "오전 00:00"</f>
        <v>2021-05-17(월) 오전 00:00</v>
      </c>
      <c r="N150" s="280"/>
      <c r="O150" s="281"/>
      <c r="Q150" s="278"/>
      <c r="R150" s="278"/>
      <c r="S150" s="278"/>
    </row>
    <row r="151" spans="1:19" ht="17.25" thickBot="1">
      <c r="A151" s="333"/>
      <c r="B151" s="120" t="s">
        <v>58</v>
      </c>
      <c r="C151" s="121" t="s">
        <v>59</v>
      </c>
      <c r="D151" s="120" t="s">
        <v>58</v>
      </c>
      <c r="E151" s="121" t="s">
        <v>299</v>
      </c>
      <c r="F151" s="248" t="s">
        <v>300</v>
      </c>
      <c r="G151" s="241" t="s">
        <v>58</v>
      </c>
      <c r="H151" s="242" t="s">
        <v>299</v>
      </c>
      <c r="I151" s="243" t="s">
        <v>300</v>
      </c>
      <c r="J151" s="121" t="s">
        <v>58</v>
      </c>
      <c r="K151" s="121" t="s">
        <v>299</v>
      </c>
      <c r="L151" s="246" t="s">
        <v>300</v>
      </c>
      <c r="M151" s="120" t="s">
        <v>58</v>
      </c>
      <c r="N151" s="121" t="s">
        <v>299</v>
      </c>
      <c r="O151" s="247" t="s">
        <v>300</v>
      </c>
      <c r="Q151" s="268"/>
      <c r="R151" s="268"/>
      <c r="S151" s="268"/>
    </row>
    <row r="152" spans="1:19" ht="17.25" thickBot="1">
      <c r="A152" s="122" t="s">
        <v>132</v>
      </c>
      <c r="B152" s="123">
        <v>224</v>
      </c>
      <c r="C152" s="72">
        <v>-3.0303030299999999E-2</v>
      </c>
      <c r="D152" s="123">
        <v>220</v>
      </c>
      <c r="E152" s="72">
        <f>IF(ISNUMBER(D152), (D152 - $B152) / $B152, "")</f>
        <v>-1.7857142857142856E-2</v>
      </c>
      <c r="F152" s="140">
        <f>IF(ISNUMBER(D152), $B172 * E152, "")</f>
        <v>-2678.5714285714284</v>
      </c>
      <c r="G152" s="38">
        <v>232</v>
      </c>
      <c r="H152" s="72">
        <f>IF(ISNUMBER(G152), (G152 - $B152) / $B152, "")</f>
        <v>3.5714285714285712E-2</v>
      </c>
      <c r="I152" s="201">
        <f>IF(ISNUMBER(G152), $B172 * H152, "")</f>
        <v>5357.1428571428569</v>
      </c>
      <c r="J152" s="123">
        <v>226</v>
      </c>
      <c r="K152" s="72">
        <f>IF(ISNUMBER(J152), (J152 - $B152) / $B152, "")</f>
        <v>8.9285714285714281E-3</v>
      </c>
      <c r="L152" s="140">
        <f>IF(ISNUMBER(J152), $B172 * K152, "")</f>
        <v>1339.2857142857142</v>
      </c>
      <c r="M152" s="38">
        <v>225</v>
      </c>
      <c r="N152" s="72">
        <f>IF(ISNUMBER(M152), (M152 - $B152) / $B152, "")</f>
        <v>4.464285714285714E-3</v>
      </c>
      <c r="O152" s="140">
        <f>IF(ISNUMBER(M152), $B172 * N152, "")</f>
        <v>669.64285714285711</v>
      </c>
      <c r="Q152" s="278"/>
      <c r="R152" s="278"/>
      <c r="S152" s="278"/>
    </row>
    <row r="153" spans="1:19" ht="17.25" thickBot="1">
      <c r="A153" s="124" t="s">
        <v>112</v>
      </c>
      <c r="B153" s="125">
        <v>226</v>
      </c>
      <c r="C153" s="73">
        <v>-3.4188034200000002E-2</v>
      </c>
      <c r="D153" s="125">
        <v>220</v>
      </c>
      <c r="E153" s="73">
        <f t="shared" ref="E153:E156" si="78">IF(ISNUMBER(D153), (D153 - $B153) / $B153, "")</f>
        <v>-2.6548672566371681E-2</v>
      </c>
      <c r="F153" s="136">
        <f>IF(ISNUMBER(D153), $B172 * E153, "")</f>
        <v>-3982.3008849557523</v>
      </c>
      <c r="G153" s="39">
        <v>225</v>
      </c>
      <c r="H153" s="73">
        <f t="shared" ref="H153:H156" si="79">IF(ISNUMBER(G153), (G153 - $B153) / $B153, "")</f>
        <v>-4.4247787610619468E-3</v>
      </c>
      <c r="I153" s="202">
        <f>IF(ISNUMBER(G153), $B172 * H153, "")</f>
        <v>-663.71681415929197</v>
      </c>
      <c r="J153" s="125">
        <v>221</v>
      </c>
      <c r="K153" s="73">
        <f t="shared" ref="K153:K156" si="80">IF(ISNUMBER(J153), (J153 - $B153) / $B153, "")</f>
        <v>-2.2123893805309734E-2</v>
      </c>
      <c r="L153" s="136">
        <f>IF(ISNUMBER(J153), $B172 * K153, "")</f>
        <v>-3318.5840707964603</v>
      </c>
      <c r="M153" s="39">
        <v>222</v>
      </c>
      <c r="N153" s="73">
        <f t="shared" ref="N153:N156" si="81">IF(ISNUMBER(M153), (M153 - $B153) / $B153, "")</f>
        <v>-1.7699115044247787E-2</v>
      </c>
      <c r="O153" s="136">
        <f>IF(ISNUMBER(M153), $B172 * N153, "")</f>
        <v>-2654.8672566371679</v>
      </c>
      <c r="Q153" s="278"/>
      <c r="R153" s="278"/>
      <c r="S153" s="278"/>
    </row>
    <row r="154" spans="1:19" ht="17.25" thickBot="1">
      <c r="A154" s="124" t="s">
        <v>284</v>
      </c>
      <c r="B154" s="125">
        <v>407</v>
      </c>
      <c r="C154" s="73">
        <v>-3.5545023699999997E-2</v>
      </c>
      <c r="D154" s="125">
        <v>408</v>
      </c>
      <c r="E154" s="73">
        <f t="shared" si="78"/>
        <v>2.4570024570024569E-3</v>
      </c>
      <c r="F154" s="136">
        <f>IF(ISNUMBER(D154), $B172 * E154, "")</f>
        <v>368.55036855036855</v>
      </c>
      <c r="G154" s="39">
        <v>416</v>
      </c>
      <c r="H154" s="73">
        <f t="shared" si="79"/>
        <v>2.2113022113022112E-2</v>
      </c>
      <c r="I154" s="202">
        <f>IF(ISNUMBER(G154), $B172 * H154, "")</f>
        <v>3316.953316953317</v>
      </c>
      <c r="J154" s="125">
        <v>404</v>
      </c>
      <c r="K154" s="73">
        <f t="shared" si="80"/>
        <v>-7.3710073710073713E-3</v>
      </c>
      <c r="L154" s="136">
        <f>IF(ISNUMBER(J154), $B172 * K154, "")</f>
        <v>-1105.6511056511056</v>
      </c>
      <c r="M154" s="39">
        <v>406</v>
      </c>
      <c r="N154" s="73">
        <f t="shared" si="81"/>
        <v>-2.4570024570024569E-3</v>
      </c>
      <c r="O154" s="136">
        <f>IF(ISNUMBER(M154), $B172 * N154, "")</f>
        <v>-368.55036855036855</v>
      </c>
      <c r="Q154" s="268"/>
      <c r="R154" s="268"/>
      <c r="S154" s="268"/>
    </row>
    <row r="155" spans="1:19" ht="17.25" thickBot="1">
      <c r="A155" s="124" t="s">
        <v>122</v>
      </c>
      <c r="B155" s="125">
        <v>102</v>
      </c>
      <c r="C155" s="73">
        <v>-3.7735849100000003E-2</v>
      </c>
      <c r="D155" s="125">
        <v>104</v>
      </c>
      <c r="E155" s="73">
        <f t="shared" si="78"/>
        <v>1.9607843137254902E-2</v>
      </c>
      <c r="F155" s="136">
        <f>IF(ISNUMBER(D155), $B172 * E155, "")</f>
        <v>2941.1764705882351</v>
      </c>
      <c r="G155" s="39">
        <v>104</v>
      </c>
      <c r="H155" s="73">
        <f t="shared" si="79"/>
        <v>1.9607843137254902E-2</v>
      </c>
      <c r="I155" s="202">
        <f>IF(ISNUMBER(G155), $B172 * H155, "")</f>
        <v>2941.1764705882351</v>
      </c>
      <c r="J155" s="125">
        <v>103</v>
      </c>
      <c r="K155" s="73">
        <f t="shared" si="80"/>
        <v>9.8039215686274508E-3</v>
      </c>
      <c r="L155" s="136">
        <f>IF(ISNUMBER(J155), $B172 * K155, "")</f>
        <v>1470.5882352941176</v>
      </c>
      <c r="M155" s="39">
        <v>106</v>
      </c>
      <c r="N155" s="73">
        <f t="shared" si="81"/>
        <v>3.9215686274509803E-2</v>
      </c>
      <c r="O155" s="136">
        <f>IF(ISNUMBER(M155), $B172 * N155, "")</f>
        <v>5882.3529411764703</v>
      </c>
      <c r="Q155" s="268"/>
      <c r="R155" s="268"/>
      <c r="S155" s="268"/>
    </row>
    <row r="156" spans="1:19" ht="17.25" thickBot="1">
      <c r="A156" s="126" t="s">
        <v>142</v>
      </c>
      <c r="B156" s="127">
        <v>405</v>
      </c>
      <c r="C156" s="74">
        <v>-3.8004750599999998E-2</v>
      </c>
      <c r="D156" s="127">
        <v>404</v>
      </c>
      <c r="E156" s="74">
        <f t="shared" si="78"/>
        <v>-2.4691358024691358E-3</v>
      </c>
      <c r="F156" s="203">
        <f>IF(ISNUMBER(D156), $B172 * E156, "")</f>
        <v>-370.37037037037038</v>
      </c>
      <c r="G156" s="44">
        <v>433</v>
      </c>
      <c r="H156" s="74">
        <f t="shared" si="79"/>
        <v>6.9135802469135796E-2</v>
      </c>
      <c r="I156" s="204">
        <f>IF(ISNUMBER(G156), $B172 * H156, "")</f>
        <v>10370.370370370369</v>
      </c>
      <c r="J156" s="127">
        <v>427</v>
      </c>
      <c r="K156" s="74">
        <f t="shared" si="80"/>
        <v>5.4320987654320987E-2</v>
      </c>
      <c r="L156" s="203">
        <f>IF(ISNUMBER(J156), $B172 * K156, "")</f>
        <v>8148.1481481481478</v>
      </c>
      <c r="M156" s="44">
        <v>420</v>
      </c>
      <c r="N156" s="74">
        <f t="shared" si="81"/>
        <v>3.7037037037037035E-2</v>
      </c>
      <c r="O156" s="203">
        <f>IF(ISNUMBER(M156), $B172 * N156, "")</f>
        <v>5555.5555555555557</v>
      </c>
      <c r="Q156" s="268"/>
      <c r="R156" s="268"/>
      <c r="S156" s="268"/>
    </row>
    <row r="157" spans="1:19" ht="17.25" thickBot="1">
      <c r="A157" s="124" t="s">
        <v>270</v>
      </c>
      <c r="B157" s="128">
        <v>500</v>
      </c>
      <c r="C157" s="76">
        <v>-3.8461538500000003E-2</v>
      </c>
      <c r="D157" s="128">
        <v>489</v>
      </c>
      <c r="E157" s="76">
        <f>IF(ISNUMBER(D157), (D157 - $B157) / $B157, "")</f>
        <v>-2.1999999999999999E-2</v>
      </c>
      <c r="F157" s="205">
        <f>IF(ISNUMBER(D157), $B172 * E157, "")</f>
        <v>-3300</v>
      </c>
      <c r="G157" s="45">
        <v>504</v>
      </c>
      <c r="H157" s="76">
        <f>IF(ISNUMBER(G157), (G157 - $B157) / $B157, "")</f>
        <v>8.0000000000000002E-3</v>
      </c>
      <c r="I157" s="206">
        <f>IF(ISNUMBER(G157), $B172 * H157, "")</f>
        <v>1200</v>
      </c>
      <c r="J157" s="128">
        <v>491</v>
      </c>
      <c r="K157" s="76">
        <f>IF(ISNUMBER(J157), (J157 - $B157) / $B157, "")</f>
        <v>-1.7999999999999999E-2</v>
      </c>
      <c r="L157" s="205">
        <f>IF(ISNUMBER(J157), $B172 * K157, "")</f>
        <v>-2700</v>
      </c>
      <c r="M157" s="45">
        <v>493</v>
      </c>
      <c r="N157" s="76">
        <f>IF(ISNUMBER(M157), (M157 - $B157) / $B157, "")</f>
        <v>-1.4E-2</v>
      </c>
      <c r="O157" s="205">
        <f>IF(ISNUMBER(M157), $B172 * N157, "")</f>
        <v>-2100</v>
      </c>
      <c r="Q157" s="268"/>
      <c r="R157" s="268"/>
      <c r="S157" s="268"/>
    </row>
    <row r="158" spans="1:19" ht="17.25" thickBot="1">
      <c r="A158" s="124" t="s">
        <v>212</v>
      </c>
      <c r="B158" s="125">
        <v>123</v>
      </c>
      <c r="C158" s="73">
        <v>-3.90625E-2</v>
      </c>
      <c r="D158" s="125">
        <v>120</v>
      </c>
      <c r="E158" s="73">
        <f t="shared" ref="E158:E161" si="82">IF(ISNUMBER(D158), (D158 - $B158) / $B158, "")</f>
        <v>-2.4390243902439025E-2</v>
      </c>
      <c r="F158" s="136">
        <f>IF(ISNUMBER(D158), $B172 * E158, "")</f>
        <v>-3658.5365853658536</v>
      </c>
      <c r="G158" s="39">
        <v>122</v>
      </c>
      <c r="H158" s="73">
        <f t="shared" ref="H158:H161" si="83">IF(ISNUMBER(G158), (G158 - $B158) / $B158, "")</f>
        <v>-8.130081300813009E-3</v>
      </c>
      <c r="I158" s="202">
        <f>IF(ISNUMBER(G158), $B172 * H158, "")</f>
        <v>-1219.5121951219514</v>
      </c>
      <c r="J158" s="125">
        <v>121</v>
      </c>
      <c r="K158" s="73">
        <f t="shared" ref="K158:K161" si="84">IF(ISNUMBER(J158), (J158 - $B158) / $B158, "")</f>
        <v>-1.6260162601626018E-2</v>
      </c>
      <c r="L158" s="136">
        <f>IF(ISNUMBER(J158), $B172 * K158, "")</f>
        <v>-2439.0243902439029</v>
      </c>
      <c r="M158" s="39">
        <v>120</v>
      </c>
      <c r="N158" s="73">
        <f t="shared" ref="N158:N161" si="85">IF(ISNUMBER(M158), (M158 - $B158) / $B158, "")</f>
        <v>-2.4390243902439025E-2</v>
      </c>
      <c r="O158" s="136">
        <f>IF(ISNUMBER(M158), $B172 * N158, "")</f>
        <v>-3658.5365853658536</v>
      </c>
      <c r="Q158" s="268"/>
      <c r="R158" s="268"/>
      <c r="S158" s="268"/>
    </row>
    <row r="159" spans="1:19" ht="17.25" thickBot="1">
      <c r="A159" s="124" t="s">
        <v>148</v>
      </c>
      <c r="B159" s="125">
        <v>170</v>
      </c>
      <c r="C159" s="73">
        <v>-3.9548022600000003E-2</v>
      </c>
      <c r="D159" s="125">
        <v>170</v>
      </c>
      <c r="E159" s="73">
        <f t="shared" si="82"/>
        <v>0</v>
      </c>
      <c r="F159" s="136">
        <f>IF(ISNUMBER(D159), $B172 * E159, "")</f>
        <v>0</v>
      </c>
      <c r="G159" s="39">
        <v>179</v>
      </c>
      <c r="H159" s="73">
        <f t="shared" si="83"/>
        <v>5.2941176470588235E-2</v>
      </c>
      <c r="I159" s="202">
        <f>IF(ISNUMBER(G159), $B172 * H159, "")</f>
        <v>7941.1764705882351</v>
      </c>
      <c r="J159" s="125">
        <v>171</v>
      </c>
      <c r="K159" s="73">
        <f t="shared" si="84"/>
        <v>5.8823529411764705E-3</v>
      </c>
      <c r="L159" s="136">
        <f>IF(ISNUMBER(J159), $B172 * K159, "")</f>
        <v>882.35294117647061</v>
      </c>
      <c r="M159" s="39">
        <v>180</v>
      </c>
      <c r="N159" s="73">
        <f t="shared" si="85"/>
        <v>5.8823529411764705E-2</v>
      </c>
      <c r="O159" s="136">
        <f>IF(ISNUMBER(M159), $B172 * N159, "")</f>
        <v>8823.5294117647063</v>
      </c>
      <c r="Q159" s="268"/>
      <c r="R159" s="268"/>
      <c r="S159" s="268"/>
    </row>
    <row r="160" spans="1:19" ht="17.25" thickBot="1">
      <c r="A160" s="124" t="s">
        <v>136</v>
      </c>
      <c r="B160" s="125">
        <v>235</v>
      </c>
      <c r="C160" s="73">
        <v>-4.08163265E-2</v>
      </c>
      <c r="D160" s="125">
        <v>230</v>
      </c>
      <c r="E160" s="73">
        <f t="shared" si="82"/>
        <v>-2.1276595744680851E-2</v>
      </c>
      <c r="F160" s="136">
        <f>IF(ISNUMBER(D160), $B172 * E160, "")</f>
        <v>-3191.4893617021276</v>
      </c>
      <c r="G160" s="39">
        <v>241</v>
      </c>
      <c r="H160" s="73">
        <f t="shared" si="83"/>
        <v>2.553191489361702E-2</v>
      </c>
      <c r="I160" s="202">
        <f>IF(ISNUMBER(G160), $B172 * H160, "")</f>
        <v>3829.7872340425529</v>
      </c>
      <c r="J160" s="125">
        <v>236</v>
      </c>
      <c r="K160" s="73">
        <f t="shared" si="84"/>
        <v>4.2553191489361703E-3</v>
      </c>
      <c r="L160" s="136">
        <f>IF(ISNUMBER(J160), $B172 * K160, "")</f>
        <v>638.29787234042556</v>
      </c>
      <c r="M160" s="39">
        <v>235</v>
      </c>
      <c r="N160" s="73">
        <f t="shared" si="85"/>
        <v>0</v>
      </c>
      <c r="O160" s="136">
        <f>IF(ISNUMBER(M160), $B172 * N160, "")</f>
        <v>0</v>
      </c>
      <c r="Q160" s="33"/>
      <c r="R160" s="33"/>
    </row>
    <row r="161" spans="1:19" ht="17.25" thickBot="1">
      <c r="A161" s="129" t="s">
        <v>202</v>
      </c>
      <c r="B161" s="130">
        <v>163</v>
      </c>
      <c r="C161" s="75">
        <v>-4.1176470600000001E-2</v>
      </c>
      <c r="D161" s="130">
        <v>160</v>
      </c>
      <c r="E161" s="75">
        <f t="shared" si="82"/>
        <v>-1.8404907975460124E-2</v>
      </c>
      <c r="F161" s="137">
        <f>IF(ISNUMBER(D161), $B172 * E161, "")</f>
        <v>-2760.7361963190187</v>
      </c>
      <c r="G161" s="37">
        <v>165</v>
      </c>
      <c r="H161" s="75">
        <f t="shared" si="83"/>
        <v>1.2269938650306749E-2</v>
      </c>
      <c r="I161" s="207">
        <f>IF(ISNUMBER(G161), $B172 * H161, "")</f>
        <v>1840.4907975460123</v>
      </c>
      <c r="J161" s="130">
        <v>158</v>
      </c>
      <c r="K161" s="75">
        <f t="shared" si="84"/>
        <v>-3.0674846625766871E-2</v>
      </c>
      <c r="L161" s="137">
        <f>IF(ISNUMBER(J161), $B172 * K161, "")</f>
        <v>-4601.2269938650306</v>
      </c>
      <c r="M161" s="37">
        <v>159</v>
      </c>
      <c r="N161" s="75">
        <f t="shared" si="85"/>
        <v>-2.4539877300613498E-2</v>
      </c>
      <c r="O161" s="137">
        <f>IF(ISNUMBER(M161), $B172 * N161, "")</f>
        <v>-3680.9815950920247</v>
      </c>
      <c r="Q161" s="269"/>
      <c r="R161" s="270"/>
      <c r="S161" s="271"/>
    </row>
    <row r="162" spans="1:19">
      <c r="A162" s="122" t="s">
        <v>192</v>
      </c>
      <c r="B162" s="123">
        <v>996</v>
      </c>
      <c r="C162" s="72">
        <v>-4.2307692299999998E-2</v>
      </c>
      <c r="D162" s="123">
        <v>976</v>
      </c>
      <c r="E162" s="72">
        <f>IF(ISNUMBER(D162), (D162 - $B162) / $B162, "")</f>
        <v>-2.0080321285140562E-2</v>
      </c>
      <c r="F162" s="140">
        <f>IF(ISNUMBER(D162), $B172 * E162, "")</f>
        <v>-3012.0481927710844</v>
      </c>
      <c r="G162" s="38">
        <v>1010</v>
      </c>
      <c r="H162" s="72">
        <f>IF(ISNUMBER(G162), (G162 - $B162) / $B162, "")</f>
        <v>1.4056224899598393E-2</v>
      </c>
      <c r="I162" s="201">
        <f>IF(ISNUMBER(G162), $B172 * H162, "")</f>
        <v>2108.4337349397588</v>
      </c>
      <c r="J162" s="123">
        <v>979</v>
      </c>
      <c r="K162" s="72">
        <f>IF(ISNUMBER(J162), (J162 - $B162) / $B162, "")</f>
        <v>-1.7068273092369479E-2</v>
      </c>
      <c r="L162" s="140">
        <f>IF(ISNUMBER(J162), $B172 * K162, "")</f>
        <v>-2560.2409638554218</v>
      </c>
      <c r="M162" s="38">
        <v>984</v>
      </c>
      <c r="N162" s="72">
        <f>IF(ISNUMBER(M162), (M162 - $B162) / $B162, "")</f>
        <v>-1.2048192771084338E-2</v>
      </c>
      <c r="O162" s="140">
        <f>IF(ISNUMBER(M162), $B172 * N162, "")</f>
        <v>-1807.2289156626507</v>
      </c>
      <c r="Q162" s="272"/>
      <c r="R162" s="273"/>
      <c r="S162" s="274"/>
    </row>
    <row r="163" spans="1:19" ht="17.25" thickBot="1">
      <c r="A163" s="124" t="s">
        <v>264</v>
      </c>
      <c r="B163" s="125">
        <v>147</v>
      </c>
      <c r="C163" s="73">
        <v>-4.5454545499999999E-2</v>
      </c>
      <c r="D163" s="125">
        <v>143</v>
      </c>
      <c r="E163" s="73">
        <f t="shared" ref="E163:E166" si="86">IF(ISNUMBER(D163), (D163 - $B163) / $B163, "")</f>
        <v>-2.7210884353741496E-2</v>
      </c>
      <c r="F163" s="136">
        <f>IF(ISNUMBER(D163), $B172 * E163, "")</f>
        <v>-4081.6326530612241</v>
      </c>
      <c r="G163" s="39">
        <v>146</v>
      </c>
      <c r="H163" s="73">
        <f t="shared" ref="H163:H166" si="87">IF(ISNUMBER(G163), (G163 - $B163) / $B163, "")</f>
        <v>-6.8027210884353739E-3</v>
      </c>
      <c r="I163" s="202">
        <f>IF(ISNUMBER(G163), $B172 * H163, "")</f>
        <v>-1020.408163265306</v>
      </c>
      <c r="J163" s="125">
        <v>144</v>
      </c>
      <c r="K163" s="73">
        <f t="shared" ref="K163:K166" si="88">IF(ISNUMBER(J163), (J163 - $B163) / $B163, "")</f>
        <v>-2.0408163265306121E-2</v>
      </c>
      <c r="L163" s="136">
        <f>IF(ISNUMBER(J163), $B172 * K163, "")</f>
        <v>-3061.2244897959181</v>
      </c>
      <c r="M163" s="39">
        <v>147</v>
      </c>
      <c r="N163" s="73">
        <f t="shared" ref="N163:N166" si="89">IF(ISNUMBER(M163), (M163 - $B163) / $B163, "")</f>
        <v>0</v>
      </c>
      <c r="O163" s="136">
        <f>IF(ISNUMBER(M163), $B172 * N163, "")</f>
        <v>0</v>
      </c>
      <c r="Q163" s="275"/>
      <c r="R163" s="276"/>
      <c r="S163" s="277"/>
    </row>
    <row r="164" spans="1:19" ht="17.25" thickBot="1">
      <c r="A164" s="124" t="s">
        <v>252</v>
      </c>
      <c r="B164" s="125">
        <v>438</v>
      </c>
      <c r="C164" s="73">
        <v>-4.5751633999999999E-2</v>
      </c>
      <c r="D164" s="125">
        <v>426</v>
      </c>
      <c r="E164" s="73">
        <f t="shared" si="86"/>
        <v>-2.7397260273972601E-2</v>
      </c>
      <c r="F164" s="136">
        <f>IF(ISNUMBER(D164), $B172 * E164, "")</f>
        <v>-4109.58904109589</v>
      </c>
      <c r="G164" s="39">
        <v>438</v>
      </c>
      <c r="H164" s="73">
        <f t="shared" si="87"/>
        <v>0</v>
      </c>
      <c r="I164" s="202">
        <f>IF(ISNUMBER(G164), $B172 * H164, "")</f>
        <v>0</v>
      </c>
      <c r="J164" s="125">
        <v>427</v>
      </c>
      <c r="K164" s="73">
        <f t="shared" si="88"/>
        <v>-2.5114155251141551E-2</v>
      </c>
      <c r="L164" s="136">
        <f>IF(ISNUMBER(J164), $B172 * K164, "")</f>
        <v>-3767.1232876712324</v>
      </c>
      <c r="M164" s="39">
        <v>430</v>
      </c>
      <c r="N164" s="73">
        <f t="shared" si="89"/>
        <v>-1.8264840182648401E-2</v>
      </c>
      <c r="O164" s="136">
        <f>IF(ISNUMBER(M164), $B172 * N164, "")</f>
        <v>-2739.7260273972602</v>
      </c>
      <c r="Q164" s="268"/>
      <c r="R164" s="268"/>
      <c r="S164" s="268"/>
    </row>
    <row r="165" spans="1:19" ht="17.25" thickBot="1">
      <c r="A165" s="124" t="s">
        <v>174</v>
      </c>
      <c r="B165" s="125">
        <v>243</v>
      </c>
      <c r="C165" s="73">
        <v>-5.4474708199999999E-2</v>
      </c>
      <c r="D165" s="125">
        <v>242</v>
      </c>
      <c r="E165" s="73">
        <f t="shared" si="86"/>
        <v>-4.11522633744856E-3</v>
      </c>
      <c r="F165" s="136">
        <f>IF(ISNUMBER(D165), $B172 * E165, "")</f>
        <v>-617.28395061728395</v>
      </c>
      <c r="G165" s="39">
        <v>245</v>
      </c>
      <c r="H165" s="73">
        <f t="shared" si="87"/>
        <v>8.23045267489712E-3</v>
      </c>
      <c r="I165" s="202">
        <f>IF(ISNUMBER(G165), $B172 * H165, "")</f>
        <v>1234.5679012345679</v>
      </c>
      <c r="J165" s="125">
        <v>240</v>
      </c>
      <c r="K165" s="73">
        <f t="shared" si="88"/>
        <v>-1.2345679012345678E-2</v>
      </c>
      <c r="L165" s="136">
        <f>IF(ISNUMBER(J165), $B172 * K165, "")</f>
        <v>-1851.8518518518517</v>
      </c>
      <c r="M165" s="39">
        <v>242</v>
      </c>
      <c r="N165" s="73">
        <f t="shared" si="89"/>
        <v>-4.11522633744856E-3</v>
      </c>
      <c r="O165" s="136">
        <f>IF(ISNUMBER(M165), $B172 * N165, "")</f>
        <v>-617.28395061728395</v>
      </c>
      <c r="Q165" s="278"/>
      <c r="R165" s="278"/>
      <c r="S165" s="278"/>
    </row>
    <row r="166" spans="1:19" ht="17.25" thickBot="1">
      <c r="A166" s="126" t="s">
        <v>208</v>
      </c>
      <c r="B166" s="127">
        <v>436</v>
      </c>
      <c r="C166" s="74">
        <v>-6.0344827599999998E-2</v>
      </c>
      <c r="D166" s="127">
        <v>424</v>
      </c>
      <c r="E166" s="74">
        <f t="shared" si="86"/>
        <v>-2.7522935779816515E-2</v>
      </c>
      <c r="F166" s="203">
        <f>IF(ISNUMBER(D166), $B172 * E166, "")</f>
        <v>-4128.440366972477</v>
      </c>
      <c r="G166" s="44">
        <v>434</v>
      </c>
      <c r="H166" s="74">
        <f t="shared" si="87"/>
        <v>-4.5871559633027525E-3</v>
      </c>
      <c r="I166" s="204">
        <f>IF(ISNUMBER(G166), $B172 * H166, "")</f>
        <v>-688.07339449541291</v>
      </c>
      <c r="J166" s="127">
        <v>423</v>
      </c>
      <c r="K166" s="74">
        <f t="shared" si="88"/>
        <v>-2.9816513761467892E-2</v>
      </c>
      <c r="L166" s="203">
        <f>IF(ISNUMBER(J166), $B172 * K166, "")</f>
        <v>-4472.4770642201838</v>
      </c>
      <c r="M166" s="44">
        <v>425</v>
      </c>
      <c r="N166" s="74">
        <f t="shared" si="89"/>
        <v>-2.5229357798165139E-2</v>
      </c>
      <c r="O166" s="203">
        <f>IF(ISNUMBER(M166), $B172 * N166, "")</f>
        <v>-3784.4036697247707</v>
      </c>
      <c r="Q166" s="278"/>
      <c r="R166" s="278"/>
      <c r="S166" s="278"/>
    </row>
    <row r="167" spans="1:19" ht="17.25" thickBot="1">
      <c r="A167" s="124" t="s">
        <v>54</v>
      </c>
      <c r="B167" s="128">
        <v>389</v>
      </c>
      <c r="C167" s="76">
        <v>-6.2650602400000005E-2</v>
      </c>
      <c r="D167" s="128">
        <v>415</v>
      </c>
      <c r="E167" s="76">
        <f>IF(ISNUMBER(D167), (D167 - $B167) / $B167, "")</f>
        <v>6.6838046272493568E-2</v>
      </c>
      <c r="F167" s="205">
        <f>IF(ISNUMBER(D167), $B172 * E167, "")</f>
        <v>10025.706940874035</v>
      </c>
      <c r="G167" s="45">
        <v>428</v>
      </c>
      <c r="H167" s="76">
        <f>IF(ISNUMBER(G167), (G167 - $B167) / $B167, "")</f>
        <v>0.10025706940874037</v>
      </c>
      <c r="I167" s="206">
        <f>IF(ISNUMBER(G167), $B172 * H167, "")</f>
        <v>15038.560411311055</v>
      </c>
      <c r="J167" s="128">
        <v>409</v>
      </c>
      <c r="K167" s="76">
        <f>IF(ISNUMBER(J167), (J167 - $B167) / $B167, "")</f>
        <v>5.1413881748071981E-2</v>
      </c>
      <c r="L167" s="205">
        <f>IF(ISNUMBER(J167), $B172 * K167, "")</f>
        <v>7712.0822622107971</v>
      </c>
      <c r="M167" s="45">
        <v>420</v>
      </c>
      <c r="N167" s="76">
        <f>IF(ISNUMBER(M167), (M167 - $B167) / $B167, "")</f>
        <v>7.9691516709511565E-2</v>
      </c>
      <c r="O167" s="205">
        <f>IF(ISNUMBER(M167), $B172 * N167, "")</f>
        <v>11953.727506426734</v>
      </c>
      <c r="Q167" s="268"/>
      <c r="R167" s="268"/>
      <c r="S167" s="268"/>
    </row>
    <row r="168" spans="1:19" ht="17.25" thickBot="1">
      <c r="A168" s="124" t="s">
        <v>170</v>
      </c>
      <c r="B168" s="125">
        <v>470</v>
      </c>
      <c r="C168" s="73">
        <v>-6.7460317500000005E-2</v>
      </c>
      <c r="D168" s="125">
        <v>454</v>
      </c>
      <c r="E168" s="73">
        <f t="shared" ref="E168:E171" si="90">IF(ISNUMBER(D168), (D168 - $B168) / $B168, "")</f>
        <v>-3.4042553191489362E-2</v>
      </c>
      <c r="F168" s="136">
        <f>IF(ISNUMBER(D168), $B172 * E168, "")</f>
        <v>-5106.3829787234044</v>
      </c>
      <c r="G168" s="39">
        <v>469</v>
      </c>
      <c r="H168" s="73">
        <f t="shared" ref="H168:H171" si="91">IF(ISNUMBER(G168), (G168 - $B168) / $B168, "")</f>
        <v>-2.1276595744680851E-3</v>
      </c>
      <c r="I168" s="202">
        <f>IF(ISNUMBER(G168), $B172 * H168, "")</f>
        <v>-319.14893617021278</v>
      </c>
      <c r="J168" s="125">
        <v>454</v>
      </c>
      <c r="K168" s="73">
        <f t="shared" ref="K168:K171" si="92">IF(ISNUMBER(J168), (J168 - $B168) / $B168, "")</f>
        <v>-3.4042553191489362E-2</v>
      </c>
      <c r="L168" s="136">
        <f>IF(ISNUMBER(J168), $B172 * K168, "")</f>
        <v>-5106.3829787234044</v>
      </c>
      <c r="M168" s="39">
        <v>456</v>
      </c>
      <c r="N168" s="73">
        <f t="shared" ref="N168:N171" si="93">IF(ISNUMBER(M168), (M168 - $B168) / $B168, "")</f>
        <v>-2.9787234042553193E-2</v>
      </c>
      <c r="O168" s="136">
        <f>IF(ISNUMBER(M168), $B172 * N168, "")</f>
        <v>-4468.0851063829787</v>
      </c>
      <c r="Q168" s="268"/>
      <c r="R168" s="268"/>
      <c r="S168" s="268"/>
    </row>
    <row r="169" spans="1:19" ht="17.25" thickBot="1">
      <c r="A169" s="124" t="s">
        <v>240</v>
      </c>
      <c r="B169" s="125">
        <v>157</v>
      </c>
      <c r="C169" s="73">
        <v>-7.1005917200000004E-2</v>
      </c>
      <c r="D169" s="125">
        <v>155</v>
      </c>
      <c r="E169" s="73">
        <f t="shared" si="90"/>
        <v>-1.2738853503184714E-2</v>
      </c>
      <c r="F169" s="136">
        <f>IF(ISNUMBER(D169), $B172 * E169, "")</f>
        <v>-1910.8280254777071</v>
      </c>
      <c r="G169" s="39">
        <v>158</v>
      </c>
      <c r="H169" s="73">
        <f t="shared" si="91"/>
        <v>6.369426751592357E-3</v>
      </c>
      <c r="I169" s="202">
        <f>IF(ISNUMBER(G169), $B172 * H169, "")</f>
        <v>955.41401273885356</v>
      </c>
      <c r="J169" s="125">
        <v>154</v>
      </c>
      <c r="K169" s="73">
        <f t="shared" si="92"/>
        <v>-1.9108280254777069E-2</v>
      </c>
      <c r="L169" s="136">
        <f>IF(ISNUMBER(J169), $B172 * K169, "")</f>
        <v>-2866.2420382165606</v>
      </c>
      <c r="M169" s="39">
        <v>154</v>
      </c>
      <c r="N169" s="73">
        <f t="shared" si="93"/>
        <v>-1.9108280254777069E-2</v>
      </c>
      <c r="O169" s="136">
        <f>IF(ISNUMBER(M169), $B172 * N169, "")</f>
        <v>-2866.2420382165606</v>
      </c>
      <c r="Q169" s="268"/>
      <c r="R169" s="268"/>
      <c r="S169" s="268"/>
    </row>
    <row r="170" spans="1:19">
      <c r="A170" s="124" t="s">
        <v>182</v>
      </c>
      <c r="B170" s="125">
        <v>507</v>
      </c>
      <c r="C170" s="73">
        <v>-7.1428571400000002E-2</v>
      </c>
      <c r="D170" s="125">
        <v>483</v>
      </c>
      <c r="E170" s="73">
        <f t="shared" si="90"/>
        <v>-4.7337278106508875E-2</v>
      </c>
      <c r="F170" s="136">
        <f>IF(ISNUMBER(D170), $B172 * E170, "")</f>
        <v>-7100.5917159763312</v>
      </c>
      <c r="G170" s="39">
        <v>506</v>
      </c>
      <c r="H170" s="73">
        <f t="shared" si="91"/>
        <v>-1.9723865877712033E-3</v>
      </c>
      <c r="I170" s="202">
        <f>IF(ISNUMBER(G170), $B172 * H170, "")</f>
        <v>-295.85798816568047</v>
      </c>
      <c r="J170" s="125">
        <v>485</v>
      </c>
      <c r="K170" s="73">
        <f t="shared" si="92"/>
        <v>-4.3392504930966469E-2</v>
      </c>
      <c r="L170" s="136">
        <f>IF(ISNUMBER(J170), $B172 * K170, "")</f>
        <v>-6508.8757396449701</v>
      </c>
      <c r="M170" s="39">
        <v>487</v>
      </c>
      <c r="N170" s="73">
        <f t="shared" si="93"/>
        <v>-3.9447731755424063E-2</v>
      </c>
      <c r="O170" s="136">
        <f>IF(ISNUMBER(M170), $B172 * N170, "")</f>
        <v>-5917.1597633136098</v>
      </c>
      <c r="Q170" s="257"/>
      <c r="R170" s="258"/>
      <c r="S170" s="259"/>
    </row>
    <row r="171" spans="1:19" ht="17.25" thickBot="1">
      <c r="A171" s="129" t="s">
        <v>296</v>
      </c>
      <c r="B171" s="130">
        <v>643</v>
      </c>
      <c r="C171" s="75">
        <v>-7.2150072199999998E-2</v>
      </c>
      <c r="D171" s="130">
        <v>652</v>
      </c>
      <c r="E171" s="75">
        <f t="shared" si="90"/>
        <v>1.3996889580093312E-2</v>
      </c>
      <c r="F171" s="137">
        <f>IF(ISNUMBER(D171), $B172 * E171, "")</f>
        <v>2099.5334370139967</v>
      </c>
      <c r="G171" s="37">
        <v>647</v>
      </c>
      <c r="H171" s="75">
        <f t="shared" si="91"/>
        <v>6.2208398133748056E-3</v>
      </c>
      <c r="I171" s="207">
        <f>IF(ISNUMBER(G171), $B172 * H171, "")</f>
        <v>933.12597200622088</v>
      </c>
      <c r="J171" s="130">
        <v>633</v>
      </c>
      <c r="K171" s="75">
        <f t="shared" si="92"/>
        <v>-1.5552099533437015E-2</v>
      </c>
      <c r="L171" s="137">
        <f>IF(ISNUMBER(J171), $B172 * K171, "")</f>
        <v>-2332.8149300155524</v>
      </c>
      <c r="M171" s="37">
        <v>631</v>
      </c>
      <c r="N171" s="75">
        <f t="shared" si="93"/>
        <v>-1.8662519440124418E-2</v>
      </c>
      <c r="O171" s="137">
        <f>IF(ISNUMBER(M171), $B172 * N171, "")</f>
        <v>-2799.3779160186627</v>
      </c>
      <c r="Q171" s="260"/>
      <c r="R171" s="261"/>
      <c r="S171" s="262"/>
    </row>
    <row r="172" spans="1:19" ht="17.25" thickBot="1">
      <c r="A172" s="131" t="s">
        <v>301</v>
      </c>
      <c r="B172" s="330">
        <f>$B$37</f>
        <v>150000</v>
      </c>
      <c r="C172" s="331"/>
      <c r="D172" s="131" t="s">
        <v>302</v>
      </c>
      <c r="E172" s="244">
        <f>IF(COUNT(E152:E171), SUM(E152:E171) / COUNT(E152:E171), 0)</f>
        <v>-1.1524611511651106E-2</v>
      </c>
      <c r="F172" s="208">
        <f>SUM(F152:F171)</f>
        <v>-34573.834534953319</v>
      </c>
      <c r="G172" s="131" t="s">
        <v>302</v>
      </c>
      <c r="H172" s="244">
        <f>IF(COUNT(H152:H171), SUM(H152:H171) / COUNT(H152:H171), 0)</f>
        <v>1.762016068602806E-2</v>
      </c>
      <c r="I172" s="208">
        <f>SUM(I152:I171)</f>
        <v>52860.482058084192</v>
      </c>
      <c r="J172" s="131" t="s">
        <v>302</v>
      </c>
      <c r="K172" s="244">
        <f>IF(COUNT(K152:K171), SUM(K152:K171) / COUNT(K152:K171), 0)</f>
        <v>-8.8336549103653055E-3</v>
      </c>
      <c r="L172" s="208">
        <f>SUM(L152:L171)</f>
        <v>-26500.964731095923</v>
      </c>
      <c r="M172" s="131" t="s">
        <v>302</v>
      </c>
      <c r="N172" s="244">
        <f>IF(COUNT(N152:N171), SUM(N152:N171) / COUNT(N152:N171), 0)</f>
        <v>-1.5258783069709556E-3</v>
      </c>
      <c r="O172" s="208">
        <f>SUM(O152:O171)</f>
        <v>-4577.6349209128693</v>
      </c>
      <c r="Q172" s="263"/>
      <c r="R172" s="264"/>
      <c r="S172" s="265"/>
    </row>
    <row r="174" spans="1:19" ht="17.25" thickBot="1"/>
    <row r="175" spans="1:19" ht="17.25" thickBot="1">
      <c r="A175" s="279" t="s">
        <v>285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41" t="s">
        <v>298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55555000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-3.6323266700000002E-2</v>
      </c>
      <c r="N176" s="286"/>
      <c r="O176" s="287"/>
      <c r="Q176" s="278"/>
      <c r="R176" s="278"/>
      <c r="S176" s="278"/>
    </row>
    <row r="177" spans="1:19" ht="17.25" thickBot="1">
      <c r="A177" s="332" t="s">
        <v>55</v>
      </c>
      <c r="B177" s="328" t="str">
        <f>TEXT($G$1, "[$-ko-KR]yyyy-mm-dd(ddd) ") &amp; "오전 00:00"</f>
        <v>2021-05-16(일) 오전 00:00</v>
      </c>
      <c r="C177" s="329"/>
      <c r="D177" s="279" t="str">
        <f>TEXT($G$1, "[$-ko-KR]yyyy-mm-dd(ddd) ") &amp; "오후 14:00"</f>
        <v>2021-05-16(일) 오후 14:00</v>
      </c>
      <c r="E177" s="280"/>
      <c r="F177" s="281"/>
      <c r="G177" s="279" t="str">
        <f>TEXT($G$1, "[$-ko-KR]yyyy-mm-dd(ddd) ") &amp; "오후 19:00"</f>
        <v>2021-05-16(일) 오후 19:00</v>
      </c>
      <c r="H177" s="280"/>
      <c r="I177" s="281"/>
      <c r="J177" s="279" t="str">
        <f>TEXT($G$1, "[$-ko-KR]yyyy-mm-dd(ddd) ") &amp; "오후 21:00"</f>
        <v>2021-05-16(일) 오후 21:00</v>
      </c>
      <c r="K177" s="280"/>
      <c r="L177" s="281"/>
      <c r="M177" s="279" t="str">
        <f>TEXT($G$1+1, "[$-ko-KR]yyyy-mm-dd(ddd) ") &amp; "오전 00:00"</f>
        <v>2021-05-17(월) 오전 00:00</v>
      </c>
      <c r="N177" s="280"/>
      <c r="O177" s="281"/>
      <c r="Q177" s="278"/>
      <c r="R177" s="278"/>
      <c r="S177" s="278"/>
    </row>
    <row r="178" spans="1:19" ht="17.25" thickBot="1">
      <c r="A178" s="333"/>
      <c r="B178" s="120" t="s">
        <v>58</v>
      </c>
      <c r="C178" s="121" t="s">
        <v>59</v>
      </c>
      <c r="D178" s="120" t="s">
        <v>58</v>
      </c>
      <c r="E178" s="121" t="s">
        <v>299</v>
      </c>
      <c r="F178" s="248" t="s">
        <v>300</v>
      </c>
      <c r="G178" s="241" t="s">
        <v>58</v>
      </c>
      <c r="H178" s="242" t="s">
        <v>299</v>
      </c>
      <c r="I178" s="243" t="s">
        <v>300</v>
      </c>
      <c r="J178" s="121" t="s">
        <v>58</v>
      </c>
      <c r="K178" s="121" t="s">
        <v>299</v>
      </c>
      <c r="L178" s="246" t="s">
        <v>300</v>
      </c>
      <c r="M178" s="120" t="s">
        <v>58</v>
      </c>
      <c r="N178" s="121" t="s">
        <v>299</v>
      </c>
      <c r="O178" s="247" t="s">
        <v>300</v>
      </c>
      <c r="Q178" s="268"/>
      <c r="R178" s="268"/>
      <c r="S178" s="268"/>
    </row>
    <row r="179" spans="1:19" ht="17.25" thickBot="1">
      <c r="A179" s="122" t="s">
        <v>280</v>
      </c>
      <c r="B179" s="123">
        <v>1480</v>
      </c>
      <c r="C179" s="72">
        <v>-5.1282051299999999E-2</v>
      </c>
      <c r="D179" s="123">
        <v>1430</v>
      </c>
      <c r="E179" s="72">
        <f>IF(ISNUMBER(D179), (D179 - $B179) / $B179, "")</f>
        <v>-3.3783783783783786E-2</v>
      </c>
      <c r="F179" s="140">
        <f>IF(ISNUMBER(D179), $B199 * E179, "")</f>
        <v>-5067.5675675675675</v>
      </c>
      <c r="G179" s="38">
        <v>1480</v>
      </c>
      <c r="H179" s="72">
        <f>IF(ISNUMBER(G179), (G179 - $B179) / $B179, "")</f>
        <v>0</v>
      </c>
      <c r="I179" s="201">
        <f>IF(ISNUMBER(G179), $B199 * H179, "")</f>
        <v>0</v>
      </c>
      <c r="J179" s="123">
        <v>1435</v>
      </c>
      <c r="K179" s="72">
        <f>IF(ISNUMBER(J179), (J179 - $B179) / $B179, "")</f>
        <v>-3.0405405405405407E-2</v>
      </c>
      <c r="L179" s="140">
        <f>IF(ISNUMBER(J179), $B199 * K179, "")</f>
        <v>-4560.8108108108108</v>
      </c>
      <c r="M179" s="38">
        <v>1435</v>
      </c>
      <c r="N179" s="72">
        <f>IF(ISNUMBER(M179), (M179 - $B179) / $B179, "")</f>
        <v>-3.0405405405405407E-2</v>
      </c>
      <c r="O179" s="140">
        <f>IF(ISNUMBER(M179), $B199 * N179, "")</f>
        <v>-4560.8108108108108</v>
      </c>
      <c r="Q179" s="278"/>
      <c r="R179" s="278"/>
      <c r="S179" s="278"/>
    </row>
    <row r="180" spans="1:19" ht="17.25" thickBot="1">
      <c r="A180" s="124" t="s">
        <v>166</v>
      </c>
      <c r="B180" s="125">
        <v>2100</v>
      </c>
      <c r="C180" s="73">
        <v>-5.1918735899999999E-2</v>
      </c>
      <c r="D180" s="125">
        <v>2125</v>
      </c>
      <c r="E180" s="73">
        <f t="shared" ref="E180:E183" si="94">IF(ISNUMBER(D180), (D180 - $B180) / $B180, "")</f>
        <v>1.1904761904761904E-2</v>
      </c>
      <c r="F180" s="136">
        <f>IF(ISNUMBER(D180), $B199 * E180, "")</f>
        <v>1785.7142857142856</v>
      </c>
      <c r="G180" s="39">
        <v>2175</v>
      </c>
      <c r="H180" s="73">
        <f t="shared" ref="H180:H183" si="95">IF(ISNUMBER(G180), (G180 - $B180) / $B180, "")</f>
        <v>3.5714285714285712E-2</v>
      </c>
      <c r="I180" s="202">
        <f>IF(ISNUMBER(G180), $B199 * H180, "")</f>
        <v>5357.1428571428569</v>
      </c>
      <c r="J180" s="125">
        <v>2095</v>
      </c>
      <c r="K180" s="73">
        <f t="shared" ref="K180:K183" si="96">IF(ISNUMBER(J180), (J180 - $B180) / $B180, "")</f>
        <v>-2.3809523809523812E-3</v>
      </c>
      <c r="L180" s="136">
        <f>IF(ISNUMBER(J180), $B199 * K180, "")</f>
        <v>-357.14285714285717</v>
      </c>
      <c r="M180" s="39">
        <v>2100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278"/>
      <c r="R180" s="278"/>
      <c r="S180" s="278"/>
    </row>
    <row r="181" spans="1:19" ht="17.25" thickBot="1">
      <c r="A181" s="124" t="s">
        <v>234</v>
      </c>
      <c r="B181" s="125">
        <v>1095</v>
      </c>
      <c r="C181" s="73">
        <v>-5.19480519E-2</v>
      </c>
      <c r="D181" s="125">
        <v>1075</v>
      </c>
      <c r="E181" s="73">
        <f t="shared" si="94"/>
        <v>-1.8264840182648401E-2</v>
      </c>
      <c r="F181" s="136">
        <f>IF(ISNUMBER(D181), $B199 * E181, "")</f>
        <v>-2739.7260273972602</v>
      </c>
      <c r="G181" s="39">
        <v>1120</v>
      </c>
      <c r="H181" s="73">
        <f t="shared" si="95"/>
        <v>2.2831050228310501E-2</v>
      </c>
      <c r="I181" s="202">
        <f>IF(ISNUMBER(G181), $B199 * H181, "")</f>
        <v>3424.6575342465753</v>
      </c>
      <c r="J181" s="125">
        <v>1080</v>
      </c>
      <c r="K181" s="73">
        <f t="shared" si="96"/>
        <v>-1.3698630136986301E-2</v>
      </c>
      <c r="L181" s="136">
        <f>IF(ISNUMBER(J181), $B199 * K181, "")</f>
        <v>-2054.794520547945</v>
      </c>
      <c r="M181" s="39">
        <v>1085</v>
      </c>
      <c r="N181" s="73">
        <f t="shared" si="97"/>
        <v>-9.1324200913242004E-3</v>
      </c>
      <c r="O181" s="136">
        <f>IF(ISNUMBER(M181), $B199 * N181, "")</f>
        <v>-1369.8630136986301</v>
      </c>
      <c r="Q181" s="268"/>
      <c r="R181" s="268"/>
      <c r="S181" s="268"/>
    </row>
    <row r="182" spans="1:19" ht="17.25" thickBot="1">
      <c r="A182" s="124" t="s">
        <v>152</v>
      </c>
      <c r="B182" s="125">
        <v>37.9</v>
      </c>
      <c r="C182" s="73">
        <v>-5.2499999999999998E-2</v>
      </c>
      <c r="D182" s="125">
        <v>37.1</v>
      </c>
      <c r="E182" s="73">
        <f t="shared" si="94"/>
        <v>-2.1108179419524992E-2</v>
      </c>
      <c r="F182" s="136">
        <f>IF(ISNUMBER(D182), $B199 * E182, "")</f>
        <v>-3166.2269129287488</v>
      </c>
      <c r="G182" s="39">
        <v>38.9</v>
      </c>
      <c r="H182" s="73">
        <f t="shared" si="95"/>
        <v>2.6385224274406333E-2</v>
      </c>
      <c r="I182" s="202">
        <f>IF(ISNUMBER(G182), $B199 * H182, "")</f>
        <v>3957.7836411609501</v>
      </c>
      <c r="J182" s="125">
        <v>37.200000000000003</v>
      </c>
      <c r="K182" s="73">
        <f t="shared" si="96"/>
        <v>-1.8469656992084322E-2</v>
      </c>
      <c r="L182" s="136">
        <f>IF(ISNUMBER(J182), $B199 * K182, "")</f>
        <v>-2770.4485488126484</v>
      </c>
      <c r="M182" s="39">
        <v>37.1</v>
      </c>
      <c r="N182" s="73">
        <f t="shared" si="97"/>
        <v>-2.1108179419524992E-2</v>
      </c>
      <c r="O182" s="136">
        <f>IF(ISNUMBER(M182), $B199 * N182, "")</f>
        <v>-3166.2269129287488</v>
      </c>
      <c r="Q182" s="268"/>
      <c r="R182" s="268"/>
      <c r="S182" s="268"/>
    </row>
    <row r="183" spans="1:19" ht="17.25" thickBot="1">
      <c r="A183" s="126" t="s">
        <v>218</v>
      </c>
      <c r="B183" s="127">
        <v>23</v>
      </c>
      <c r="C183" s="74">
        <v>-5.3497942399999998E-2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23.1</v>
      </c>
      <c r="H183" s="74">
        <f t="shared" si="95"/>
        <v>4.3478260869565834E-3</v>
      </c>
      <c r="I183" s="204">
        <f>IF(ISNUMBER(G183), $B199 * H183, "")</f>
        <v>652.17391304348746</v>
      </c>
      <c r="J183" s="127">
        <v>22.5</v>
      </c>
      <c r="K183" s="74">
        <f t="shared" si="96"/>
        <v>-2.1739130434782608E-2</v>
      </c>
      <c r="L183" s="203">
        <f>IF(ISNUMBER(J183), $B199 * K183, "")</f>
        <v>-3260.869565217391</v>
      </c>
      <c r="M183" s="44">
        <v>22.6</v>
      </c>
      <c r="N183" s="74">
        <f t="shared" si="97"/>
        <v>-1.7391304347826025E-2</v>
      </c>
      <c r="O183" s="203">
        <f>IF(ISNUMBER(M183), $B199 * N183, "")</f>
        <v>-2608.6956521739039</v>
      </c>
      <c r="Q183" s="268"/>
      <c r="R183" s="268"/>
      <c r="S183" s="268"/>
    </row>
    <row r="184" spans="1:19" ht="17.25" thickBot="1">
      <c r="A184" s="124" t="s">
        <v>174</v>
      </c>
      <c r="B184" s="128">
        <v>243</v>
      </c>
      <c r="C184" s="76">
        <v>-5.4474708199999999E-2</v>
      </c>
      <c r="D184" s="128">
        <v>242</v>
      </c>
      <c r="E184" s="76">
        <f>IF(ISNUMBER(D184), (D184 - $B184) / $B184, "")</f>
        <v>-4.11522633744856E-3</v>
      </c>
      <c r="F184" s="205">
        <f>IF(ISNUMBER(D184), $B199 * E184, "")</f>
        <v>-617.28395061728395</v>
      </c>
      <c r="G184" s="45">
        <v>245</v>
      </c>
      <c r="H184" s="76">
        <f>IF(ISNUMBER(G184), (G184 - $B184) / $B184, "")</f>
        <v>8.23045267489712E-3</v>
      </c>
      <c r="I184" s="206">
        <f>IF(ISNUMBER(G184), $B199 * H184, "")</f>
        <v>1234.5679012345679</v>
      </c>
      <c r="J184" s="128">
        <v>240</v>
      </c>
      <c r="K184" s="76">
        <f>IF(ISNUMBER(J184), (J184 - $B184) / $B184, "")</f>
        <v>-1.2345679012345678E-2</v>
      </c>
      <c r="L184" s="205">
        <f>IF(ISNUMBER(J184), $B199 * K184, "")</f>
        <v>-1851.8518518518517</v>
      </c>
      <c r="M184" s="45">
        <v>242</v>
      </c>
      <c r="N184" s="76">
        <f>IF(ISNUMBER(M184), (M184 - $B184) / $B184, "")</f>
        <v>-4.11522633744856E-3</v>
      </c>
      <c r="O184" s="205">
        <f>IF(ISNUMBER(M184), $B199 * N184, "")</f>
        <v>-617.28395061728395</v>
      </c>
      <c r="Q184" s="268"/>
      <c r="R184" s="268"/>
      <c r="S184" s="268"/>
    </row>
    <row r="185" spans="1:19" ht="17.25" thickBot="1">
      <c r="A185" s="124" t="s">
        <v>262</v>
      </c>
      <c r="B185" s="125">
        <v>1105</v>
      </c>
      <c r="C185" s="73">
        <v>-5.5555555600000001E-2</v>
      </c>
      <c r="D185" s="125">
        <v>1080</v>
      </c>
      <c r="E185" s="73">
        <f t="shared" ref="E185:E188" si="98">IF(ISNUMBER(D185), (D185 - $B185) / $B185, "")</f>
        <v>-2.2624434389140271E-2</v>
      </c>
      <c r="F185" s="136">
        <f>IF(ISNUMBER(D185), $B199 * E185, "")</f>
        <v>-3393.6651583710404</v>
      </c>
      <c r="G185" s="39">
        <v>1115</v>
      </c>
      <c r="H185" s="73">
        <f t="shared" ref="H185:H188" si="99">IF(ISNUMBER(G185), (G185 - $B185) / $B185, "")</f>
        <v>9.0497737556561094E-3</v>
      </c>
      <c r="I185" s="202">
        <f>IF(ISNUMBER(G185), $B199 * H185, "")</f>
        <v>1357.4660633484164</v>
      </c>
      <c r="J185" s="125">
        <v>1065</v>
      </c>
      <c r="K185" s="73">
        <f t="shared" ref="K185:K188" si="100">IF(ISNUMBER(J185), (J185 - $B185) / $B185, "")</f>
        <v>-3.6199095022624438E-2</v>
      </c>
      <c r="L185" s="136">
        <f>IF(ISNUMBER(J185), $B199 * K185, "")</f>
        <v>-5429.8642533936654</v>
      </c>
      <c r="M185" s="39">
        <v>1075</v>
      </c>
      <c r="N185" s="73">
        <f t="shared" ref="N185:N188" si="101">IF(ISNUMBER(M185), (M185 - $B185) / $B185, "")</f>
        <v>-2.7149321266968326E-2</v>
      </c>
      <c r="O185" s="136">
        <f>IF(ISNUMBER(M185), $B199 * N185, "")</f>
        <v>-4072.3981900452491</v>
      </c>
      <c r="Q185" s="268"/>
      <c r="R185" s="268"/>
      <c r="S185" s="268"/>
    </row>
    <row r="186" spans="1:19" ht="17.25" thickBot="1">
      <c r="A186" s="124" t="s">
        <v>82</v>
      </c>
      <c r="B186" s="125">
        <v>1360</v>
      </c>
      <c r="C186" s="73">
        <v>-5.5555555600000001E-2</v>
      </c>
      <c r="D186" s="125">
        <v>1320</v>
      </c>
      <c r="E186" s="73">
        <f t="shared" si="98"/>
        <v>-2.9411764705882353E-2</v>
      </c>
      <c r="F186" s="136">
        <f>IF(ISNUMBER(D186), $B199 * E186, "")</f>
        <v>-4411.7647058823532</v>
      </c>
      <c r="G186" s="39">
        <v>1360</v>
      </c>
      <c r="H186" s="73">
        <f t="shared" si="99"/>
        <v>0</v>
      </c>
      <c r="I186" s="202">
        <f>IF(ISNUMBER(G186), $B199 * H186, "")</f>
        <v>0</v>
      </c>
      <c r="J186" s="125">
        <v>1320</v>
      </c>
      <c r="K186" s="73">
        <f t="shared" si="100"/>
        <v>-2.9411764705882353E-2</v>
      </c>
      <c r="L186" s="136">
        <f>IF(ISNUMBER(J186), $B199 * K186, "")</f>
        <v>-4411.7647058823532</v>
      </c>
      <c r="M186" s="39">
        <v>1335</v>
      </c>
      <c r="N186" s="73">
        <f t="shared" si="101"/>
        <v>-1.8382352941176471E-2</v>
      </c>
      <c r="O186" s="136">
        <f>IF(ISNUMBER(M186), $B199 * N186, "")</f>
        <v>-2757.3529411764707</v>
      </c>
      <c r="Q186" s="268"/>
      <c r="R186" s="268"/>
      <c r="S186" s="268"/>
    </row>
    <row r="187" spans="1:19" ht="17.25" thickBot="1">
      <c r="A187" s="124" t="s">
        <v>146</v>
      </c>
      <c r="B187" s="125">
        <v>15790</v>
      </c>
      <c r="C187" s="73">
        <v>-5.7875894999999997E-2</v>
      </c>
      <c r="D187" s="125">
        <v>15310</v>
      </c>
      <c r="E187" s="73">
        <f t="shared" si="98"/>
        <v>-3.0398986700443317E-2</v>
      </c>
      <c r="F187" s="136">
        <f>IF(ISNUMBER(D187), $B199 * E187, "")</f>
        <v>-4559.8480050664975</v>
      </c>
      <c r="G187" s="39">
        <v>15940</v>
      </c>
      <c r="H187" s="73">
        <f t="shared" si="99"/>
        <v>9.4996833438885375E-3</v>
      </c>
      <c r="I187" s="202">
        <f>IF(ISNUMBER(G187), $B199 * H187, "")</f>
        <v>1424.9525015832805</v>
      </c>
      <c r="J187" s="125">
        <v>15420</v>
      </c>
      <c r="K187" s="73">
        <f t="shared" si="100"/>
        <v>-2.3432552248258392E-2</v>
      </c>
      <c r="L187" s="136">
        <f>IF(ISNUMBER(J187), $B199 * K187, "")</f>
        <v>-3514.8828372387588</v>
      </c>
      <c r="M187" s="39">
        <v>15500</v>
      </c>
      <c r="N187" s="73">
        <f t="shared" si="101"/>
        <v>-1.8366054464851171E-2</v>
      </c>
      <c r="O187" s="136">
        <f>IF(ISNUMBER(M187), $B199 * N187, "")</f>
        <v>-2754.9081697276756</v>
      </c>
      <c r="Q187" s="33"/>
      <c r="R187" s="33"/>
    </row>
    <row r="188" spans="1:19" ht="17.25" thickBot="1">
      <c r="A188" s="129" t="s">
        <v>242</v>
      </c>
      <c r="B188" s="130">
        <v>8630</v>
      </c>
      <c r="C188" s="75">
        <v>-5.9400544999999999E-2</v>
      </c>
      <c r="D188" s="130">
        <v>8080</v>
      </c>
      <c r="E188" s="75">
        <f t="shared" si="98"/>
        <v>-6.3731170336037077E-2</v>
      </c>
      <c r="F188" s="137">
        <f>IF(ISNUMBER(D188), $B199 * E188, "")</f>
        <v>-9559.6755504055618</v>
      </c>
      <c r="G188" s="37">
        <v>8410</v>
      </c>
      <c r="H188" s="75">
        <f t="shared" si="99"/>
        <v>-2.5492468134414831E-2</v>
      </c>
      <c r="I188" s="207">
        <f>IF(ISNUMBER(G188), $B199 * H188, "")</f>
        <v>-3823.8702201622245</v>
      </c>
      <c r="J188" s="130">
        <v>8120</v>
      </c>
      <c r="K188" s="75">
        <f t="shared" si="100"/>
        <v>-5.909617612977984E-2</v>
      </c>
      <c r="L188" s="137">
        <f>IF(ISNUMBER(J188), $B199 * K188, "")</f>
        <v>-8864.4264194669759</v>
      </c>
      <c r="M188" s="37">
        <v>8130</v>
      </c>
      <c r="N188" s="75">
        <f t="shared" si="101"/>
        <v>-5.7937427578215531E-2</v>
      </c>
      <c r="O188" s="137">
        <f>IF(ISNUMBER(M188), $B199 * N188, "")</f>
        <v>-8690.6141367323289</v>
      </c>
      <c r="Q188" s="269"/>
      <c r="R188" s="270"/>
      <c r="S188" s="271"/>
    </row>
    <row r="189" spans="1:19">
      <c r="A189" s="122" t="s">
        <v>208</v>
      </c>
      <c r="B189" s="123">
        <v>436</v>
      </c>
      <c r="C189" s="72">
        <v>-6.0344827599999998E-2</v>
      </c>
      <c r="D189" s="123">
        <v>424</v>
      </c>
      <c r="E189" s="72">
        <f>IF(ISNUMBER(D189), (D189 - $B189) / $B189, "")</f>
        <v>-2.7522935779816515E-2</v>
      </c>
      <c r="F189" s="140">
        <f>IF(ISNUMBER(D189), $B199 * E189, "")</f>
        <v>-4128.440366972477</v>
      </c>
      <c r="G189" s="38">
        <v>434</v>
      </c>
      <c r="H189" s="72">
        <f>IF(ISNUMBER(G189), (G189 - $B189) / $B189, "")</f>
        <v>-4.5871559633027525E-3</v>
      </c>
      <c r="I189" s="201">
        <f>IF(ISNUMBER(G189), $B199 * H189, "")</f>
        <v>-688.07339449541291</v>
      </c>
      <c r="J189" s="123">
        <v>423</v>
      </c>
      <c r="K189" s="72">
        <f>IF(ISNUMBER(J189), (J189 - $B189) / $B189, "")</f>
        <v>-2.9816513761467892E-2</v>
      </c>
      <c r="L189" s="140">
        <f>IF(ISNUMBER(J189), $B199 * K189, "")</f>
        <v>-4472.4770642201838</v>
      </c>
      <c r="M189" s="38">
        <v>425</v>
      </c>
      <c r="N189" s="72">
        <f>IF(ISNUMBER(M189), (M189 - $B189) / $B189, "")</f>
        <v>-2.5229357798165139E-2</v>
      </c>
      <c r="O189" s="140">
        <f>IF(ISNUMBER(M189), $B199 * N189, "")</f>
        <v>-3784.4036697247707</v>
      </c>
      <c r="Q189" s="272"/>
      <c r="R189" s="273"/>
      <c r="S189" s="274"/>
    </row>
    <row r="190" spans="1:19" ht="17.25" thickBot="1">
      <c r="A190" s="124" t="s">
        <v>276</v>
      </c>
      <c r="B190" s="125">
        <v>4280</v>
      </c>
      <c r="C190" s="73">
        <v>-6.1403508799999999E-2</v>
      </c>
      <c r="D190" s="125">
        <v>4130</v>
      </c>
      <c r="E190" s="73">
        <f t="shared" ref="E190:E193" si="102">IF(ISNUMBER(D190), (D190 - $B190) / $B190, "")</f>
        <v>-3.5046728971962614E-2</v>
      </c>
      <c r="F190" s="136">
        <f>IF(ISNUMBER(D190), $B199 * E190, "")</f>
        <v>-5257.0093457943922</v>
      </c>
      <c r="G190" s="39">
        <v>4270</v>
      </c>
      <c r="H190" s="73">
        <f t="shared" ref="H190:H193" si="103">IF(ISNUMBER(G190), (G190 - $B190) / $B190, "")</f>
        <v>-2.3364485981308409E-3</v>
      </c>
      <c r="I190" s="202">
        <f>IF(ISNUMBER(G190), $B199 * H190, "")</f>
        <v>-350.46728971962614</v>
      </c>
      <c r="J190" s="125">
        <v>4145</v>
      </c>
      <c r="K190" s="73">
        <f t="shared" ref="K190:K193" si="104">IF(ISNUMBER(J190), (J190 - $B190) / $B190, "")</f>
        <v>-3.1542056074766352E-2</v>
      </c>
      <c r="L190" s="136">
        <f>IF(ISNUMBER(J190), $B199 * K190, "")</f>
        <v>-4731.3084112149527</v>
      </c>
      <c r="M190" s="39">
        <v>4180</v>
      </c>
      <c r="N190" s="73">
        <f t="shared" ref="N190:N193" si="105">IF(ISNUMBER(M190), (M190 - $B190) / $B190, "")</f>
        <v>-2.336448598130841E-2</v>
      </c>
      <c r="O190" s="136">
        <f>IF(ISNUMBER(M190), $B199 * N190, "")</f>
        <v>-3504.6728971962616</v>
      </c>
      <c r="Q190" s="275"/>
      <c r="R190" s="276"/>
      <c r="S190" s="277"/>
    </row>
    <row r="191" spans="1:19" ht="17.25" thickBot="1">
      <c r="A191" s="124" t="s">
        <v>172</v>
      </c>
      <c r="B191" s="125">
        <v>22.5</v>
      </c>
      <c r="C191" s="73">
        <v>-6.25E-2</v>
      </c>
      <c r="D191" s="125">
        <v>22</v>
      </c>
      <c r="E191" s="73">
        <f t="shared" si="102"/>
        <v>-2.2222222222222223E-2</v>
      </c>
      <c r="F191" s="136">
        <f>IF(ISNUMBER(D191), $B199 * E191, "")</f>
        <v>-3333.3333333333335</v>
      </c>
      <c r="G191" s="39">
        <v>22.6</v>
      </c>
      <c r="H191" s="73">
        <f t="shared" si="103"/>
        <v>4.4444444444445078E-3</v>
      </c>
      <c r="I191" s="202">
        <f>IF(ISNUMBER(G191), $B199 * H191, "")</f>
        <v>666.66666666667618</v>
      </c>
      <c r="J191" s="125">
        <v>21.9</v>
      </c>
      <c r="K191" s="73">
        <f t="shared" si="104"/>
        <v>-2.6666666666666731E-2</v>
      </c>
      <c r="L191" s="136">
        <f>IF(ISNUMBER(J191), $B199 * K191, "")</f>
        <v>-4000.0000000000095</v>
      </c>
      <c r="M191" s="39">
        <v>22</v>
      </c>
      <c r="N191" s="73">
        <f t="shared" si="105"/>
        <v>-2.2222222222222223E-2</v>
      </c>
      <c r="O191" s="136">
        <f>IF(ISNUMBER(M191), $B199 * N191, "")</f>
        <v>-3333.3333333333335</v>
      </c>
      <c r="Q191" s="268"/>
      <c r="R191" s="268"/>
      <c r="S191" s="268"/>
    </row>
    <row r="192" spans="1:19" ht="17.25" thickBot="1">
      <c r="A192" s="124" t="s">
        <v>204</v>
      </c>
      <c r="B192" s="125">
        <v>6375</v>
      </c>
      <c r="C192" s="73">
        <v>-6.25E-2</v>
      </c>
      <c r="D192" s="125">
        <v>6185</v>
      </c>
      <c r="E192" s="73">
        <f t="shared" si="102"/>
        <v>-2.9803921568627451E-2</v>
      </c>
      <c r="F192" s="136">
        <f>IF(ISNUMBER(D192), $B199 * E192, "")</f>
        <v>-4470.588235294118</v>
      </c>
      <c r="G192" s="39">
        <v>6340</v>
      </c>
      <c r="H192" s="73">
        <f t="shared" si="103"/>
        <v>-5.4901960784313726E-3</v>
      </c>
      <c r="I192" s="202">
        <f>IF(ISNUMBER(G192), $B199 * H192, "")</f>
        <v>-823.52941176470586</v>
      </c>
      <c r="J192" s="125">
        <v>6175</v>
      </c>
      <c r="K192" s="73">
        <f t="shared" si="104"/>
        <v>-3.1372549019607843E-2</v>
      </c>
      <c r="L192" s="136">
        <f>IF(ISNUMBER(J192), $B199 * K192, "")</f>
        <v>-4705.8823529411766</v>
      </c>
      <c r="M192" s="39">
        <v>6220</v>
      </c>
      <c r="N192" s="73">
        <f t="shared" si="105"/>
        <v>-2.4313725490196079E-2</v>
      </c>
      <c r="O192" s="136">
        <f>IF(ISNUMBER(M192), $B199 * N192, "")</f>
        <v>-3647.0588235294117</v>
      </c>
      <c r="Q192" s="278"/>
      <c r="R192" s="278"/>
      <c r="S192" s="278"/>
    </row>
    <row r="193" spans="1:19" ht="17.25" thickBot="1">
      <c r="A193" s="126" t="s">
        <v>54</v>
      </c>
      <c r="B193" s="127">
        <v>389</v>
      </c>
      <c r="C193" s="74">
        <v>-6.2650602400000005E-2</v>
      </c>
      <c r="D193" s="127">
        <v>415</v>
      </c>
      <c r="E193" s="74">
        <f t="shared" si="102"/>
        <v>6.6838046272493568E-2</v>
      </c>
      <c r="F193" s="203">
        <f>IF(ISNUMBER(D193), $B199 * E193, "")</f>
        <v>10025.706940874035</v>
      </c>
      <c r="G193" s="44">
        <v>428</v>
      </c>
      <c r="H193" s="74">
        <f t="shared" si="103"/>
        <v>0.10025706940874037</v>
      </c>
      <c r="I193" s="204">
        <f>IF(ISNUMBER(G193), $B199 * H193, "")</f>
        <v>15038.560411311055</v>
      </c>
      <c r="J193" s="127">
        <v>409</v>
      </c>
      <c r="K193" s="74">
        <f t="shared" si="104"/>
        <v>5.1413881748071981E-2</v>
      </c>
      <c r="L193" s="203">
        <f>IF(ISNUMBER(J193), $B199 * K193, "")</f>
        <v>7712.0822622107971</v>
      </c>
      <c r="M193" s="44">
        <v>420</v>
      </c>
      <c r="N193" s="74">
        <f t="shared" si="105"/>
        <v>7.9691516709511565E-2</v>
      </c>
      <c r="O193" s="203">
        <f>IF(ISNUMBER(M193), $B199 * N193, "")</f>
        <v>11953.727506426734</v>
      </c>
      <c r="Q193" s="278"/>
      <c r="R193" s="278"/>
      <c r="S193" s="278"/>
    </row>
    <row r="194" spans="1:19" ht="17.25" thickBot="1">
      <c r="A194" s="124" t="s">
        <v>170</v>
      </c>
      <c r="B194" s="128">
        <v>470</v>
      </c>
      <c r="C194" s="76">
        <v>-6.7460317500000005E-2</v>
      </c>
      <c r="D194" s="128">
        <v>454</v>
      </c>
      <c r="E194" s="76">
        <f>IF(ISNUMBER(D194), (D194 - $B194) / $B194, "")</f>
        <v>-3.4042553191489362E-2</v>
      </c>
      <c r="F194" s="205">
        <f>IF(ISNUMBER(D194), $B199 * E194, "")</f>
        <v>-5106.3829787234044</v>
      </c>
      <c r="G194" s="45">
        <v>469</v>
      </c>
      <c r="H194" s="76">
        <f>IF(ISNUMBER(G194), (G194 - $B194) / $B194, "")</f>
        <v>-2.1276595744680851E-3</v>
      </c>
      <c r="I194" s="206">
        <f>IF(ISNUMBER(G194), $B199 * H194, "")</f>
        <v>-319.14893617021278</v>
      </c>
      <c r="J194" s="128">
        <v>454</v>
      </c>
      <c r="K194" s="76">
        <f>IF(ISNUMBER(J194), (J194 - $B194) / $B194, "")</f>
        <v>-3.4042553191489362E-2</v>
      </c>
      <c r="L194" s="205">
        <f>IF(ISNUMBER(J194), $B199 * K194, "")</f>
        <v>-5106.3829787234044</v>
      </c>
      <c r="M194" s="45">
        <v>456</v>
      </c>
      <c r="N194" s="76">
        <f>IF(ISNUMBER(M194), (M194 - $B194) / $B194, "")</f>
        <v>-2.9787234042553193E-2</v>
      </c>
      <c r="O194" s="205">
        <f>IF(ISNUMBER(M194), $B199 * N194, "")</f>
        <v>-4468.0851063829787</v>
      </c>
      <c r="Q194" s="268"/>
      <c r="R194" s="268"/>
      <c r="S194" s="268"/>
    </row>
    <row r="195" spans="1:19" ht="17.25" thickBot="1">
      <c r="A195" s="124" t="s">
        <v>240</v>
      </c>
      <c r="B195" s="125">
        <v>157</v>
      </c>
      <c r="C195" s="73">
        <v>-7.1005917200000004E-2</v>
      </c>
      <c r="D195" s="125">
        <v>155</v>
      </c>
      <c r="E195" s="73">
        <f t="shared" ref="E195:E198" si="106">IF(ISNUMBER(D195), (D195 - $B195) / $B195, "")</f>
        <v>-1.2738853503184714E-2</v>
      </c>
      <c r="F195" s="136">
        <f>IF(ISNUMBER(D195), $B199 * E195, "")</f>
        <v>-1910.8280254777071</v>
      </c>
      <c r="G195" s="39">
        <v>158</v>
      </c>
      <c r="H195" s="73">
        <f t="shared" ref="H195:H198" si="107">IF(ISNUMBER(G195), (G195 - $B195) / $B195, "")</f>
        <v>6.369426751592357E-3</v>
      </c>
      <c r="I195" s="202">
        <f>IF(ISNUMBER(G195), $B199 * H195, "")</f>
        <v>955.41401273885356</v>
      </c>
      <c r="J195" s="125">
        <v>154</v>
      </c>
      <c r="K195" s="73">
        <f t="shared" ref="K195:K198" si="108">IF(ISNUMBER(J195), (J195 - $B195) / $B195, "")</f>
        <v>-1.9108280254777069E-2</v>
      </c>
      <c r="L195" s="136">
        <f>IF(ISNUMBER(J195), $B199 * K195, "")</f>
        <v>-2866.2420382165606</v>
      </c>
      <c r="M195" s="39">
        <v>154</v>
      </c>
      <c r="N195" s="73">
        <f t="shared" ref="N195:N198" si="109">IF(ISNUMBER(M195), (M195 - $B195) / $B195, "")</f>
        <v>-1.9108280254777069E-2</v>
      </c>
      <c r="O195" s="136">
        <f>IF(ISNUMBER(M195), $B199 * N195, "")</f>
        <v>-2866.2420382165606</v>
      </c>
      <c r="Q195" s="268"/>
      <c r="R195" s="268"/>
      <c r="S195" s="268"/>
    </row>
    <row r="196" spans="1:19" ht="17.25" thickBot="1">
      <c r="A196" s="124" t="s">
        <v>182</v>
      </c>
      <c r="B196" s="125">
        <v>507</v>
      </c>
      <c r="C196" s="73">
        <v>-7.1428571400000002E-2</v>
      </c>
      <c r="D196" s="125">
        <v>483</v>
      </c>
      <c r="E196" s="73">
        <f t="shared" si="106"/>
        <v>-4.7337278106508875E-2</v>
      </c>
      <c r="F196" s="136">
        <f>IF(ISNUMBER(D196), $B199 * E196, "")</f>
        <v>-7100.5917159763312</v>
      </c>
      <c r="G196" s="39">
        <v>506</v>
      </c>
      <c r="H196" s="73">
        <f t="shared" si="107"/>
        <v>-1.9723865877712033E-3</v>
      </c>
      <c r="I196" s="202">
        <f>IF(ISNUMBER(G196), $B199 * H196, "")</f>
        <v>-295.85798816568047</v>
      </c>
      <c r="J196" s="125">
        <v>485</v>
      </c>
      <c r="K196" s="73">
        <f t="shared" si="108"/>
        <v>-4.3392504930966469E-2</v>
      </c>
      <c r="L196" s="136">
        <f>IF(ISNUMBER(J196), $B199 * K196, "")</f>
        <v>-6508.8757396449701</v>
      </c>
      <c r="M196" s="39">
        <v>487</v>
      </c>
      <c r="N196" s="73">
        <f t="shared" si="109"/>
        <v>-3.9447731755424063E-2</v>
      </c>
      <c r="O196" s="136">
        <f>IF(ISNUMBER(M196), $B199 * N196, "")</f>
        <v>-5917.1597633136098</v>
      </c>
      <c r="Q196" s="268"/>
      <c r="R196" s="268"/>
      <c r="S196" s="268"/>
    </row>
    <row r="197" spans="1:19">
      <c r="A197" s="124" t="s">
        <v>296</v>
      </c>
      <c r="B197" s="125">
        <v>643</v>
      </c>
      <c r="C197" s="73">
        <v>-7.2150072199999998E-2</v>
      </c>
      <c r="D197" s="125">
        <v>652</v>
      </c>
      <c r="E197" s="73">
        <f t="shared" si="106"/>
        <v>1.3996889580093312E-2</v>
      </c>
      <c r="F197" s="136">
        <f>IF(ISNUMBER(D197), $B199 * E197, "")</f>
        <v>2099.5334370139967</v>
      </c>
      <c r="G197" s="39">
        <v>647</v>
      </c>
      <c r="H197" s="73">
        <f t="shared" si="107"/>
        <v>6.2208398133748056E-3</v>
      </c>
      <c r="I197" s="202">
        <f>IF(ISNUMBER(G197), $B199 * H197, "")</f>
        <v>933.12597200622088</v>
      </c>
      <c r="J197" s="125">
        <v>633</v>
      </c>
      <c r="K197" s="73">
        <f t="shared" si="108"/>
        <v>-1.5552099533437015E-2</v>
      </c>
      <c r="L197" s="136">
        <f>IF(ISNUMBER(J197), $B199 * K197, "")</f>
        <v>-2332.8149300155524</v>
      </c>
      <c r="M197" s="39">
        <v>631</v>
      </c>
      <c r="N197" s="73">
        <f t="shared" si="109"/>
        <v>-1.8662519440124418E-2</v>
      </c>
      <c r="O197" s="136">
        <f>IF(ISNUMBER(M197), $B199 * N197, "")</f>
        <v>-2799.3779160186627</v>
      </c>
      <c r="Q197" s="257"/>
      <c r="R197" s="258"/>
      <c r="S197" s="259"/>
    </row>
    <row r="198" spans="1:19" ht="17.25" thickBot="1">
      <c r="A198" s="129" t="s">
        <v>186</v>
      </c>
      <c r="B198" s="130">
        <v>22.4</v>
      </c>
      <c r="C198" s="75">
        <v>-7.4380165299999995E-2</v>
      </c>
      <c r="D198" s="130">
        <v>21.8</v>
      </c>
      <c r="E198" s="75">
        <f t="shared" si="106"/>
        <v>-2.6785714285714191E-2</v>
      </c>
      <c r="F198" s="137">
        <f>IF(ISNUMBER(D198), $B199 * E198, "")</f>
        <v>-4017.8571428571286</v>
      </c>
      <c r="G198" s="37">
        <v>22.3</v>
      </c>
      <c r="H198" s="75">
        <f t="shared" si="107"/>
        <v>-4.4642857142856195E-3</v>
      </c>
      <c r="I198" s="207">
        <f>IF(ISNUMBER(G198), $B199 * H198, "")</f>
        <v>-669.6428571428429</v>
      </c>
      <c r="J198" s="130">
        <v>22.6</v>
      </c>
      <c r="K198" s="75">
        <f t="shared" si="108"/>
        <v>8.9285714285715564E-3</v>
      </c>
      <c r="L198" s="137">
        <f>IF(ISNUMBER(J198), $B199 * K198, "")</f>
        <v>1339.2857142857335</v>
      </c>
      <c r="M198" s="37">
        <v>23</v>
      </c>
      <c r="N198" s="75">
        <f t="shared" si="109"/>
        <v>2.678571428571435E-2</v>
      </c>
      <c r="O198" s="137">
        <f>IF(ISNUMBER(M198), $B199 * N198, "")</f>
        <v>4017.8571428571527</v>
      </c>
      <c r="Q198" s="260"/>
      <c r="R198" s="261"/>
      <c r="S198" s="262"/>
    </row>
    <row r="199" spans="1:19" ht="17.25" thickBot="1">
      <c r="A199" s="131" t="s">
        <v>301</v>
      </c>
      <c r="B199" s="330">
        <f>$B$37</f>
        <v>150000</v>
      </c>
      <c r="C199" s="331"/>
      <c r="D199" s="131" t="s">
        <v>302</v>
      </c>
      <c r="E199" s="244">
        <f>IF(COUNT(E179:E198), SUM(E179:E198) / COUNT(E179:E198), 0)</f>
        <v>-1.9179510003745594E-2</v>
      </c>
      <c r="F199" s="208">
        <f>SUM(F179:F198)</f>
        <v>-57538.530011236799</v>
      </c>
      <c r="G199" s="131" t="s">
        <v>302</v>
      </c>
      <c r="H199" s="244">
        <f>IF(COUNT(H179:H198), SUM(H179:H198) / COUNT(H179:H198), 0)</f>
        <v>9.3439737922874112E-3</v>
      </c>
      <c r="I199" s="208">
        <f>SUM(I179:I198)</f>
        <v>28031.921376862232</v>
      </c>
      <c r="J199" s="131" t="s">
        <v>302</v>
      </c>
      <c r="K199" s="244">
        <f>IF(COUNT(K179:K198), SUM(K179:K198) / COUNT(K179:K198), 0)</f>
        <v>-2.0916490636281843E-2</v>
      </c>
      <c r="L199" s="208">
        <f>SUM(L179:L198)</f>
        <v>-62749.471908845539</v>
      </c>
      <c r="M199" s="131" t="s">
        <v>302</v>
      </c>
      <c r="N199" s="244">
        <f>IF(COUNT(N179:N198), SUM(N179:N198) / COUNT(N179:N198), 0)</f>
        <v>-1.4982300892114265E-2</v>
      </c>
      <c r="O199" s="208">
        <f>SUM(O179:O198)</f>
        <v>-44946.902676342797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B479-CF0A-424F-9504-53F1612F11C2}">
  <sheetPr codeName="Sheet23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79" t="s">
        <v>0</v>
      </c>
      <c r="B1" s="280"/>
      <c r="C1" s="280"/>
      <c r="D1" s="280"/>
      <c r="E1" s="280"/>
      <c r="F1" s="281"/>
      <c r="G1" s="310">
        <v>44333</v>
      </c>
      <c r="H1" s="311"/>
      <c r="I1" s="312"/>
      <c r="J1" s="279" t="s">
        <v>1</v>
      </c>
      <c r="K1" s="280"/>
      <c r="L1" s="280"/>
      <c r="M1" s="280"/>
      <c r="N1" s="280"/>
      <c r="O1" s="281"/>
      <c r="Q1" s="279" t="s">
        <v>2</v>
      </c>
      <c r="R1" s="281"/>
    </row>
    <row r="2" spans="1:19" ht="17.25" customHeight="1">
      <c r="A2" s="116" t="s">
        <v>3</v>
      </c>
      <c r="B2" s="316" t="s">
        <v>8</v>
      </c>
      <c r="C2" s="317"/>
      <c r="D2" s="317"/>
      <c r="E2" s="317"/>
      <c r="F2" s="318"/>
      <c r="G2" s="307" t="s">
        <v>46</v>
      </c>
      <c r="H2" s="308"/>
      <c r="I2" s="309"/>
      <c r="J2" s="116" t="s">
        <v>3</v>
      </c>
      <c r="K2" s="316" t="s">
        <v>376</v>
      </c>
      <c r="L2" s="317"/>
      <c r="M2" s="317"/>
      <c r="N2" s="317"/>
      <c r="O2" s="318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19" t="s">
        <v>384</v>
      </c>
      <c r="C3" s="320"/>
      <c r="D3" s="320"/>
      <c r="E3" s="320"/>
      <c r="F3" s="321"/>
      <c r="G3" s="30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-211,992 KRW (-7.07%)</v>
      </c>
      <c r="H3" s="301"/>
      <c r="I3" s="302"/>
      <c r="J3" s="117" t="s">
        <v>7</v>
      </c>
      <c r="K3" s="319" t="s">
        <v>377</v>
      </c>
      <c r="L3" s="320"/>
      <c r="M3" s="320"/>
      <c r="N3" s="320"/>
      <c r="O3" s="321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19" t="s">
        <v>16</v>
      </c>
      <c r="C4" s="320"/>
      <c r="D4" s="320"/>
      <c r="E4" s="320"/>
      <c r="F4" s="321"/>
      <c r="G4" s="307" t="s">
        <v>44</v>
      </c>
      <c r="H4" s="308"/>
      <c r="I4" s="309"/>
      <c r="J4" s="117" t="s">
        <v>11</v>
      </c>
      <c r="K4" s="319" t="s">
        <v>378</v>
      </c>
      <c r="L4" s="320"/>
      <c r="M4" s="320"/>
      <c r="N4" s="320"/>
      <c r="O4" s="321"/>
      <c r="Q4" s="253" t="s">
        <v>14</v>
      </c>
      <c r="R4" s="198">
        <v>0.95833333333333337</v>
      </c>
    </row>
    <row r="5" spans="1:19" ht="17.25" customHeight="1" thickBot="1">
      <c r="A5" s="117" t="s">
        <v>15</v>
      </c>
      <c r="B5" s="319" t="s">
        <v>374</v>
      </c>
      <c r="C5" s="320"/>
      <c r="D5" s="320"/>
      <c r="E5" s="320"/>
      <c r="F5" s="321"/>
      <c r="G5" s="30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-282,094 KRW (-9.40%)</v>
      </c>
      <c r="H5" s="301"/>
      <c r="I5" s="302"/>
      <c r="J5" s="117" t="s">
        <v>15</v>
      </c>
      <c r="K5" s="319" t="s">
        <v>379</v>
      </c>
      <c r="L5" s="320"/>
      <c r="M5" s="320"/>
      <c r="N5" s="320"/>
      <c r="O5" s="321"/>
    </row>
    <row r="6" spans="1:19">
      <c r="A6" s="117" t="s">
        <v>18</v>
      </c>
      <c r="B6" s="319"/>
      <c r="C6" s="320"/>
      <c r="D6" s="320"/>
      <c r="E6" s="320"/>
      <c r="F6" s="321"/>
      <c r="G6" s="307" t="s">
        <v>45</v>
      </c>
      <c r="H6" s="308"/>
      <c r="I6" s="309"/>
      <c r="J6" s="117" t="s">
        <v>18</v>
      </c>
      <c r="K6" s="319" t="s">
        <v>380</v>
      </c>
      <c r="L6" s="320"/>
      <c r="M6" s="320"/>
      <c r="N6" s="320"/>
      <c r="O6" s="321"/>
    </row>
    <row r="7" spans="1:19" ht="17.25" thickBot="1">
      <c r="A7" s="117" t="s">
        <v>21</v>
      </c>
      <c r="B7" s="319"/>
      <c r="C7" s="320"/>
      <c r="D7" s="320"/>
      <c r="E7" s="320"/>
      <c r="F7" s="321"/>
      <c r="G7" s="30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-217,409 KRW (-7.25%)</v>
      </c>
      <c r="H7" s="301"/>
      <c r="I7" s="302"/>
      <c r="J7" s="117" t="s">
        <v>21</v>
      </c>
      <c r="K7" s="319" t="s">
        <v>381</v>
      </c>
      <c r="L7" s="320"/>
      <c r="M7" s="320"/>
      <c r="N7" s="320"/>
      <c r="O7" s="321"/>
    </row>
    <row r="8" spans="1:19" ht="17.25" thickBot="1">
      <c r="A8" s="117" t="s">
        <v>24</v>
      </c>
      <c r="B8" s="319"/>
      <c r="C8" s="320"/>
      <c r="D8" s="320"/>
      <c r="E8" s="320"/>
      <c r="F8" s="321"/>
      <c r="G8" s="307" t="s">
        <v>285</v>
      </c>
      <c r="H8" s="308"/>
      <c r="I8" s="309"/>
      <c r="J8" s="117" t="s">
        <v>24</v>
      </c>
      <c r="K8" s="319"/>
      <c r="L8" s="320"/>
      <c r="M8" s="320"/>
      <c r="N8" s="320"/>
      <c r="O8" s="321"/>
      <c r="Q8" s="279" t="s">
        <v>27</v>
      </c>
      <c r="R8" s="281"/>
    </row>
    <row r="9" spans="1:19" ht="17.25" thickBot="1">
      <c r="A9" s="117" t="s">
        <v>28</v>
      </c>
      <c r="B9" s="319"/>
      <c r="C9" s="320"/>
      <c r="D9" s="320"/>
      <c r="E9" s="320"/>
      <c r="F9" s="321"/>
      <c r="G9" s="30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-276,165 KRW (-9.21%)</v>
      </c>
      <c r="H9" s="301"/>
      <c r="I9" s="302"/>
      <c r="J9" s="117" t="s">
        <v>28</v>
      </c>
      <c r="K9" s="319"/>
      <c r="L9" s="320"/>
      <c r="M9" s="320"/>
      <c r="N9" s="320"/>
      <c r="O9" s="321"/>
      <c r="Q9" s="120" t="s">
        <v>29</v>
      </c>
      <c r="R9" s="199">
        <v>10</v>
      </c>
    </row>
    <row r="10" spans="1:19">
      <c r="A10" s="117" t="s">
        <v>30</v>
      </c>
      <c r="B10" s="319"/>
      <c r="C10" s="320"/>
      <c r="D10" s="320"/>
      <c r="E10" s="320"/>
      <c r="F10" s="321"/>
      <c r="G10" s="307" t="s">
        <v>47</v>
      </c>
      <c r="H10" s="308"/>
      <c r="I10" s="309"/>
      <c r="J10" s="117" t="s">
        <v>30</v>
      </c>
      <c r="K10" s="319" t="s">
        <v>382</v>
      </c>
      <c r="L10" s="320"/>
      <c r="M10" s="320"/>
      <c r="N10" s="320"/>
      <c r="O10" s="321"/>
      <c r="Q10" s="120" t="s">
        <v>31</v>
      </c>
      <c r="R10" s="199">
        <v>100</v>
      </c>
    </row>
    <row r="11" spans="1:19" ht="17.25" thickBot="1">
      <c r="A11" s="118" t="s">
        <v>32</v>
      </c>
      <c r="B11" s="325" t="s">
        <v>383</v>
      </c>
      <c r="C11" s="326"/>
      <c r="D11" s="326"/>
      <c r="E11" s="326"/>
      <c r="F11" s="327"/>
      <c r="G11" s="30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-204,848 KRW (-8.54%)</v>
      </c>
      <c r="H11" s="301"/>
      <c r="I11" s="302"/>
      <c r="J11" s="118" t="s">
        <v>32</v>
      </c>
      <c r="K11" s="325" t="s">
        <v>373</v>
      </c>
      <c r="L11" s="326"/>
      <c r="M11" s="326"/>
      <c r="N11" s="326"/>
      <c r="O11" s="327"/>
      <c r="Q11" s="253" t="s">
        <v>33</v>
      </c>
      <c r="R11" s="200">
        <v>1000</v>
      </c>
    </row>
    <row r="12" spans="1:19" ht="17.25" thickBot="1"/>
    <row r="13" spans="1:19" ht="17.25" customHeight="1" thickBot="1">
      <c r="A13" s="279" t="s">
        <v>34</v>
      </c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1"/>
      <c r="Q13" s="278"/>
      <c r="R13" s="278"/>
      <c r="S13" s="278"/>
    </row>
    <row r="14" spans="1:19" ht="17.25" customHeight="1" thickBot="1">
      <c r="A14" s="249" t="s">
        <v>35</v>
      </c>
      <c r="B14" s="279" t="s">
        <v>36</v>
      </c>
      <c r="C14" s="281"/>
      <c r="D14" s="279" t="s">
        <v>37</v>
      </c>
      <c r="E14" s="280"/>
      <c r="F14" s="281"/>
      <c r="G14" s="282">
        <f>_xlfn.IFNA(VLOOKUP(B14, 현재가테이블!$B$2:$D$200, 2, FALSE), "-")</f>
        <v>55555000</v>
      </c>
      <c r="H14" s="283"/>
      <c r="I14" s="284"/>
      <c r="J14" s="279" t="s">
        <v>38</v>
      </c>
      <c r="K14" s="280"/>
      <c r="L14" s="281"/>
      <c r="M14" s="285">
        <f>_xlfn.IFNA(VLOOKUP(B14, 현재가테이블!$B$2:$D$200, 3, FALSE), "-")</f>
        <v>-3.6323266700000002E-2</v>
      </c>
      <c r="N14" s="286"/>
      <c r="O14" s="287"/>
      <c r="Q14" s="278"/>
      <c r="R14" s="278"/>
      <c r="S14" s="278"/>
    </row>
    <row r="15" spans="1:19" ht="17.25" customHeight="1" thickBot="1">
      <c r="A15" s="322" t="s">
        <v>39</v>
      </c>
      <c r="B15" s="323" t="str">
        <f>TEXT($G$1, "[$-ko-KR]yyyy-mm-dd(ddd) ") &amp; "오전 00:00"</f>
        <v>2021-05-17(월) 오전 00:00</v>
      </c>
      <c r="C15" s="324"/>
      <c r="D15" s="279" t="str">
        <f>TEXT($G$1, "[$-ko-KR]yyyy-mm-dd(ddd) ") &amp; "오후 14:00"</f>
        <v>2021-05-17(월) 오후 14:00</v>
      </c>
      <c r="E15" s="280"/>
      <c r="F15" s="281"/>
      <c r="G15" s="279" t="str">
        <f>TEXT($G$1, "[$-ko-KR]yyyy-mm-dd(ddd) ") &amp; "오후 19:00"</f>
        <v>2021-05-17(월) 오후 19:00</v>
      </c>
      <c r="H15" s="280"/>
      <c r="I15" s="281"/>
      <c r="J15" s="279" t="str">
        <f>TEXT($G$1, "[$-ko-KR]yyyy-mm-dd(ddd) ") &amp; "오후 21:00"</f>
        <v>2021-05-17(월) 오후 21:00</v>
      </c>
      <c r="K15" s="280"/>
      <c r="L15" s="281"/>
      <c r="M15" s="279" t="str">
        <f>TEXT($G$1+1, "[$-ko-KR]yyyy-mm-dd(ddd) ") &amp; "오전 00:00"</f>
        <v>2021-05-18(화) 오전 00:00</v>
      </c>
      <c r="N15" s="280"/>
      <c r="O15" s="281"/>
      <c r="Q15" s="278"/>
      <c r="R15" s="278"/>
      <c r="S15" s="278"/>
    </row>
    <row r="16" spans="1:19" ht="17.25" customHeight="1" thickBot="1">
      <c r="A16" s="322"/>
      <c r="B16" s="120" t="s">
        <v>37</v>
      </c>
      <c r="C16" s="121" t="s">
        <v>38</v>
      </c>
      <c r="D16" s="120" t="s">
        <v>37</v>
      </c>
      <c r="E16" s="121" t="s">
        <v>40</v>
      </c>
      <c r="F16" s="256" t="s">
        <v>41</v>
      </c>
      <c r="G16" s="249" t="s">
        <v>37</v>
      </c>
      <c r="H16" s="250" t="s">
        <v>40</v>
      </c>
      <c r="I16" s="251" t="s">
        <v>41</v>
      </c>
      <c r="J16" s="121" t="s">
        <v>37</v>
      </c>
      <c r="K16" s="121" t="s">
        <v>40</v>
      </c>
      <c r="L16" s="254" t="s">
        <v>41</v>
      </c>
      <c r="M16" s="120" t="s">
        <v>37</v>
      </c>
      <c r="N16" s="121" t="s">
        <v>40</v>
      </c>
      <c r="O16" s="255" t="s">
        <v>41</v>
      </c>
      <c r="Q16" s="268"/>
      <c r="R16" s="268"/>
      <c r="S16" s="268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1.43884892E-2</v>
      </c>
      <c r="D17" s="123">
        <f>IF(NOT(ISBLANK(_xlfn.IFNA(VLOOKUP($A17, $A$40:$O$199, 4, FALSE), ))), _xlfn.IFNA(VLOOKUP($A17, $A$40:$O$199, 4, FALSE), ), "")</f>
        <v>124</v>
      </c>
      <c r="E17" s="72">
        <f>IF(NOT(ISBLANK(_xlfn.IFNA(VLOOKUP($A17, $A$40:$O$199, 5, FALSE), ))), _xlfn.IFNA(VLOOKUP($A17, $A$40:$O$199, 5, FALSE), ), "")</f>
        <v>-0.12056737588652482</v>
      </c>
      <c r="F17" s="140">
        <f>IF(NOT(ISBLANK(_xlfn.IFNA(VLOOKUP($A17, $A$40:$O$199, 6, FALSE), ))), _xlfn.IFNA(VLOOKUP($A17, $A$40:$O$199, 6, FALSE), ), "")</f>
        <v>-18085.106382978724</v>
      </c>
      <c r="G17" s="38">
        <f>IF(NOT(ISBLANK(_xlfn.IFNA(VLOOKUP($A17, $A$40:$O$199, 7, FALSE), ))), _xlfn.IFNA(VLOOKUP($A17, $A$40:$O$199, 7, FALSE), ), "")</f>
        <v>130</v>
      </c>
      <c r="H17" s="72">
        <f>IF(NOT(ISBLANK(_xlfn.IFNA(VLOOKUP($A17, $A$40:$O$199, 8, FALSE), ))), _xlfn.IFNA(VLOOKUP($A17, $A$40:$O$199, 8, FALSE), ), "")</f>
        <v>-7.8014184397163122E-2</v>
      </c>
      <c r="I17" s="201">
        <f>IF(NOT(ISBLANK(_xlfn.IFNA(VLOOKUP($A17, $A$40:$O$199, 9, FALSE), ))), _xlfn.IFNA(VLOOKUP($A17, $A$40:$O$199, 9, FALSE), ), "")</f>
        <v>-11702.127659574468</v>
      </c>
      <c r="J17" s="123">
        <f>IF(NOT(ISBLANK(_xlfn.IFNA(VLOOKUP($A17, $A$40:$O$199, 10, FALSE), ))), _xlfn.IFNA(VLOOKUP($A17, $A$40:$O$199, 10, FALSE), ), "")</f>
        <v>129</v>
      </c>
      <c r="K17" s="72">
        <f>IF(NOT(ISBLANK(_xlfn.IFNA(VLOOKUP($A17, $A$40:$O$199, 11, FALSE), ))), _xlfn.IFNA(VLOOKUP($A17, $A$40:$O$199, 11, FALSE), ), "")</f>
        <v>-8.5106382978723402E-2</v>
      </c>
      <c r="L17" s="140">
        <f>IF(NOT(ISBLANK(_xlfn.IFNA(VLOOKUP($A17, $A$40:$O$199, 12, FALSE), ))), _xlfn.IFNA(VLOOKUP($A17, $A$40:$O$199, 12, FALSE), ), "")</f>
        <v>-12765.95744680851</v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78"/>
      <c r="R17" s="278"/>
      <c r="S17" s="278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195</v>
      </c>
      <c r="C18" s="73">
        <f t="shared" ref="C18:C36" si="1">IF(NOT(ISBLANK(_xlfn.IFNA(VLOOKUP($A18, $A$40:$O$199, 3, FALSE), ))), _xlfn.IFNA(VLOOKUP($A18, $A$40:$O$199, 3, FALSE), ), "")</f>
        <v>5.1999999999999998E-3</v>
      </c>
      <c r="D18" s="125">
        <f t="shared" ref="D18:D36" si="2">IF(NOT(ISBLANK(_xlfn.IFNA(VLOOKUP($A18, $A$40:$O$199, 4, FALSE), ))), _xlfn.IFNA(VLOOKUP($A18, $A$40:$O$199, 4, FALSE), ), "")</f>
        <v>179</v>
      </c>
      <c r="E18" s="73">
        <f t="shared" ref="E18:E36" si="3">IF(NOT(ISBLANK(_xlfn.IFNA(VLOOKUP($A18, $A$40:$O$199, 5, FALSE), ))), _xlfn.IFNA(VLOOKUP($A18, $A$40:$O$199, 5, FALSE), ), "")</f>
        <v>-8.2051282051282051E-2</v>
      </c>
      <c r="F18" s="136">
        <f t="shared" ref="F18:F36" si="4">IF(NOT(ISBLANK(_xlfn.IFNA(VLOOKUP($A18, $A$40:$O$199, 6, FALSE), ))), _xlfn.IFNA(VLOOKUP($A18, $A$40:$O$199, 6, FALSE), ), "")</f>
        <v>-12307.692307692309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-5.6410256410256411E-2</v>
      </c>
      <c r="I18" s="202">
        <f t="shared" ref="I18:I36" si="7">IF(NOT(ISBLANK(_xlfn.IFNA(VLOOKUP($A18, $A$40:$O$199, 9, FALSE), ))), _xlfn.IFNA(VLOOKUP($A18, $A$40:$O$199, 9, FALSE), ), "")</f>
        <v>-8461.538461538461</v>
      </c>
      <c r="J18" s="125">
        <f t="shared" ref="J18:J36" si="8">IF(NOT(ISBLANK(_xlfn.IFNA(VLOOKUP($A18, $A$40:$O$199, 10, FALSE), ))), _xlfn.IFNA(VLOOKUP($A18, $A$40:$O$199, 10, FALSE), ), "")</f>
        <v>183</v>
      </c>
      <c r="K18" s="73">
        <f t="shared" ref="K18:K36" si="9">IF(NOT(ISBLANK(_xlfn.IFNA(VLOOKUP($A18, $A$40:$O$199, 11, FALSE), ))), _xlfn.IFNA(VLOOKUP($A18, $A$40:$O$199, 11, FALSE), ), "")</f>
        <v>-6.1538461538461542E-2</v>
      </c>
      <c r="L18" s="136">
        <f t="shared" ref="L18:L36" si="10">IF(NOT(ISBLANK(_xlfn.IFNA(VLOOKUP($A18, $A$40:$O$199, 12, FALSE), ))), _xlfn.IFNA(VLOOKUP($A18, $A$40:$O$199, 12, FALSE), ), "")</f>
        <v>-9230.7692307692305</v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78"/>
      <c r="R18" s="278"/>
      <c r="S18" s="278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2.7972027999999999E-2</v>
      </c>
      <c r="D19" s="125">
        <f t="shared" si="2"/>
        <v>131</v>
      </c>
      <c r="E19" s="73">
        <f t="shared" si="3"/>
        <v>-0.10884353741496598</v>
      </c>
      <c r="F19" s="136">
        <f t="shared" si="4"/>
        <v>-16326.530612244896</v>
      </c>
      <c r="G19" s="39">
        <f t="shared" si="5"/>
        <v>137</v>
      </c>
      <c r="H19" s="73">
        <f t="shared" si="6"/>
        <v>-6.8027210884353748E-2</v>
      </c>
      <c r="I19" s="202">
        <f t="shared" si="7"/>
        <v>-10204.081632653062</v>
      </c>
      <c r="J19" s="125">
        <f t="shared" si="8"/>
        <v>138</v>
      </c>
      <c r="K19" s="73">
        <f t="shared" si="9"/>
        <v>-6.1224489795918366E-2</v>
      </c>
      <c r="L19" s="136">
        <f t="shared" si="10"/>
        <v>-9183.6734693877552</v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68"/>
      <c r="R19" s="268"/>
      <c r="S19" s="268"/>
    </row>
    <row r="20" spans="1:19" ht="17.25" customHeight="1" thickBot="1">
      <c r="A20" s="124" t="s">
        <v>282</v>
      </c>
      <c r="B20" s="125">
        <f t="shared" si="0"/>
        <v>144</v>
      </c>
      <c r="C20" s="73">
        <f t="shared" si="1"/>
        <v>-1.3698630099999999E-2</v>
      </c>
      <c r="D20" s="125">
        <f t="shared" si="2"/>
        <v>126</v>
      </c>
      <c r="E20" s="73">
        <f t="shared" si="3"/>
        <v>-0.125</v>
      </c>
      <c r="F20" s="136">
        <f t="shared" si="4"/>
        <v>-18750</v>
      </c>
      <c r="G20" s="39">
        <f t="shared" si="5"/>
        <v>131</v>
      </c>
      <c r="H20" s="73">
        <f t="shared" si="6"/>
        <v>-9.0277777777777776E-2</v>
      </c>
      <c r="I20" s="202">
        <f t="shared" si="7"/>
        <v>-13541.666666666666</v>
      </c>
      <c r="J20" s="125">
        <f t="shared" si="8"/>
        <v>129</v>
      </c>
      <c r="K20" s="73">
        <f t="shared" si="9"/>
        <v>-0.10416666666666667</v>
      </c>
      <c r="L20" s="136">
        <f t="shared" si="10"/>
        <v>-15625</v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68"/>
      <c r="R20" s="268"/>
      <c r="S20" s="268"/>
    </row>
    <row r="21" spans="1:19" ht="17.25" customHeight="1" thickBot="1">
      <c r="A21" s="126" t="s">
        <v>240</v>
      </c>
      <c r="B21" s="127">
        <f t="shared" si="0"/>
        <v>154</v>
      </c>
      <c r="C21" s="74">
        <f t="shared" si="1"/>
        <v>-1.2820512799999999E-2</v>
      </c>
      <c r="D21" s="127">
        <f t="shared" si="2"/>
        <v>140</v>
      </c>
      <c r="E21" s="74">
        <f t="shared" si="3"/>
        <v>-9.0909090909090912E-2</v>
      </c>
      <c r="F21" s="203">
        <f t="shared" si="4"/>
        <v>-13636.363636363636</v>
      </c>
      <c r="G21" s="44">
        <f t="shared" si="5"/>
        <v>144</v>
      </c>
      <c r="H21" s="74">
        <f t="shared" si="6"/>
        <v>-6.4935064935064929E-2</v>
      </c>
      <c r="I21" s="204">
        <f t="shared" si="7"/>
        <v>-9740.2597402597385</v>
      </c>
      <c r="J21" s="127">
        <f t="shared" si="8"/>
        <v>143</v>
      </c>
      <c r="K21" s="74">
        <f t="shared" si="9"/>
        <v>-7.1428571428571425E-2</v>
      </c>
      <c r="L21" s="203">
        <f t="shared" si="10"/>
        <v>-10714.285714285714</v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68"/>
      <c r="R21" s="268"/>
      <c r="S21" s="268"/>
    </row>
    <row r="22" spans="1:19" ht="17.25" customHeight="1" thickBot="1">
      <c r="A22" s="124" t="s">
        <v>200</v>
      </c>
      <c r="B22" s="128">
        <f t="shared" si="0"/>
        <v>301</v>
      </c>
      <c r="C22" s="76">
        <f t="shared" si="1"/>
        <v>6.7000000000000002E-3</v>
      </c>
      <c r="D22" s="128">
        <f t="shared" si="2"/>
        <v>261</v>
      </c>
      <c r="E22" s="76">
        <f t="shared" si="3"/>
        <v>-0.13289036544850499</v>
      </c>
      <c r="F22" s="205">
        <f t="shared" si="4"/>
        <v>-19933.554817275748</v>
      </c>
      <c r="G22" s="45">
        <f t="shared" si="5"/>
        <v>272</v>
      </c>
      <c r="H22" s="76">
        <f t="shared" si="6"/>
        <v>-9.634551495016612E-2</v>
      </c>
      <c r="I22" s="206">
        <f t="shared" si="7"/>
        <v>-14451.827242524918</v>
      </c>
      <c r="J22" s="128">
        <f t="shared" si="8"/>
        <v>269</v>
      </c>
      <c r="K22" s="76">
        <f t="shared" si="9"/>
        <v>-0.10631229235880399</v>
      </c>
      <c r="L22" s="205">
        <f t="shared" si="10"/>
        <v>-15946.843853820599</v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68"/>
      <c r="R22" s="268"/>
      <c r="S22" s="268"/>
    </row>
    <row r="23" spans="1:19" ht="17.25" customHeight="1" thickBot="1">
      <c r="A23" s="124" t="s">
        <v>232</v>
      </c>
      <c r="B23" s="125">
        <f t="shared" si="0"/>
        <v>148</v>
      </c>
      <c r="C23" s="73">
        <f t="shared" si="1"/>
        <v>0</v>
      </c>
      <c r="D23" s="125">
        <f t="shared" si="2"/>
        <v>131</v>
      </c>
      <c r="E23" s="73">
        <f t="shared" si="3"/>
        <v>-0.11486486486486487</v>
      </c>
      <c r="F23" s="136">
        <f t="shared" si="4"/>
        <v>-17229.72972972973</v>
      </c>
      <c r="G23" s="39">
        <f t="shared" si="5"/>
        <v>134</v>
      </c>
      <c r="H23" s="73">
        <f t="shared" si="6"/>
        <v>-9.45945945945946E-2</v>
      </c>
      <c r="I23" s="202">
        <f t="shared" si="7"/>
        <v>-14189.18918918919</v>
      </c>
      <c r="J23" s="125">
        <f t="shared" si="8"/>
        <v>132</v>
      </c>
      <c r="K23" s="73">
        <f t="shared" si="9"/>
        <v>-0.10810810810810811</v>
      </c>
      <c r="L23" s="136">
        <f t="shared" si="10"/>
        <v>-16216.216216216217</v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68"/>
      <c r="R23" s="268"/>
      <c r="S23" s="268"/>
    </row>
    <row r="24" spans="1:19" ht="17.25" customHeight="1" thickBot="1">
      <c r="A24" s="124" t="s">
        <v>174</v>
      </c>
      <c r="B24" s="125">
        <f t="shared" si="0"/>
        <v>242</v>
      </c>
      <c r="C24" s="73">
        <f t="shared" si="1"/>
        <v>8.3000000000000001E-3</v>
      </c>
      <c r="D24" s="125">
        <f t="shared" si="2"/>
        <v>211</v>
      </c>
      <c r="E24" s="73">
        <f t="shared" si="3"/>
        <v>-0.128099173553719</v>
      </c>
      <c r="F24" s="136">
        <f t="shared" si="4"/>
        <v>-19214.876033057848</v>
      </c>
      <c r="G24" s="39">
        <f t="shared" si="5"/>
        <v>219</v>
      </c>
      <c r="H24" s="73">
        <f t="shared" si="6"/>
        <v>-9.5041322314049589E-2</v>
      </c>
      <c r="I24" s="202">
        <f t="shared" si="7"/>
        <v>-14256.198347107438</v>
      </c>
      <c r="J24" s="125">
        <f t="shared" si="8"/>
        <v>217</v>
      </c>
      <c r="K24" s="73">
        <f t="shared" si="9"/>
        <v>-0.10330578512396695</v>
      </c>
      <c r="L24" s="136">
        <f t="shared" si="10"/>
        <v>-15495.867768595042</v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68"/>
      <c r="R24" s="268"/>
      <c r="S24" s="268"/>
    </row>
    <row r="25" spans="1:19" ht="17.25" customHeight="1" thickBot="1">
      <c r="A25" s="124" t="s">
        <v>112</v>
      </c>
      <c r="B25" s="125">
        <f t="shared" si="0"/>
        <v>222</v>
      </c>
      <c r="C25" s="73">
        <f t="shared" si="1"/>
        <v>1.83486239E-2</v>
      </c>
      <c r="D25" s="125">
        <f t="shared" si="2"/>
        <v>192</v>
      </c>
      <c r="E25" s="73">
        <f t="shared" si="3"/>
        <v>-0.13513513513513514</v>
      </c>
      <c r="F25" s="136">
        <f t="shared" si="4"/>
        <v>-20270.27027027027</v>
      </c>
      <c r="G25" s="39">
        <f t="shared" si="5"/>
        <v>200</v>
      </c>
      <c r="H25" s="73">
        <f t="shared" si="6"/>
        <v>-9.90990990990991E-2</v>
      </c>
      <c r="I25" s="202">
        <f t="shared" si="7"/>
        <v>-14864.864864864865</v>
      </c>
      <c r="J25" s="125">
        <f t="shared" si="8"/>
        <v>199</v>
      </c>
      <c r="K25" s="73">
        <f t="shared" si="9"/>
        <v>-0.1036036036036036</v>
      </c>
      <c r="L25" s="136">
        <f t="shared" si="10"/>
        <v>-15540.54054054054</v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 t="s">
        <v>122</v>
      </c>
      <c r="B26" s="130">
        <f t="shared" si="0"/>
        <v>106</v>
      </c>
      <c r="C26" s="75">
        <f t="shared" si="1"/>
        <v>0.06</v>
      </c>
      <c r="D26" s="130">
        <f t="shared" si="2"/>
        <v>89.4</v>
      </c>
      <c r="E26" s="75">
        <f t="shared" si="3"/>
        <v>-0.1566037735849056</v>
      </c>
      <c r="F26" s="137">
        <f t="shared" si="4"/>
        <v>-23490.56603773584</v>
      </c>
      <c r="G26" s="37">
        <f t="shared" si="5"/>
        <v>92.8</v>
      </c>
      <c r="H26" s="75">
        <f t="shared" si="6"/>
        <v>-0.12452830188679248</v>
      </c>
      <c r="I26" s="207">
        <f t="shared" si="7"/>
        <v>-18679.24528301887</v>
      </c>
      <c r="J26" s="130">
        <f t="shared" si="8"/>
        <v>92.6</v>
      </c>
      <c r="K26" s="75">
        <f t="shared" si="9"/>
        <v>-0.1264150943396227</v>
      </c>
      <c r="L26" s="137">
        <f t="shared" si="10"/>
        <v>-18962.264150943403</v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69"/>
      <c r="R26" s="270"/>
      <c r="S26" s="271"/>
    </row>
    <row r="27" spans="1:19" ht="17.25" customHeight="1">
      <c r="A27" s="122" t="s">
        <v>202</v>
      </c>
      <c r="B27" s="123">
        <f t="shared" si="0"/>
        <v>159</v>
      </c>
      <c r="C27" s="72">
        <f t="shared" si="1"/>
        <v>-6.2500000000000003E-3</v>
      </c>
      <c r="D27" s="123">
        <f t="shared" si="2"/>
        <v>137</v>
      </c>
      <c r="E27" s="72">
        <f t="shared" si="3"/>
        <v>-0.13836477987421383</v>
      </c>
      <c r="F27" s="140">
        <f t="shared" si="4"/>
        <v>-20754.716981132075</v>
      </c>
      <c r="G27" s="38">
        <f t="shared" si="5"/>
        <v>142</v>
      </c>
      <c r="H27" s="72">
        <f t="shared" si="6"/>
        <v>-0.1069182389937107</v>
      </c>
      <c r="I27" s="201">
        <f t="shared" si="7"/>
        <v>-16037.735849056604</v>
      </c>
      <c r="J27" s="123">
        <f t="shared" si="8"/>
        <v>143</v>
      </c>
      <c r="K27" s="72">
        <f t="shared" si="9"/>
        <v>-0.10062893081761007</v>
      </c>
      <c r="L27" s="140">
        <f t="shared" si="10"/>
        <v>-15094.33962264151</v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72"/>
      <c r="R27" s="273"/>
      <c r="S27" s="274"/>
    </row>
    <row r="28" spans="1:19" ht="17.25" customHeight="1" thickBot="1">
      <c r="A28" s="124" t="s">
        <v>238</v>
      </c>
      <c r="B28" s="125">
        <f t="shared" si="0"/>
        <v>237</v>
      </c>
      <c r="C28" s="73">
        <f t="shared" si="1"/>
        <v>8.5106382999999997E-3</v>
      </c>
      <c r="D28" s="125">
        <f t="shared" si="2"/>
        <v>269</v>
      </c>
      <c r="E28" s="73">
        <f t="shared" si="3"/>
        <v>0.13502109704641349</v>
      </c>
      <c r="F28" s="136">
        <f t="shared" si="4"/>
        <v>20253.164556962023</v>
      </c>
      <c r="G28" s="39">
        <f t="shared" si="5"/>
        <v>257</v>
      </c>
      <c r="H28" s="73">
        <f t="shared" si="6"/>
        <v>8.4388185654008435E-2</v>
      </c>
      <c r="I28" s="202">
        <f t="shared" si="7"/>
        <v>12658.227848101265</v>
      </c>
      <c r="J28" s="125">
        <f t="shared" si="8"/>
        <v>259</v>
      </c>
      <c r="K28" s="73">
        <f t="shared" si="9"/>
        <v>9.2827004219409287E-2</v>
      </c>
      <c r="L28" s="136">
        <f t="shared" si="10"/>
        <v>13924.050632911392</v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75"/>
      <c r="R28" s="276"/>
      <c r="S28" s="277"/>
    </row>
    <row r="29" spans="1:19" ht="17.25" customHeight="1" thickBot="1">
      <c r="A29" s="124" t="s">
        <v>210</v>
      </c>
      <c r="B29" s="125">
        <f t="shared" si="0"/>
        <v>163</v>
      </c>
      <c r="C29" s="73">
        <f t="shared" si="1"/>
        <v>-1.2121212100000001E-2</v>
      </c>
      <c r="D29" s="125">
        <f t="shared" si="2"/>
        <v>140</v>
      </c>
      <c r="E29" s="73">
        <f t="shared" si="3"/>
        <v>-0.1411042944785276</v>
      </c>
      <c r="F29" s="136">
        <f t="shared" si="4"/>
        <v>-21165.644171779139</v>
      </c>
      <c r="G29" s="39">
        <f t="shared" si="5"/>
        <v>147</v>
      </c>
      <c r="H29" s="73">
        <f t="shared" si="6"/>
        <v>-9.815950920245399E-2</v>
      </c>
      <c r="I29" s="202">
        <f t="shared" si="7"/>
        <v>-14723.926380368099</v>
      </c>
      <c r="J29" s="125">
        <f t="shared" si="8"/>
        <v>146</v>
      </c>
      <c r="K29" s="73">
        <f t="shared" si="9"/>
        <v>-0.10429447852760736</v>
      </c>
      <c r="L29" s="136">
        <f t="shared" si="10"/>
        <v>-15644.171779141103</v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68"/>
      <c r="R29" s="268"/>
      <c r="S29" s="268"/>
    </row>
    <row r="30" spans="1:19" ht="17.25" customHeight="1" thickBot="1">
      <c r="A30" s="124" t="s">
        <v>212</v>
      </c>
      <c r="B30" s="125">
        <f t="shared" si="0"/>
        <v>120</v>
      </c>
      <c r="C30" s="73">
        <f t="shared" si="1"/>
        <v>0</v>
      </c>
      <c r="D30" s="125">
        <f t="shared" si="2"/>
        <v>104</v>
      </c>
      <c r="E30" s="73">
        <f t="shared" si="3"/>
        <v>-0.13333333333333333</v>
      </c>
      <c r="F30" s="136">
        <f t="shared" si="4"/>
        <v>-20000</v>
      </c>
      <c r="G30" s="39">
        <f t="shared" si="5"/>
        <v>108</v>
      </c>
      <c r="H30" s="73">
        <f t="shared" si="6"/>
        <v>-0.1</v>
      </c>
      <c r="I30" s="202">
        <f t="shared" si="7"/>
        <v>-15000</v>
      </c>
      <c r="J30" s="125">
        <f t="shared" si="8"/>
        <v>106</v>
      </c>
      <c r="K30" s="73">
        <f t="shared" si="9"/>
        <v>-0.11666666666666667</v>
      </c>
      <c r="L30" s="136">
        <f t="shared" si="10"/>
        <v>-17500</v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78"/>
      <c r="R30" s="278"/>
      <c r="S30" s="278"/>
    </row>
    <row r="31" spans="1:19" ht="17.25" customHeight="1" thickBot="1">
      <c r="A31" s="126" t="s">
        <v>226</v>
      </c>
      <c r="B31" s="127">
        <f t="shared" si="0"/>
        <v>436</v>
      </c>
      <c r="C31" s="74">
        <f t="shared" si="1"/>
        <v>-2.2421524700000001E-2</v>
      </c>
      <c r="D31" s="127">
        <f t="shared" si="2"/>
        <v>367</v>
      </c>
      <c r="E31" s="74">
        <f t="shared" si="3"/>
        <v>-0.15825688073394495</v>
      </c>
      <c r="F31" s="203">
        <f t="shared" si="4"/>
        <v>-23738.532110091743</v>
      </c>
      <c r="G31" s="44">
        <f t="shared" si="5"/>
        <v>384</v>
      </c>
      <c r="H31" s="74">
        <f t="shared" si="6"/>
        <v>-0.11926605504587157</v>
      </c>
      <c r="I31" s="204">
        <f t="shared" si="7"/>
        <v>-17889.908256880735</v>
      </c>
      <c r="J31" s="127">
        <f t="shared" si="8"/>
        <v>380</v>
      </c>
      <c r="K31" s="74">
        <f t="shared" si="9"/>
        <v>-0.12844036697247707</v>
      </c>
      <c r="L31" s="203">
        <f t="shared" si="10"/>
        <v>-19266.055045871562</v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78"/>
      <c r="R31" s="278"/>
      <c r="S31" s="278"/>
    </row>
    <row r="32" spans="1:19" ht="17.25" customHeight="1" thickBot="1">
      <c r="A32" s="124" t="s">
        <v>236</v>
      </c>
      <c r="B32" s="128">
        <f t="shared" si="0"/>
        <v>72.5</v>
      </c>
      <c r="C32" s="76">
        <f t="shared" si="1"/>
        <v>5.2249637199999997E-2</v>
      </c>
      <c r="D32" s="128">
        <f t="shared" si="2"/>
        <v>64.400000000000006</v>
      </c>
      <c r="E32" s="76">
        <f t="shared" si="3"/>
        <v>-0.1117241379310344</v>
      </c>
      <c r="F32" s="205">
        <f t="shared" si="4"/>
        <v>-16758.620689655159</v>
      </c>
      <c r="G32" s="45">
        <f t="shared" si="5"/>
        <v>66.8</v>
      </c>
      <c r="H32" s="76">
        <f t="shared" si="6"/>
        <v>-7.8620689655172452E-2</v>
      </c>
      <c r="I32" s="206">
        <f t="shared" si="7"/>
        <v>-11793.103448275868</v>
      </c>
      <c r="J32" s="128">
        <f t="shared" si="8"/>
        <v>66.900000000000006</v>
      </c>
      <c r="K32" s="76">
        <f t="shared" si="9"/>
        <v>-7.7241379310344749E-2</v>
      </c>
      <c r="L32" s="205">
        <f t="shared" si="10"/>
        <v>-11586.206896551712</v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68"/>
      <c r="R32" s="268"/>
      <c r="S32" s="268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68"/>
      <c r="R33" s="268"/>
      <c r="S33" s="268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68"/>
      <c r="R34" s="268"/>
      <c r="S34" s="268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57"/>
      <c r="R35" s="258"/>
      <c r="S35" s="259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60"/>
      <c r="R36" s="261"/>
      <c r="S36" s="262"/>
    </row>
    <row r="37" spans="1:19" ht="17.25" customHeight="1" thickBot="1">
      <c r="A37" s="131" t="s">
        <v>42</v>
      </c>
      <c r="B37" s="330">
        <v>150000</v>
      </c>
      <c r="C37" s="331"/>
      <c r="D37" s="131" t="s">
        <v>43</v>
      </c>
      <c r="E37" s="252">
        <f>IF(COUNT(E17:E36), SUM(E17:E36) / COUNT(E17:E36), 0)</f>
        <v>-0.10892043300960214</v>
      </c>
      <c r="F37" s="208">
        <f>SUM(F17:F36)</f>
        <v>-261409.03922304505</v>
      </c>
      <c r="G37" s="131" t="s">
        <v>43</v>
      </c>
      <c r="H37" s="252">
        <f>IF(COUNT(H17:H36), SUM(H17:H36) / COUNT(H17:H36), 0)</f>
        <v>-8.0365602155782381E-2</v>
      </c>
      <c r="I37" s="208">
        <f>SUM(I17:I36)</f>
        <v>-192877.4451738777</v>
      </c>
      <c r="J37" s="131" t="s">
        <v>43</v>
      </c>
      <c r="K37" s="252">
        <f>IF(COUNT(K17:K36), SUM(K17:K36) / COUNT(K17:K36), 0)</f>
        <v>-8.5353392126108985E-2</v>
      </c>
      <c r="L37" s="208">
        <f>SUM(L17:L36)</f>
        <v>-204848.14110266147</v>
      </c>
      <c r="M37" s="131" t="s">
        <v>43</v>
      </c>
      <c r="N37" s="252">
        <f>IF(COUNT(N17:N36), SUM(N17:N36) / COUNT(N17:N36), 0)</f>
        <v>0</v>
      </c>
      <c r="O37" s="208">
        <f>SUM(O17:O36)</f>
        <v>0</v>
      </c>
      <c r="Q37" s="263"/>
      <c r="R37" s="264"/>
      <c r="S37" s="265"/>
    </row>
    <row r="38" spans="1:19" ht="17.25" customHeight="1"/>
    <row r="39" spans="1:19" ht="17.25" customHeight="1" thickBot="1"/>
    <row r="40" spans="1:19" ht="17.25" customHeight="1" thickBot="1">
      <c r="A40" s="279" t="s">
        <v>44</v>
      </c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1"/>
      <c r="Q40" s="278"/>
      <c r="R40" s="278"/>
      <c r="S40" s="278"/>
    </row>
    <row r="41" spans="1:19" ht="17.25" customHeight="1" thickBot="1">
      <c r="A41" s="249" t="s">
        <v>298</v>
      </c>
      <c r="B41" s="279" t="s">
        <v>36</v>
      </c>
      <c r="C41" s="281"/>
      <c r="D41" s="279" t="s">
        <v>58</v>
      </c>
      <c r="E41" s="280"/>
      <c r="F41" s="281"/>
      <c r="G41" s="282">
        <f>_xlfn.IFNA(VLOOKUP(B41, 현재가테이블!$B$2:$D$200, 2, FALSE), "-")</f>
        <v>55555000</v>
      </c>
      <c r="H41" s="283"/>
      <c r="I41" s="284"/>
      <c r="J41" s="279" t="s">
        <v>59</v>
      </c>
      <c r="K41" s="280"/>
      <c r="L41" s="281"/>
      <c r="M41" s="285">
        <f>_xlfn.IFNA(VLOOKUP(B41, 현재가테이블!$B$2:$D$200, 3, FALSE), "-")</f>
        <v>-3.6323266700000002E-2</v>
      </c>
      <c r="N41" s="286"/>
      <c r="O41" s="287"/>
      <c r="Q41" s="278"/>
      <c r="R41" s="278"/>
      <c r="S41" s="278"/>
    </row>
    <row r="42" spans="1:19" ht="17.25" customHeight="1" thickBot="1">
      <c r="A42" s="332" t="s">
        <v>55</v>
      </c>
      <c r="B42" s="328" t="str">
        <f>TEXT($G$1, "[$-ko-KR]yyyy-mm-dd(ddd) ") &amp; "오전 00:00"</f>
        <v>2021-05-17(월) 오전 00:00</v>
      </c>
      <c r="C42" s="329"/>
      <c r="D42" s="279" t="str">
        <f>TEXT($G$1, "[$-ko-KR]yyyy-mm-dd(ddd) ") &amp; "오후 14:00"</f>
        <v>2021-05-17(월) 오후 14:00</v>
      </c>
      <c r="E42" s="280"/>
      <c r="F42" s="281"/>
      <c r="G42" s="279" t="str">
        <f>TEXT($G$1, "[$-ko-KR]yyyy-mm-dd(ddd) ") &amp; "오후 19:00"</f>
        <v>2021-05-17(월) 오후 19:00</v>
      </c>
      <c r="H42" s="280"/>
      <c r="I42" s="281"/>
      <c r="J42" s="279" t="str">
        <f>TEXT($G$1, "[$-ko-KR]yyyy-mm-dd(ddd) ") &amp; "오후 21:00"</f>
        <v>2021-05-17(월) 오후 21:00</v>
      </c>
      <c r="K42" s="280"/>
      <c r="L42" s="281"/>
      <c r="M42" s="279" t="str">
        <f>TEXT($G$1+1, "[$-ko-KR]yyyy-mm-dd(ddd) ") &amp; "오전 00:00"</f>
        <v>2021-05-18(화) 오전 00:00</v>
      </c>
      <c r="N42" s="280"/>
      <c r="O42" s="281"/>
      <c r="Q42" s="278"/>
      <c r="R42" s="278"/>
      <c r="S42" s="278"/>
    </row>
    <row r="43" spans="1:19" ht="17.25" customHeight="1" thickBot="1">
      <c r="A43" s="333"/>
      <c r="B43" s="120" t="s">
        <v>58</v>
      </c>
      <c r="C43" s="121" t="s">
        <v>59</v>
      </c>
      <c r="D43" s="120" t="s">
        <v>58</v>
      </c>
      <c r="E43" s="121" t="s">
        <v>299</v>
      </c>
      <c r="F43" s="256" t="s">
        <v>300</v>
      </c>
      <c r="G43" s="249" t="s">
        <v>58</v>
      </c>
      <c r="H43" s="250" t="s">
        <v>299</v>
      </c>
      <c r="I43" s="251" t="s">
        <v>300</v>
      </c>
      <c r="J43" s="121" t="s">
        <v>58</v>
      </c>
      <c r="K43" s="121" t="s">
        <v>299</v>
      </c>
      <c r="L43" s="254" t="s">
        <v>300</v>
      </c>
      <c r="M43" s="120" t="s">
        <v>58</v>
      </c>
      <c r="N43" s="121" t="s">
        <v>299</v>
      </c>
      <c r="O43" s="255" t="s">
        <v>300</v>
      </c>
      <c r="Q43" s="268"/>
      <c r="R43" s="268"/>
      <c r="S43" s="268"/>
    </row>
    <row r="44" spans="1:19" ht="17.25" customHeight="1" thickBot="1">
      <c r="A44" s="122" t="s">
        <v>214</v>
      </c>
      <c r="B44" s="123">
        <v>20.100000000000001</v>
      </c>
      <c r="C44" s="72">
        <v>6.3492063500000001E-2</v>
      </c>
      <c r="D44" s="123">
        <v>17.5</v>
      </c>
      <c r="E44" s="72">
        <f>IF(ISNUMBER(D44), (D44 - $B44) / $B44, "")</f>
        <v>-0.12935323383084582</v>
      </c>
      <c r="F44" s="140">
        <f>IF(ISNUMBER(D44), $B64 * E44, "")</f>
        <v>-19402.985074626875</v>
      </c>
      <c r="G44" s="38">
        <v>18.3</v>
      </c>
      <c r="H44" s="72">
        <f>IF(ISNUMBER(G44), (G44 - $B44) / $B44, "")</f>
        <v>-8.9552238805970172E-2</v>
      </c>
      <c r="I44" s="201">
        <f>IF(ISNUMBER(G44), $B64 * H44, "")</f>
        <v>-13432.835820895525</v>
      </c>
      <c r="J44" s="123">
        <v>18.399999999999999</v>
      </c>
      <c r="K44" s="72">
        <f>IF(ISNUMBER(J44), (J44 - $B44) / $B44, "")</f>
        <v>-8.4577114427860825E-2</v>
      </c>
      <c r="L44" s="140">
        <f>IF(ISNUMBER(J44), $B64 * K44, "")</f>
        <v>-12686.567164179123</v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78"/>
      <c r="R44" s="278"/>
      <c r="S44" s="278"/>
    </row>
    <row r="45" spans="1:19" ht="17.25" customHeight="1" thickBot="1">
      <c r="A45" s="124" t="s">
        <v>236</v>
      </c>
      <c r="B45" s="125">
        <v>72.5</v>
      </c>
      <c r="C45" s="73">
        <v>5.2249637199999997E-2</v>
      </c>
      <c r="D45" s="125">
        <v>64.400000000000006</v>
      </c>
      <c r="E45" s="73">
        <f t="shared" ref="E45:E48" si="14">IF(ISNUMBER(D45), (D45 - $B45) / $B45, "")</f>
        <v>-0.1117241379310344</v>
      </c>
      <c r="F45" s="136">
        <f>IF(ISNUMBER(D45), $B64 * E45, "")</f>
        <v>-16758.620689655159</v>
      </c>
      <c r="G45" s="39">
        <v>66.8</v>
      </c>
      <c r="H45" s="73">
        <f t="shared" ref="H45:H48" si="15">IF(ISNUMBER(G45), (G45 - $B45) / $B45, "")</f>
        <v>-7.8620689655172452E-2</v>
      </c>
      <c r="I45" s="202">
        <f>IF(ISNUMBER(G45), $B64 * H45, "")</f>
        <v>-11793.103448275868</v>
      </c>
      <c r="J45" s="125">
        <v>66.900000000000006</v>
      </c>
      <c r="K45" s="73">
        <f t="shared" ref="K45:K48" si="16">IF(ISNUMBER(J45), (J45 - $B45) / $B45, "")</f>
        <v>-7.7241379310344749E-2</v>
      </c>
      <c r="L45" s="136">
        <f>IF(ISNUMBER(J45), $B64 * K45, "")</f>
        <v>-11586.206896551712</v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78"/>
      <c r="R45" s="278"/>
      <c r="S45" s="278"/>
    </row>
    <row r="46" spans="1:19" ht="17.25" customHeight="1" thickBot="1">
      <c r="A46" s="124" t="s">
        <v>186</v>
      </c>
      <c r="B46" s="125">
        <v>23</v>
      </c>
      <c r="C46" s="73">
        <v>4.5454545499999999E-2</v>
      </c>
      <c r="D46" s="125">
        <v>21.2</v>
      </c>
      <c r="E46" s="73">
        <f t="shared" si="14"/>
        <v>-7.8260869565217425E-2</v>
      </c>
      <c r="F46" s="136">
        <f>IF(ISNUMBER(D46), $B64 * E46, "")</f>
        <v>-11739.130434782614</v>
      </c>
      <c r="G46" s="39">
        <v>21.7</v>
      </c>
      <c r="H46" s="73">
        <f t="shared" si="15"/>
        <v>-5.652173913043481E-2</v>
      </c>
      <c r="I46" s="202">
        <f>IF(ISNUMBER(G46), $B64 * H46, "")</f>
        <v>-8478.2608695652216</v>
      </c>
      <c r="J46" s="125">
        <v>21.6</v>
      </c>
      <c r="K46" s="73">
        <f t="shared" si="16"/>
        <v>-6.0869565217391244E-2</v>
      </c>
      <c r="L46" s="136">
        <f>IF(ISNUMBER(J46), $B64 * K46, "")</f>
        <v>-9130.4347826086869</v>
      </c>
      <c r="M46" s="39"/>
      <c r="N46" s="73" t="str">
        <f t="shared" si="17"/>
        <v/>
      </c>
      <c r="O46" s="136" t="str">
        <f>IF(ISNUMBER(M46), $B64 * N46, "")</f>
        <v/>
      </c>
      <c r="Q46" s="268"/>
      <c r="R46" s="268"/>
      <c r="S46" s="268"/>
    </row>
    <row r="47" spans="1:19" ht="17.25" customHeight="1" thickBot="1">
      <c r="A47" s="124" t="s">
        <v>65</v>
      </c>
      <c r="B47" s="125">
        <v>62.5</v>
      </c>
      <c r="C47" s="73">
        <v>3.6484245399999997E-2</v>
      </c>
      <c r="D47" s="125">
        <v>56.8</v>
      </c>
      <c r="E47" s="73">
        <f t="shared" si="14"/>
        <v>-9.1200000000000045E-2</v>
      </c>
      <c r="F47" s="136">
        <f>IF(ISNUMBER(D47), $B64 * E47, "")</f>
        <v>-13680.000000000007</v>
      </c>
      <c r="G47" s="39">
        <v>59.3</v>
      </c>
      <c r="H47" s="73">
        <f t="shared" si="15"/>
        <v>-5.1200000000000044E-2</v>
      </c>
      <c r="I47" s="202">
        <f>IF(ISNUMBER(G47), $B64 * H47, "")</f>
        <v>-7680.0000000000064</v>
      </c>
      <c r="J47" s="125">
        <v>58.8</v>
      </c>
      <c r="K47" s="73">
        <f t="shared" si="16"/>
        <v>-5.9200000000000044E-2</v>
      </c>
      <c r="L47" s="136">
        <f>IF(ISNUMBER(J47), $B64 * K47, "")</f>
        <v>-8880.0000000000073</v>
      </c>
      <c r="M47" s="39"/>
      <c r="N47" s="73" t="str">
        <f t="shared" si="17"/>
        <v/>
      </c>
      <c r="O47" s="136" t="str">
        <f>IF(ISNUMBER(M47), $B64 * N47, "")</f>
        <v/>
      </c>
      <c r="Q47" s="268"/>
      <c r="R47" s="268"/>
      <c r="S47" s="268"/>
    </row>
    <row r="48" spans="1:19" ht="17.25" customHeight="1" thickBot="1">
      <c r="A48" s="126" t="s">
        <v>268</v>
      </c>
      <c r="B48" s="127">
        <v>77.3</v>
      </c>
      <c r="C48" s="74">
        <v>1.44356955E-2</v>
      </c>
      <c r="D48" s="127">
        <v>66.7</v>
      </c>
      <c r="E48" s="74">
        <f t="shared" si="14"/>
        <v>-0.13712807244501934</v>
      </c>
      <c r="F48" s="203">
        <f>IF(ISNUMBER(D48), $B64 * E48, "")</f>
        <v>-20569.210866752903</v>
      </c>
      <c r="G48" s="44">
        <v>69.3</v>
      </c>
      <c r="H48" s="74">
        <f t="shared" si="15"/>
        <v>-0.10349288486416559</v>
      </c>
      <c r="I48" s="204">
        <f>IF(ISNUMBER(G48), $B64 * H48, "")</f>
        <v>-15523.932729624839</v>
      </c>
      <c r="J48" s="127">
        <v>68.7</v>
      </c>
      <c r="K48" s="74">
        <f t="shared" si="16"/>
        <v>-0.11125485122897794</v>
      </c>
      <c r="L48" s="203">
        <f>IF(ISNUMBER(J48), $B64 * K48, "")</f>
        <v>-16688.22768434669</v>
      </c>
      <c r="M48" s="44"/>
      <c r="N48" s="74" t="str">
        <f t="shared" si="17"/>
        <v/>
      </c>
      <c r="O48" s="203" t="str">
        <f>IF(ISNUMBER(M48), $B64 * N48, "")</f>
        <v/>
      </c>
      <c r="Q48" s="268"/>
      <c r="R48" s="268"/>
      <c r="S48" s="268"/>
    </row>
    <row r="49" spans="1:19" ht="17.25" customHeight="1" thickBot="1">
      <c r="A49" s="124" t="s">
        <v>266</v>
      </c>
      <c r="B49" s="128">
        <v>85.9</v>
      </c>
      <c r="C49" s="76">
        <v>9.4007051000000001E-3</v>
      </c>
      <c r="D49" s="128">
        <v>72.8</v>
      </c>
      <c r="E49" s="76">
        <f>IF(ISNUMBER(D49), (D49 - $B49) / $B49, "")</f>
        <v>-0.15250291036088484</v>
      </c>
      <c r="F49" s="205">
        <f>IF(ISNUMBER(D49), $B64 * E49, "")</f>
        <v>-22875.436554132728</v>
      </c>
      <c r="G49" s="45">
        <v>75.599999999999994</v>
      </c>
      <c r="H49" s="76">
        <f>IF(ISNUMBER(G49), (G49 - $B49) / $B49, "")</f>
        <v>-0.11990686845168813</v>
      </c>
      <c r="I49" s="206">
        <f>IF(ISNUMBER(G49), $B64 * H49, "")</f>
        <v>-17986.03026775322</v>
      </c>
      <c r="J49" s="128">
        <v>75.099999999999994</v>
      </c>
      <c r="K49" s="76">
        <f>IF(ISNUMBER(J49), (J49 - $B49) / $B49, "")</f>
        <v>-0.12572759022118754</v>
      </c>
      <c r="L49" s="205">
        <f>IF(ISNUMBER(J49), $B64 * K49, "")</f>
        <v>-18859.138533178131</v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68"/>
      <c r="R49" s="268"/>
      <c r="S49" s="268"/>
    </row>
    <row r="50" spans="1:19" ht="17.25" customHeight="1" thickBot="1">
      <c r="A50" s="124" t="s">
        <v>198</v>
      </c>
      <c r="B50" s="125">
        <v>23.1</v>
      </c>
      <c r="C50" s="73">
        <v>8.7336245000000003E-3</v>
      </c>
      <c r="D50" s="125">
        <v>20.5</v>
      </c>
      <c r="E50" s="73">
        <f t="shared" ref="E50:E53" si="18">IF(ISNUMBER(D50), (D50 - $B50) / $B50, "")</f>
        <v>-0.11255411255411261</v>
      </c>
      <c r="F50" s="136">
        <f>IF(ISNUMBER(D50), $B64 * E50, "")</f>
        <v>-16883.116883116891</v>
      </c>
      <c r="G50" s="39">
        <v>21.1</v>
      </c>
      <c r="H50" s="73">
        <f t="shared" ref="H50:H53" si="19">IF(ISNUMBER(G50), (G50 - $B50) / $B50, "")</f>
        <v>-8.6580086580086577E-2</v>
      </c>
      <c r="I50" s="202">
        <f>IF(ISNUMBER(G50), $B64 * H50, "")</f>
        <v>-12987.012987012986</v>
      </c>
      <c r="J50" s="125">
        <v>20.9</v>
      </c>
      <c r="K50" s="73">
        <f t="shared" ref="K50:K53" si="20">IF(ISNUMBER(J50), (J50 - $B50) / $B50, "")</f>
        <v>-9.5238095238095358E-2</v>
      </c>
      <c r="L50" s="136">
        <f>IF(ISNUMBER(J50), $B64 * K50, "")</f>
        <v>-14285.714285714304</v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68"/>
      <c r="R50" s="268"/>
      <c r="S50" s="268"/>
    </row>
    <row r="51" spans="1:19" ht="17.25" customHeight="1" thickBot="1">
      <c r="A51" s="124" t="s">
        <v>100</v>
      </c>
      <c r="B51" s="125">
        <v>7.25</v>
      </c>
      <c r="C51" s="73">
        <v>8.3449235000000004E-3</v>
      </c>
      <c r="D51" s="125">
        <v>6.64</v>
      </c>
      <c r="E51" s="73">
        <f t="shared" si="18"/>
        <v>-8.4137931034482805E-2</v>
      </c>
      <c r="F51" s="136">
        <f>IF(ISNUMBER(D51), $B64 * E51, "")</f>
        <v>-12620.68965517242</v>
      </c>
      <c r="G51" s="39">
        <v>6.96</v>
      </c>
      <c r="H51" s="73">
        <f t="shared" si="19"/>
        <v>-4.0000000000000008E-2</v>
      </c>
      <c r="I51" s="202">
        <f>IF(ISNUMBER(G51), $B64 * H51, "")</f>
        <v>-6000.0000000000009</v>
      </c>
      <c r="J51" s="125">
        <v>6.81</v>
      </c>
      <c r="K51" s="73">
        <f t="shared" si="20"/>
        <v>-6.0689655172413849E-2</v>
      </c>
      <c r="L51" s="136">
        <f>IF(ISNUMBER(J51), $B64 * K51, "")</f>
        <v>-9103.4482758620779</v>
      </c>
      <c r="M51" s="39"/>
      <c r="N51" s="73" t="str">
        <f t="shared" si="21"/>
        <v/>
      </c>
      <c r="O51" s="136" t="str">
        <f>IF(ISNUMBER(M51), $B64 * N51, "")</f>
        <v/>
      </c>
      <c r="Q51" s="268"/>
      <c r="R51" s="268"/>
      <c r="S51" s="268"/>
    </row>
    <row r="52" spans="1:19" ht="17.25" customHeight="1" thickBot="1">
      <c r="A52" s="124" t="s">
        <v>152</v>
      </c>
      <c r="B52" s="125">
        <v>37.1</v>
      </c>
      <c r="C52" s="73">
        <v>8.1521739000000003E-3</v>
      </c>
      <c r="D52" s="125">
        <v>31.9</v>
      </c>
      <c r="E52" s="73">
        <f t="shared" si="18"/>
        <v>-0.14016172506738553</v>
      </c>
      <c r="F52" s="136">
        <f>IF(ISNUMBER(D52), $B64 * E52, "")</f>
        <v>-21024.25876010783</v>
      </c>
      <c r="G52" s="39">
        <v>33.799999999999997</v>
      </c>
      <c r="H52" s="73">
        <f t="shared" si="19"/>
        <v>-8.8948787061994716E-2</v>
      </c>
      <c r="I52" s="202">
        <f>IF(ISNUMBER(G52), $B64 * H52, "")</f>
        <v>-13342.318059299207</v>
      </c>
      <c r="J52" s="125">
        <v>33.5</v>
      </c>
      <c r="K52" s="73">
        <f t="shared" si="20"/>
        <v>-9.7035040431266886E-2</v>
      </c>
      <c r="L52" s="136">
        <f>IF(ISNUMBER(J52), $B64 * K52, "")</f>
        <v>-14555.256064690033</v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72</v>
      </c>
      <c r="B53" s="130">
        <v>30.4</v>
      </c>
      <c r="C53" s="75">
        <v>6.6225166000000004E-3</v>
      </c>
      <c r="D53" s="130">
        <v>26.4</v>
      </c>
      <c r="E53" s="75">
        <f t="shared" si="18"/>
        <v>-0.13157894736842105</v>
      </c>
      <c r="F53" s="137">
        <f>IF(ISNUMBER(D53), $B64 * E53, "")</f>
        <v>-19736.842105263157</v>
      </c>
      <c r="G53" s="37">
        <v>28</v>
      </c>
      <c r="H53" s="75">
        <f t="shared" si="19"/>
        <v>-7.8947368421052586E-2</v>
      </c>
      <c r="I53" s="207">
        <f>IF(ISNUMBER(G53), $B64 * H53, "")</f>
        <v>-11842.105263157888</v>
      </c>
      <c r="J53" s="130">
        <v>27.4</v>
      </c>
      <c r="K53" s="75">
        <f t="shared" si="20"/>
        <v>-9.8684210526315791E-2</v>
      </c>
      <c r="L53" s="137">
        <f>IF(ISNUMBER(J53), $B64 * K53, "")</f>
        <v>-14802.631578947368</v>
      </c>
      <c r="M53" s="37"/>
      <c r="N53" s="75" t="str">
        <f t="shared" si="21"/>
        <v/>
      </c>
      <c r="O53" s="137" t="str">
        <f>IF(ISNUMBER(M53), $B64 * N53, "")</f>
        <v/>
      </c>
      <c r="Q53" s="269"/>
      <c r="R53" s="270"/>
      <c r="S53" s="271"/>
    </row>
    <row r="54" spans="1:19" ht="17.25" customHeight="1">
      <c r="A54" s="122" t="s">
        <v>222</v>
      </c>
      <c r="B54" s="123">
        <v>15.5</v>
      </c>
      <c r="C54" s="72">
        <v>6.4935065000000002E-3</v>
      </c>
      <c r="D54" s="123">
        <v>13.5</v>
      </c>
      <c r="E54" s="72">
        <f>IF(ISNUMBER(D54), (D54 - $B54) / $B54, "")</f>
        <v>-0.12903225806451613</v>
      </c>
      <c r="F54" s="140">
        <f>IF(ISNUMBER(D54), $B64 * E54, "")</f>
        <v>-19354.83870967742</v>
      </c>
      <c r="G54" s="38">
        <v>13.9</v>
      </c>
      <c r="H54" s="72">
        <f>IF(ISNUMBER(G54), (G54 - $B54) / $B54, "")</f>
        <v>-0.10322580645161288</v>
      </c>
      <c r="I54" s="201">
        <f>IF(ISNUMBER(G54), $B64 * H54, "")</f>
        <v>-15483.870967741932</v>
      </c>
      <c r="J54" s="123">
        <v>14</v>
      </c>
      <c r="K54" s="72">
        <f>IF(ISNUMBER(J54), (J54 - $B54) / $B54, "")</f>
        <v>-9.6774193548387094E-2</v>
      </c>
      <c r="L54" s="140">
        <f>IF(ISNUMBER(J54), $B64 * K54, "")</f>
        <v>-14516.129032258064</v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72"/>
      <c r="R54" s="273"/>
      <c r="S54" s="274"/>
    </row>
    <row r="55" spans="1:19" ht="17.25" customHeight="1" thickBot="1">
      <c r="A55" s="124" t="s">
        <v>154</v>
      </c>
      <c r="B55" s="125">
        <v>17.3</v>
      </c>
      <c r="C55" s="73">
        <v>5.8139534999999999E-3</v>
      </c>
      <c r="D55" s="125">
        <v>14.8</v>
      </c>
      <c r="E55" s="73">
        <f t="shared" ref="E55:E58" si="22">IF(ISNUMBER(D55), (D55 - $B55) / $B55, "")</f>
        <v>-0.1445086705202312</v>
      </c>
      <c r="F55" s="136">
        <f>IF(ISNUMBER(D55), $B64 * E55, "")</f>
        <v>-21676.300578034679</v>
      </c>
      <c r="G55" s="39">
        <v>15.5</v>
      </c>
      <c r="H55" s="73">
        <f t="shared" ref="H55:H58" si="23">IF(ISNUMBER(G55), (G55 - $B55) / $B55, "")</f>
        <v>-0.10404624277456651</v>
      </c>
      <c r="I55" s="202">
        <f>IF(ISNUMBER(G55), $B64 * H55, "")</f>
        <v>-15606.936416184975</v>
      </c>
      <c r="J55" s="125">
        <v>15.3</v>
      </c>
      <c r="K55" s="73">
        <f t="shared" ref="K55:K58" si="24">IF(ISNUMBER(J55), (J55 - $B55) / $B55, "")</f>
        <v>-0.11560693641618497</v>
      </c>
      <c r="L55" s="136">
        <f>IF(ISNUMBER(J55), $B64 * K55, "")</f>
        <v>-17341.040462427747</v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75"/>
      <c r="R55" s="276"/>
      <c r="S55" s="277"/>
    </row>
    <row r="56" spans="1:19" ht="17.25" customHeight="1" thickBot="1">
      <c r="A56" s="124" t="s">
        <v>254</v>
      </c>
      <c r="B56" s="125">
        <v>71.8</v>
      </c>
      <c r="C56" s="73">
        <v>2.7932960999999998E-3</v>
      </c>
      <c r="D56" s="125">
        <v>61.9</v>
      </c>
      <c r="E56" s="73">
        <f t="shared" si="22"/>
        <v>-0.13788300835654593</v>
      </c>
      <c r="F56" s="136">
        <f>IF(ISNUMBER(D56), $B64 * E56, "")</f>
        <v>-20682.45125348189</v>
      </c>
      <c r="G56" s="39">
        <v>64</v>
      </c>
      <c r="H56" s="73">
        <f t="shared" si="23"/>
        <v>-0.10863509749303618</v>
      </c>
      <c r="I56" s="202">
        <f>IF(ISNUMBER(G56), $B64 * H56, "")</f>
        <v>-16295.264623955427</v>
      </c>
      <c r="J56" s="125">
        <v>63.7</v>
      </c>
      <c r="K56" s="73">
        <f t="shared" si="24"/>
        <v>-0.11281337047353752</v>
      </c>
      <c r="L56" s="136">
        <f>IF(ISNUMBER(J56), $B64 * K56, "")</f>
        <v>-16922.00557103063</v>
      </c>
      <c r="M56" s="39"/>
      <c r="N56" s="73" t="str">
        <f t="shared" si="25"/>
        <v/>
      </c>
      <c r="O56" s="136" t="str">
        <f>IF(ISNUMBER(M56), $B64 * N56, "")</f>
        <v/>
      </c>
      <c r="Q56" s="268"/>
      <c r="R56" s="268"/>
      <c r="S56" s="268"/>
    </row>
    <row r="57" spans="1:19" ht="17.25" customHeight="1" thickBot="1">
      <c r="A57" s="124" t="s">
        <v>196</v>
      </c>
      <c r="B57" s="125">
        <v>17.2</v>
      </c>
      <c r="C57" s="73">
        <v>0</v>
      </c>
      <c r="D57" s="125">
        <v>14.7</v>
      </c>
      <c r="E57" s="73">
        <f t="shared" si="22"/>
        <v>-0.14534883720930233</v>
      </c>
      <c r="F57" s="136">
        <f>IF(ISNUMBER(D57), $B64 * E57, "")</f>
        <v>-21802.325581395351</v>
      </c>
      <c r="G57" s="39">
        <v>15.4</v>
      </c>
      <c r="H57" s="73">
        <f t="shared" si="23"/>
        <v>-0.10465116279069761</v>
      </c>
      <c r="I57" s="202">
        <f>IF(ISNUMBER(G57), $B64 * H57, "")</f>
        <v>-15697.674418604642</v>
      </c>
      <c r="J57" s="125">
        <v>15.3</v>
      </c>
      <c r="K57" s="73">
        <f t="shared" si="24"/>
        <v>-0.11046511627906969</v>
      </c>
      <c r="L57" s="136">
        <f>IF(ISNUMBER(J57), $B64 * K57, "")</f>
        <v>-16569.767441860455</v>
      </c>
      <c r="M57" s="39"/>
      <c r="N57" s="73" t="str">
        <f t="shared" si="25"/>
        <v/>
      </c>
      <c r="O57" s="136" t="str">
        <f>IF(ISNUMBER(M57), $B64 * N57, "")</f>
        <v/>
      </c>
      <c r="Q57" s="278"/>
      <c r="R57" s="278"/>
      <c r="S57" s="278"/>
    </row>
    <row r="58" spans="1:19" ht="17.25" customHeight="1" thickBot="1">
      <c r="A58" s="126" t="s">
        <v>228</v>
      </c>
      <c r="B58" s="127">
        <v>15.1</v>
      </c>
      <c r="C58" s="74">
        <v>0</v>
      </c>
      <c r="D58" s="127">
        <v>13</v>
      </c>
      <c r="E58" s="74">
        <f t="shared" si="22"/>
        <v>-0.13907284768211919</v>
      </c>
      <c r="F58" s="203">
        <f>IF(ISNUMBER(D58), $B64 * E58, "")</f>
        <v>-20860.92715231788</v>
      </c>
      <c r="G58" s="44">
        <v>13.4</v>
      </c>
      <c r="H58" s="74">
        <f t="shared" si="23"/>
        <v>-0.11258278145695359</v>
      </c>
      <c r="I58" s="204">
        <f>IF(ISNUMBER(G58), $B64 * H58, "")</f>
        <v>-16887.41721854304</v>
      </c>
      <c r="J58" s="127">
        <v>13.3</v>
      </c>
      <c r="K58" s="74">
        <f t="shared" si="24"/>
        <v>-0.11920529801324496</v>
      </c>
      <c r="L58" s="203">
        <f>IF(ISNUMBER(J58), $B64 * K58, "")</f>
        <v>-17880.794701986746</v>
      </c>
      <c r="M58" s="44"/>
      <c r="N58" s="74" t="str">
        <f t="shared" si="25"/>
        <v/>
      </c>
      <c r="O58" s="203" t="str">
        <f>IF(ISNUMBER(M58), $B64 * N58, "")</f>
        <v/>
      </c>
      <c r="Q58" s="278"/>
      <c r="R58" s="278"/>
      <c r="S58" s="278"/>
    </row>
    <row r="59" spans="1:19" ht="17.25" customHeight="1" thickBot="1">
      <c r="A59" s="124" t="s">
        <v>172</v>
      </c>
      <c r="B59" s="128">
        <v>22</v>
      </c>
      <c r="C59" s="76">
        <v>0</v>
      </c>
      <c r="D59" s="128">
        <v>18.7</v>
      </c>
      <c r="E59" s="76">
        <f>IF(ISNUMBER(D59), (D59 - $B59) / $B59, "")</f>
        <v>-0.15000000000000002</v>
      </c>
      <c r="F59" s="205">
        <f>IF(ISNUMBER(D59), $B64 * E59, "")</f>
        <v>-22500.000000000004</v>
      </c>
      <c r="G59" s="45">
        <v>19.600000000000001</v>
      </c>
      <c r="H59" s="76">
        <f>IF(ISNUMBER(G59), (G59 - $B59) / $B59, "")</f>
        <v>-0.10909090909090903</v>
      </c>
      <c r="I59" s="206">
        <f>IF(ISNUMBER(G59), $B64 * H59, "")</f>
        <v>-16363.636363636355</v>
      </c>
      <c r="J59" s="128">
        <v>19.5</v>
      </c>
      <c r="K59" s="76">
        <f>IF(ISNUMBER(J59), (J59 - $B59) / $B59, "")</f>
        <v>-0.11363636363636363</v>
      </c>
      <c r="L59" s="205">
        <f>IF(ISNUMBER(J59), $B64 * K59, "")</f>
        <v>-17045.454545454544</v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68"/>
      <c r="R59" s="268"/>
      <c r="S59" s="268"/>
    </row>
    <row r="60" spans="1:19" ht="17.25" customHeight="1" thickBot="1">
      <c r="A60" s="124" t="s">
        <v>126</v>
      </c>
      <c r="B60" s="125">
        <v>47.4</v>
      </c>
      <c r="C60" s="73">
        <v>0</v>
      </c>
      <c r="D60" s="125">
        <v>42</v>
      </c>
      <c r="E60" s="73">
        <f t="shared" ref="E60:E63" si="26">IF(ISNUMBER(D60), (D60 - $B60) / $B60, "")</f>
        <v>-0.11392405063291136</v>
      </c>
      <c r="F60" s="136">
        <f>IF(ISNUMBER(D60), $B64 * E60, "")</f>
        <v>-17088.607594936704</v>
      </c>
      <c r="G60" s="39">
        <v>44.7</v>
      </c>
      <c r="H60" s="73">
        <f t="shared" ref="H60:H63" si="27">IF(ISNUMBER(G60), (G60 - $B60) / $B60, "")</f>
        <v>-5.6962025316455611E-2</v>
      </c>
      <c r="I60" s="202">
        <f>IF(ISNUMBER(G60), $B64 * H60, "")</f>
        <v>-8544.3037974683411</v>
      </c>
      <c r="J60" s="125">
        <v>44.3</v>
      </c>
      <c r="K60" s="73">
        <f t="shared" ref="K60:K63" si="28">IF(ISNUMBER(J60), (J60 - $B60) / $B60, "")</f>
        <v>-6.5400843881856574E-2</v>
      </c>
      <c r="L60" s="136">
        <f>IF(ISNUMBER(J60), $B64 * K60, "")</f>
        <v>-9810.1265822784862</v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68"/>
      <c r="R60" s="268"/>
      <c r="S60" s="268"/>
    </row>
    <row r="61" spans="1:19" ht="17.25" customHeight="1" thickBot="1">
      <c r="A61" s="124" t="s">
        <v>218</v>
      </c>
      <c r="B61" s="125">
        <v>22.6</v>
      </c>
      <c r="C61" s="73">
        <v>0</v>
      </c>
      <c r="D61" s="125">
        <v>19.2</v>
      </c>
      <c r="E61" s="73">
        <f t="shared" si="26"/>
        <v>-0.15044247787610629</v>
      </c>
      <c r="F61" s="136">
        <f>IF(ISNUMBER(D61), $B64 * E61, "")</f>
        <v>-22566.371681415945</v>
      </c>
      <c r="G61" s="39">
        <v>20.2</v>
      </c>
      <c r="H61" s="73">
        <f t="shared" si="27"/>
        <v>-0.10619469026548681</v>
      </c>
      <c r="I61" s="202">
        <f>IF(ISNUMBER(G61), $B64 * H61, "")</f>
        <v>-15929.203539823022</v>
      </c>
      <c r="J61" s="125">
        <v>20.100000000000001</v>
      </c>
      <c r="K61" s="73">
        <f t="shared" si="28"/>
        <v>-0.11061946902654866</v>
      </c>
      <c r="L61" s="136">
        <f>IF(ISNUMBER(J61), $B64 * K61, "")</f>
        <v>-16592.920353982299</v>
      </c>
      <c r="M61" s="39"/>
      <c r="N61" s="73" t="str">
        <f t="shared" si="29"/>
        <v/>
      </c>
      <c r="O61" s="136" t="str">
        <f>IF(ISNUMBER(M61), $B64 * N61, "")</f>
        <v/>
      </c>
      <c r="Q61" s="268"/>
      <c r="R61" s="268"/>
      <c r="S61" s="268"/>
    </row>
    <row r="62" spans="1:19" ht="17.25" customHeight="1">
      <c r="A62" s="124" t="s">
        <v>220</v>
      </c>
      <c r="B62" s="125">
        <v>17.3</v>
      </c>
      <c r="C62" s="73">
        <v>-2.2598870100000001E-2</v>
      </c>
      <c r="D62" s="125">
        <v>14.9</v>
      </c>
      <c r="E62" s="73">
        <f t="shared" si="26"/>
        <v>-0.13872832369942198</v>
      </c>
      <c r="F62" s="136">
        <f>IF(ISNUMBER(D62), $B64 * E62, "")</f>
        <v>-20809.248554913298</v>
      </c>
      <c r="G62" s="39">
        <v>15.6</v>
      </c>
      <c r="H62" s="73">
        <f t="shared" si="27"/>
        <v>-9.8265895953757287E-2</v>
      </c>
      <c r="I62" s="202">
        <f>IF(ISNUMBER(G62), $B64 * H62, "")</f>
        <v>-14739.884393063594</v>
      </c>
      <c r="J62" s="125">
        <v>15.5</v>
      </c>
      <c r="K62" s="73">
        <f t="shared" si="28"/>
        <v>-0.10404624277456651</v>
      </c>
      <c r="L62" s="136">
        <f>IF(ISNUMBER(J62), $B64 * K62, "")</f>
        <v>-15606.936416184975</v>
      </c>
      <c r="M62" s="39"/>
      <c r="N62" s="73" t="str">
        <f t="shared" si="29"/>
        <v/>
      </c>
      <c r="O62" s="136" t="str">
        <f>IF(ISNUMBER(M62), $B64 * N62, "")</f>
        <v/>
      </c>
      <c r="Q62" s="257"/>
      <c r="R62" s="258"/>
      <c r="S62" s="259"/>
    </row>
    <row r="63" spans="1:19" ht="17.25" customHeight="1" thickBot="1">
      <c r="A63" s="129" t="s">
        <v>407</v>
      </c>
      <c r="B63" s="130">
        <v>195</v>
      </c>
      <c r="C63" s="75">
        <v>5.1999999999999998E-3</v>
      </c>
      <c r="D63" s="130">
        <v>179</v>
      </c>
      <c r="E63" s="75">
        <f t="shared" si="26"/>
        <v>-8.2051282051282051E-2</v>
      </c>
      <c r="F63" s="137">
        <f>IF(ISNUMBER(D63), $B64 * E63, "")</f>
        <v>-12307.692307692309</v>
      </c>
      <c r="G63" s="37">
        <v>184</v>
      </c>
      <c r="H63" s="75">
        <f t="shared" si="27"/>
        <v>-5.6410256410256411E-2</v>
      </c>
      <c r="I63" s="207">
        <f>IF(ISNUMBER(G63), $B64 * H63, "")</f>
        <v>-8461.538461538461</v>
      </c>
      <c r="J63" s="130">
        <v>183</v>
      </c>
      <c r="K63" s="75">
        <f t="shared" si="28"/>
        <v>-6.1538461538461542E-2</v>
      </c>
      <c r="L63" s="137">
        <f>IF(ISNUMBER(J63), $B64 * K63, "")</f>
        <v>-9230.7692307692305</v>
      </c>
      <c r="M63" s="37"/>
      <c r="N63" s="75" t="str">
        <f t="shared" si="29"/>
        <v/>
      </c>
      <c r="O63" s="137" t="str">
        <f>IF(ISNUMBER(M63), $B64 * N63, "")</f>
        <v/>
      </c>
      <c r="Q63" s="260"/>
      <c r="R63" s="261"/>
      <c r="S63" s="262"/>
    </row>
    <row r="64" spans="1:19" ht="17.25" customHeight="1" thickBot="1">
      <c r="A64" s="131" t="s">
        <v>301</v>
      </c>
      <c r="B64" s="330">
        <f>$B$37</f>
        <v>150000</v>
      </c>
      <c r="C64" s="331"/>
      <c r="D64" s="131" t="s">
        <v>302</v>
      </c>
      <c r="E64" s="252">
        <f>IF(COUNT(E44:E63), SUM(E44:E63) / COUNT(E44:E63), 0)</f>
        <v>-0.12497968481249203</v>
      </c>
      <c r="F64" s="208">
        <f>SUM(F44:F63)</f>
        <v>-374939.05443747604</v>
      </c>
      <c r="G64" s="131" t="s">
        <v>302</v>
      </c>
      <c r="H64" s="252">
        <f>IF(COUNT(H44:H63), SUM(H44:H63) / COUNT(H44:H63), 0)</f>
        <v>-8.769177654871485E-2</v>
      </c>
      <c r="I64" s="208">
        <f>SUM(I44:I63)</f>
        <v>-263075.32964614453</v>
      </c>
      <c r="J64" s="131" t="s">
        <v>302</v>
      </c>
      <c r="K64" s="252">
        <f>IF(COUNT(K44:K63), SUM(K44:K63) / COUNT(K44:K63), 0)</f>
        <v>-9.4031189868103771E-2</v>
      </c>
      <c r="L64" s="208">
        <f>SUM(L44:L63)</f>
        <v>-282093.56960431137</v>
      </c>
      <c r="M64" s="131" t="s">
        <v>302</v>
      </c>
      <c r="N64" s="252">
        <f>IF(COUNT(N44:N63), SUM(N44:N63) / COUNT(N44:N63), 0)</f>
        <v>0</v>
      </c>
      <c r="O64" s="208">
        <f>SUM(O44:O63)</f>
        <v>0</v>
      </c>
      <c r="Q64" s="263"/>
      <c r="R64" s="264"/>
      <c r="S64" s="265"/>
    </row>
    <row r="65" spans="1:19" ht="17.25" customHeight="1"/>
    <row r="66" spans="1:19" ht="17.25" customHeight="1" thickBot="1"/>
    <row r="67" spans="1:19" ht="17.25" thickBot="1">
      <c r="A67" s="279" t="s">
        <v>45</v>
      </c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1"/>
      <c r="Q67" s="278"/>
      <c r="R67" s="278"/>
      <c r="S67" s="278"/>
    </row>
    <row r="68" spans="1:19" ht="17.25" thickBot="1">
      <c r="A68" s="249" t="s">
        <v>298</v>
      </c>
      <c r="B68" s="279" t="s">
        <v>49</v>
      </c>
      <c r="C68" s="281"/>
      <c r="D68" s="279" t="s">
        <v>58</v>
      </c>
      <c r="E68" s="280"/>
      <c r="F68" s="281"/>
      <c r="G68" s="282">
        <f>_xlfn.IFNA(VLOOKUP(B68, 현재가테이블!$B$2:$D$200, 2, FALSE), "-")</f>
        <v>55555000</v>
      </c>
      <c r="H68" s="283"/>
      <c r="I68" s="284"/>
      <c r="J68" s="279" t="s">
        <v>59</v>
      </c>
      <c r="K68" s="280"/>
      <c r="L68" s="281"/>
      <c r="M68" s="285">
        <f>_xlfn.IFNA(VLOOKUP(B68, 현재가테이블!$B$2:$D$200, 3, FALSE), "-")</f>
        <v>-3.6323266700000002E-2</v>
      </c>
      <c r="N68" s="286"/>
      <c r="O68" s="287"/>
      <c r="Q68" s="278"/>
      <c r="R68" s="278"/>
      <c r="S68" s="278"/>
    </row>
    <row r="69" spans="1:19" ht="17.25" thickBot="1">
      <c r="A69" s="332" t="s">
        <v>55</v>
      </c>
      <c r="B69" s="328" t="str">
        <f>TEXT($G$1, "[$-ko-KR]yyyy-mm-dd(ddd) ") &amp; "오전 00:00"</f>
        <v>2021-05-17(월) 오전 00:00</v>
      </c>
      <c r="C69" s="329"/>
      <c r="D69" s="279" t="str">
        <f>TEXT($G$1, "[$-ko-KR]yyyy-mm-dd(ddd) ") &amp; "오후 14:00"</f>
        <v>2021-05-17(월) 오후 14:00</v>
      </c>
      <c r="E69" s="280"/>
      <c r="F69" s="281"/>
      <c r="G69" s="279" t="str">
        <f>TEXT($G$1, "[$-ko-KR]yyyy-mm-dd(ddd) ") &amp; "오후 19:00"</f>
        <v>2021-05-17(월) 오후 19:00</v>
      </c>
      <c r="H69" s="280"/>
      <c r="I69" s="281"/>
      <c r="J69" s="279" t="str">
        <f>TEXT($G$1, "[$-ko-KR]yyyy-mm-dd(ddd) ") &amp; "오후 21:00"</f>
        <v>2021-05-17(월) 오후 21:00</v>
      </c>
      <c r="K69" s="280"/>
      <c r="L69" s="281"/>
      <c r="M69" s="279" t="str">
        <f>TEXT($G$1+1, "[$-ko-KR]yyyy-mm-dd(ddd) ") &amp; "오전 00:00"</f>
        <v>2021-05-18(화) 오전 00:00</v>
      </c>
      <c r="N69" s="280"/>
      <c r="O69" s="281"/>
      <c r="Q69" s="278"/>
      <c r="R69" s="278"/>
      <c r="S69" s="278"/>
    </row>
    <row r="70" spans="1:19" ht="17.25" thickBot="1">
      <c r="A70" s="333"/>
      <c r="B70" s="120" t="s">
        <v>58</v>
      </c>
      <c r="C70" s="121" t="s">
        <v>59</v>
      </c>
      <c r="D70" s="120" t="s">
        <v>58</v>
      </c>
      <c r="E70" s="121" t="s">
        <v>299</v>
      </c>
      <c r="F70" s="256" t="s">
        <v>300</v>
      </c>
      <c r="G70" s="249" t="s">
        <v>58</v>
      </c>
      <c r="H70" s="250" t="s">
        <v>299</v>
      </c>
      <c r="I70" s="251" t="s">
        <v>300</v>
      </c>
      <c r="J70" s="121" t="s">
        <v>58</v>
      </c>
      <c r="K70" s="121" t="s">
        <v>299</v>
      </c>
      <c r="L70" s="254" t="s">
        <v>300</v>
      </c>
      <c r="M70" s="120" t="s">
        <v>58</v>
      </c>
      <c r="N70" s="121" t="s">
        <v>299</v>
      </c>
      <c r="O70" s="255" t="s">
        <v>300</v>
      </c>
      <c r="Q70" s="268"/>
      <c r="R70" s="268"/>
      <c r="S70" s="268"/>
    </row>
    <row r="71" spans="1:19" ht="17.25" thickBot="1">
      <c r="A71" s="122" t="s">
        <v>51</v>
      </c>
      <c r="B71" s="123">
        <v>921</v>
      </c>
      <c r="C71" s="72">
        <v>7.9718640100000002E-2</v>
      </c>
      <c r="D71" s="123">
        <v>811</v>
      </c>
      <c r="E71" s="72">
        <f>IF(ISNUMBER(D71), (D71 - $B71) / $B71, "")</f>
        <v>-0.11943539630836048</v>
      </c>
      <c r="F71" s="140">
        <f>IF(ISNUMBER(D71), $B91 * E71, "")</f>
        <v>-17915.309446254072</v>
      </c>
      <c r="G71" s="38">
        <v>866</v>
      </c>
      <c r="H71" s="72">
        <f>IF(ISNUMBER(G71), (G71 - $B71) / $B71, "")</f>
        <v>-5.9717698154180238E-2</v>
      </c>
      <c r="I71" s="201">
        <f>IF(ISNUMBER(G71), $B91 * H71, "")</f>
        <v>-8957.654723127036</v>
      </c>
      <c r="J71" s="123">
        <v>854</v>
      </c>
      <c r="K71" s="72">
        <f>IF(ISNUMBER(J71), (J71 - $B71) / $B71, "")</f>
        <v>-7.2747014115092296E-2</v>
      </c>
      <c r="L71" s="140">
        <f>IF(ISNUMBER(J71), $B91 * K71, "")</f>
        <v>-10912.052117263844</v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78"/>
      <c r="R71" s="278"/>
      <c r="S71" s="278"/>
    </row>
    <row r="72" spans="1:19" ht="17.25" thickBot="1">
      <c r="A72" s="124" t="s">
        <v>148</v>
      </c>
      <c r="B72" s="125">
        <v>180</v>
      </c>
      <c r="C72" s="73">
        <v>7.7844311400000005E-2</v>
      </c>
      <c r="D72" s="125">
        <v>162</v>
      </c>
      <c r="E72" s="73">
        <f t="shared" ref="E72:E75" si="30">IF(ISNUMBER(D72), (D72 - $B72) / $B72, "")</f>
        <v>-0.1</v>
      </c>
      <c r="F72" s="136">
        <f>IF(ISNUMBER(D72), $B91 * E72, "")</f>
        <v>-15000</v>
      </c>
      <c r="G72" s="39">
        <v>168</v>
      </c>
      <c r="H72" s="73">
        <f t="shared" ref="H72:H75" si="31">IF(ISNUMBER(G72), (G72 - $B72) / $B72, "")</f>
        <v>-6.6666666666666666E-2</v>
      </c>
      <c r="I72" s="202">
        <f>IF(ISNUMBER(G72), $B91 * H72, "")</f>
        <v>-10000</v>
      </c>
      <c r="J72" s="125">
        <v>168</v>
      </c>
      <c r="K72" s="73">
        <f t="shared" ref="K72:K75" si="32">IF(ISNUMBER(J72), (J72 - $B72) / $B72, "")</f>
        <v>-6.6666666666666666E-2</v>
      </c>
      <c r="L72" s="136">
        <f>IF(ISNUMBER(J72), $B91 * K72, "")</f>
        <v>-10000</v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78"/>
      <c r="R72" s="278"/>
      <c r="S72" s="278"/>
    </row>
    <row r="73" spans="1:19" ht="17.25" thickBot="1">
      <c r="A73" s="124" t="s">
        <v>54</v>
      </c>
      <c r="B73" s="125">
        <v>420</v>
      </c>
      <c r="C73" s="73">
        <v>7.4168797999999994E-2</v>
      </c>
      <c r="D73" s="125">
        <v>368</v>
      </c>
      <c r="E73" s="73">
        <f t="shared" si="30"/>
        <v>-0.12380952380952381</v>
      </c>
      <c r="F73" s="136">
        <f>IF(ISNUMBER(D73), $B91 * E73, "")</f>
        <v>-18571.428571428572</v>
      </c>
      <c r="G73" s="39">
        <v>384</v>
      </c>
      <c r="H73" s="73">
        <f t="shared" si="31"/>
        <v>-8.5714285714285715E-2</v>
      </c>
      <c r="I73" s="202">
        <f>IF(ISNUMBER(G73), $B91 * H73, "")</f>
        <v>-12857.142857142857</v>
      </c>
      <c r="J73" s="125">
        <v>379</v>
      </c>
      <c r="K73" s="73">
        <f t="shared" si="32"/>
        <v>-9.7619047619047619E-2</v>
      </c>
      <c r="L73" s="136">
        <f>IF(ISNUMBER(J73), $B91 * K73, "")</f>
        <v>-14642.857142857143</v>
      </c>
      <c r="M73" s="39"/>
      <c r="N73" s="73" t="str">
        <f t="shared" si="33"/>
        <v/>
      </c>
      <c r="O73" s="136" t="str">
        <f>IF(ISNUMBER(M73), $B91 * N73, "")</f>
        <v/>
      </c>
      <c r="Q73" s="268"/>
      <c r="R73" s="268"/>
      <c r="S73" s="268"/>
    </row>
    <row r="74" spans="1:19" ht="17.25" thickBot="1">
      <c r="A74" s="124" t="s">
        <v>168</v>
      </c>
      <c r="B74" s="125">
        <v>218</v>
      </c>
      <c r="C74" s="73">
        <v>7.3891625599999997E-2</v>
      </c>
      <c r="D74" s="125">
        <v>186</v>
      </c>
      <c r="E74" s="73">
        <f t="shared" si="30"/>
        <v>-0.14678899082568808</v>
      </c>
      <c r="F74" s="136">
        <f>IF(ISNUMBER(D74), $B91 * E74, "")</f>
        <v>-22018.348623853213</v>
      </c>
      <c r="G74" s="39">
        <v>200</v>
      </c>
      <c r="H74" s="73">
        <f t="shared" si="31"/>
        <v>-8.2568807339449546E-2</v>
      </c>
      <c r="I74" s="202">
        <f>IF(ISNUMBER(G74), $B91 * H74, "")</f>
        <v>-12385.321100917432</v>
      </c>
      <c r="J74" s="125">
        <v>196</v>
      </c>
      <c r="K74" s="73">
        <f t="shared" si="32"/>
        <v>-0.10091743119266056</v>
      </c>
      <c r="L74" s="136">
        <f>IF(ISNUMBER(J74), $B91 * K74, "")</f>
        <v>-15137.614678899083</v>
      </c>
      <c r="M74" s="39"/>
      <c r="N74" s="73" t="str">
        <f t="shared" si="33"/>
        <v/>
      </c>
      <c r="O74" s="136" t="str">
        <f>IF(ISNUMBER(M74), $B91 * N74, "")</f>
        <v/>
      </c>
      <c r="Q74" s="268"/>
      <c r="R74" s="268"/>
      <c r="S74" s="268"/>
    </row>
    <row r="75" spans="1:19" ht="17.25" thickBot="1">
      <c r="A75" s="126" t="s">
        <v>142</v>
      </c>
      <c r="B75" s="127">
        <v>420</v>
      </c>
      <c r="C75" s="74">
        <v>6.3291139199999999E-2</v>
      </c>
      <c r="D75" s="127">
        <v>431</v>
      </c>
      <c r="E75" s="74">
        <f t="shared" si="30"/>
        <v>2.6190476190476191E-2</v>
      </c>
      <c r="F75" s="203">
        <f>IF(ISNUMBER(D75), $B91 * E75, "")</f>
        <v>3928.5714285714284</v>
      </c>
      <c r="G75" s="44">
        <v>413</v>
      </c>
      <c r="H75" s="74">
        <f t="shared" si="31"/>
        <v>-1.6666666666666666E-2</v>
      </c>
      <c r="I75" s="204">
        <f>IF(ISNUMBER(G75), $B91 * H75, "")</f>
        <v>-2500</v>
      </c>
      <c r="J75" s="127">
        <v>426</v>
      </c>
      <c r="K75" s="74">
        <f t="shared" si="32"/>
        <v>1.4285714285714285E-2</v>
      </c>
      <c r="L75" s="203">
        <f>IF(ISNUMBER(J75), $B91 * K75, "")</f>
        <v>2142.8571428571427</v>
      </c>
      <c r="M75" s="44"/>
      <c r="N75" s="74" t="str">
        <f t="shared" si="33"/>
        <v/>
      </c>
      <c r="O75" s="203" t="str">
        <f>IF(ISNUMBER(M75), $B91 * N75, "")</f>
        <v/>
      </c>
      <c r="Q75" s="268"/>
      <c r="R75" s="268"/>
      <c r="S75" s="268"/>
    </row>
    <row r="76" spans="1:19" ht="17.25" thickBot="1">
      <c r="A76" s="124" t="s">
        <v>122</v>
      </c>
      <c r="B76" s="128">
        <v>106</v>
      </c>
      <c r="C76" s="76">
        <v>0.06</v>
      </c>
      <c r="D76" s="128">
        <v>89.4</v>
      </c>
      <c r="E76" s="76">
        <f>IF(ISNUMBER(D76), (D76 - $B76) / $B76, "")</f>
        <v>-0.1566037735849056</v>
      </c>
      <c r="F76" s="205">
        <f>IF(ISNUMBER(D76), $B91 * E76, "")</f>
        <v>-23490.56603773584</v>
      </c>
      <c r="G76" s="45">
        <v>92.8</v>
      </c>
      <c r="H76" s="76">
        <f>IF(ISNUMBER(G76), (G76 - $B76) / $B76, "")</f>
        <v>-0.12452830188679248</v>
      </c>
      <c r="I76" s="206">
        <f>IF(ISNUMBER(G76), $B91 * H76, "")</f>
        <v>-18679.24528301887</v>
      </c>
      <c r="J76" s="128">
        <v>92.6</v>
      </c>
      <c r="K76" s="76">
        <f>IF(ISNUMBER(J76), (J76 - $B76) / $B76, "")</f>
        <v>-0.1264150943396227</v>
      </c>
      <c r="L76" s="205">
        <f>IF(ISNUMBER(J76), $B91 * K76, "")</f>
        <v>-18962.264150943403</v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68"/>
      <c r="R76" s="268"/>
      <c r="S76" s="268"/>
    </row>
    <row r="77" spans="1:19" ht="17.25" thickBot="1">
      <c r="A77" s="124" t="s">
        <v>132</v>
      </c>
      <c r="B77" s="125">
        <v>225</v>
      </c>
      <c r="C77" s="73">
        <v>4.16666667E-2</v>
      </c>
      <c r="D77" s="125">
        <v>198</v>
      </c>
      <c r="E77" s="73">
        <f t="shared" ref="E77:E80" si="34">IF(ISNUMBER(D77), (D77 - $B77) / $B77, "")</f>
        <v>-0.12</v>
      </c>
      <c r="F77" s="136">
        <f>IF(ISNUMBER(D77), $B91 * E77, "")</f>
        <v>-18000</v>
      </c>
      <c r="G77" s="39">
        <v>210</v>
      </c>
      <c r="H77" s="73">
        <f t="shared" ref="H77:H80" si="35">IF(ISNUMBER(G77), (G77 - $B77) / $B77, "")</f>
        <v>-6.6666666666666666E-2</v>
      </c>
      <c r="I77" s="202">
        <f>IF(ISNUMBER(G77), $B91 * H77, "")</f>
        <v>-10000</v>
      </c>
      <c r="J77" s="125">
        <v>206</v>
      </c>
      <c r="K77" s="73">
        <f t="shared" ref="K77:K80" si="36">IF(ISNUMBER(J77), (J77 - $B77) / $B77, "")</f>
        <v>-8.4444444444444447E-2</v>
      </c>
      <c r="L77" s="136">
        <f>IF(ISNUMBER(J77), $B91 * K77, "")</f>
        <v>-12666.666666666668</v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68"/>
      <c r="R77" s="268"/>
      <c r="S77" s="268"/>
    </row>
    <row r="78" spans="1:19" ht="17.25" thickBot="1">
      <c r="A78" s="124" t="s">
        <v>136</v>
      </c>
      <c r="B78" s="125">
        <v>235</v>
      </c>
      <c r="C78" s="73">
        <v>3.9823008799999997E-2</v>
      </c>
      <c r="D78" s="125">
        <v>205</v>
      </c>
      <c r="E78" s="73">
        <f t="shared" si="34"/>
        <v>-0.1276595744680851</v>
      </c>
      <c r="F78" s="136">
        <f>IF(ISNUMBER(D78), $B91 * E78, "")</f>
        <v>-19148.936170212764</v>
      </c>
      <c r="G78" s="39">
        <v>217</v>
      </c>
      <c r="H78" s="73">
        <f t="shared" si="35"/>
        <v>-7.6595744680851063E-2</v>
      </c>
      <c r="I78" s="202">
        <f>IF(ISNUMBER(G78), $B91 * H78, "")</f>
        <v>-11489.361702127659</v>
      </c>
      <c r="J78" s="125">
        <v>213</v>
      </c>
      <c r="K78" s="73">
        <f t="shared" si="36"/>
        <v>-9.3617021276595741E-2</v>
      </c>
      <c r="L78" s="136">
        <f>IF(ISNUMBER(J78), $B91 * K78, "")</f>
        <v>-14042.553191489362</v>
      </c>
      <c r="M78" s="39"/>
      <c r="N78" s="73" t="str">
        <f t="shared" si="37"/>
        <v/>
      </c>
      <c r="O78" s="136" t="str">
        <f>IF(ISNUMBER(M78), $B91 * N78, "")</f>
        <v/>
      </c>
      <c r="Q78" s="268"/>
      <c r="R78" s="268"/>
      <c r="S78" s="268"/>
    </row>
    <row r="79" spans="1:19" ht="17.25" thickBot="1">
      <c r="A79" s="124" t="s">
        <v>264</v>
      </c>
      <c r="B79" s="125">
        <v>147</v>
      </c>
      <c r="C79" s="73">
        <v>2.7972027999999999E-2</v>
      </c>
      <c r="D79" s="125">
        <v>131</v>
      </c>
      <c r="E79" s="73">
        <f t="shared" si="34"/>
        <v>-0.10884353741496598</v>
      </c>
      <c r="F79" s="136">
        <f>IF(ISNUMBER(D79), $B91 * E79, "")</f>
        <v>-16326.530612244896</v>
      </c>
      <c r="G79" s="39">
        <v>137</v>
      </c>
      <c r="H79" s="73">
        <f t="shared" si="35"/>
        <v>-6.8027210884353748E-2</v>
      </c>
      <c r="I79" s="202">
        <f>IF(ISNUMBER(G79), $B91 * H79, "")</f>
        <v>-10204.081632653062</v>
      </c>
      <c r="J79" s="125">
        <v>138</v>
      </c>
      <c r="K79" s="73">
        <f t="shared" si="36"/>
        <v>-6.1224489795918366E-2</v>
      </c>
      <c r="L79" s="136">
        <f>IF(ISNUMBER(J79), $B91 * K79, "")</f>
        <v>-9183.6734693877552</v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128</v>
      </c>
      <c r="B80" s="130">
        <v>572</v>
      </c>
      <c r="C80" s="75">
        <v>2.3255814E-2</v>
      </c>
      <c r="D80" s="130">
        <v>500</v>
      </c>
      <c r="E80" s="75">
        <f t="shared" si="34"/>
        <v>-0.12587412587412589</v>
      </c>
      <c r="F80" s="137">
        <f>IF(ISNUMBER(D80), $B91 * E80, "")</f>
        <v>-18881.118881118884</v>
      </c>
      <c r="G80" s="37">
        <v>515</v>
      </c>
      <c r="H80" s="75">
        <f t="shared" si="35"/>
        <v>-9.9650349650349648E-2</v>
      </c>
      <c r="I80" s="207">
        <f>IF(ISNUMBER(G80), $B91 * H80, "")</f>
        <v>-14947.552447552447</v>
      </c>
      <c r="J80" s="130">
        <v>512</v>
      </c>
      <c r="K80" s="75">
        <f t="shared" si="36"/>
        <v>-0.1048951048951049</v>
      </c>
      <c r="L80" s="137">
        <f>IF(ISNUMBER(J80), $B91 * K80, "")</f>
        <v>-15734.265734265735</v>
      </c>
      <c r="M80" s="37"/>
      <c r="N80" s="75" t="str">
        <f t="shared" si="37"/>
        <v/>
      </c>
      <c r="O80" s="137" t="str">
        <f>IF(ISNUMBER(M80), $B91 * N80, "")</f>
        <v/>
      </c>
      <c r="Q80" s="269"/>
      <c r="R80" s="270"/>
      <c r="S80" s="271"/>
    </row>
    <row r="81" spans="1:19">
      <c r="A81" s="122" t="s">
        <v>270</v>
      </c>
      <c r="B81" s="123">
        <v>493</v>
      </c>
      <c r="C81" s="72">
        <v>2.28215768E-2</v>
      </c>
      <c r="D81" s="123">
        <v>430</v>
      </c>
      <c r="E81" s="72">
        <f>IF(ISNUMBER(D81), (D81 - $B81) / $B81, "")</f>
        <v>-0.12778904665314403</v>
      </c>
      <c r="F81" s="140">
        <f>IF(ISNUMBER(D81), $B91 * E81, "")</f>
        <v>-19168.356997971605</v>
      </c>
      <c r="G81" s="38">
        <v>470</v>
      </c>
      <c r="H81" s="72">
        <f>IF(ISNUMBER(G81), (G81 - $B81) / $B81, "")</f>
        <v>-4.665314401622718E-2</v>
      </c>
      <c r="I81" s="201">
        <f>IF(ISNUMBER(G81), $B91 * H81, "")</f>
        <v>-6997.9716024340769</v>
      </c>
      <c r="J81" s="123">
        <v>460</v>
      </c>
      <c r="K81" s="72">
        <f>IF(ISNUMBER(J81), (J81 - $B81) / $B81, "")</f>
        <v>-6.6937119675456389E-2</v>
      </c>
      <c r="L81" s="140">
        <f>IF(ISNUMBER(J81), $B91 * K81, "")</f>
        <v>-10040.567951318459</v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72"/>
      <c r="R81" s="273"/>
      <c r="S81" s="274"/>
    </row>
    <row r="82" spans="1:19" ht="17.25" thickBot="1">
      <c r="A82" s="124" t="s">
        <v>278</v>
      </c>
      <c r="B82" s="125">
        <v>137</v>
      </c>
      <c r="C82" s="73">
        <v>2.2388059700000001E-2</v>
      </c>
      <c r="D82" s="125">
        <v>121</v>
      </c>
      <c r="E82" s="73">
        <f t="shared" ref="E82:E85" si="38">IF(ISNUMBER(D82), (D82 - $B82) / $B82, "")</f>
        <v>-0.11678832116788321</v>
      </c>
      <c r="F82" s="136">
        <f>IF(ISNUMBER(D82), $B91 * E82, "")</f>
        <v>-17518.248175182482</v>
      </c>
      <c r="G82" s="39">
        <v>125</v>
      </c>
      <c r="H82" s="73">
        <f t="shared" ref="H82:H85" si="39">IF(ISNUMBER(G82), (G82 - $B82) / $B82, "")</f>
        <v>-8.7591240875912413E-2</v>
      </c>
      <c r="I82" s="202">
        <f>IF(ISNUMBER(G82), $B91 * H82, "")</f>
        <v>-13138.686131386861</v>
      </c>
      <c r="J82" s="125">
        <v>125</v>
      </c>
      <c r="K82" s="73">
        <f t="shared" ref="K82:K85" si="40">IF(ISNUMBER(J82), (J82 - $B82) / $B82, "")</f>
        <v>-8.7591240875912413E-2</v>
      </c>
      <c r="L82" s="136">
        <f>IF(ISNUMBER(J82), $B91 * K82, "")</f>
        <v>-13138.686131386861</v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75"/>
      <c r="R82" s="276"/>
      <c r="S82" s="277"/>
    </row>
    <row r="83" spans="1:19" ht="17.25" thickBot="1">
      <c r="A83" s="124" t="s">
        <v>57</v>
      </c>
      <c r="B83" s="125">
        <v>380</v>
      </c>
      <c r="C83" s="73">
        <v>2.15053763E-2</v>
      </c>
      <c r="D83" s="125">
        <v>334</v>
      </c>
      <c r="E83" s="73">
        <f t="shared" si="38"/>
        <v>-0.12105263157894737</v>
      </c>
      <c r="F83" s="136">
        <f>IF(ISNUMBER(D83), $B91 * E83, "")</f>
        <v>-18157.894736842107</v>
      </c>
      <c r="G83" s="39">
        <v>351</v>
      </c>
      <c r="H83" s="73">
        <f t="shared" si="39"/>
        <v>-7.6315789473684212E-2</v>
      </c>
      <c r="I83" s="202">
        <f>IF(ISNUMBER(G83), $B91 * H83, "")</f>
        <v>-11447.368421052632</v>
      </c>
      <c r="J83" s="125">
        <v>347</v>
      </c>
      <c r="K83" s="73">
        <f t="shared" si="40"/>
        <v>-8.6842105263157901E-2</v>
      </c>
      <c r="L83" s="136">
        <f>IF(ISNUMBER(J83), $B91 * K83, "")</f>
        <v>-13026.315789473685</v>
      </c>
      <c r="M83" s="39"/>
      <c r="N83" s="73" t="str">
        <f t="shared" si="41"/>
        <v/>
      </c>
      <c r="O83" s="136" t="str">
        <f>IF(ISNUMBER(M83), $B91 * N83, "")</f>
        <v/>
      </c>
      <c r="Q83" s="268"/>
      <c r="R83" s="268"/>
      <c r="S83" s="268"/>
    </row>
    <row r="84" spans="1:19" ht="17.25" thickBot="1">
      <c r="A84" s="124" t="s">
        <v>284</v>
      </c>
      <c r="B84" s="125">
        <v>406</v>
      </c>
      <c r="C84" s="73">
        <v>2.0100502499999999E-2</v>
      </c>
      <c r="D84" s="125">
        <v>343</v>
      </c>
      <c r="E84" s="73">
        <f t="shared" si="38"/>
        <v>-0.15517241379310345</v>
      </c>
      <c r="F84" s="136">
        <f>IF(ISNUMBER(D84), $B91 * E84, "")</f>
        <v>-23275.862068965518</v>
      </c>
      <c r="G84" s="39">
        <v>362</v>
      </c>
      <c r="H84" s="73">
        <f t="shared" si="39"/>
        <v>-0.10837438423645321</v>
      </c>
      <c r="I84" s="202">
        <f>IF(ISNUMBER(G84), $B91 * H84, "")</f>
        <v>-16256.157635467982</v>
      </c>
      <c r="J84" s="125">
        <v>360</v>
      </c>
      <c r="K84" s="73">
        <f t="shared" si="40"/>
        <v>-0.11330049261083744</v>
      </c>
      <c r="L84" s="136">
        <f>IF(ISNUMBER(J84), $B91 * K84, "")</f>
        <v>-16995.073891625616</v>
      </c>
      <c r="M84" s="39"/>
      <c r="N84" s="73" t="str">
        <f t="shared" si="41"/>
        <v/>
      </c>
      <c r="O84" s="136" t="str">
        <f>IF(ISNUMBER(M84), $B91 * N84, "")</f>
        <v/>
      </c>
      <c r="Q84" s="278"/>
      <c r="R84" s="278"/>
      <c r="S84" s="278"/>
    </row>
    <row r="85" spans="1:19" ht="17.25" thickBot="1">
      <c r="A85" s="126" t="s">
        <v>156</v>
      </c>
      <c r="B85" s="127">
        <v>153</v>
      </c>
      <c r="C85" s="74">
        <v>0.02</v>
      </c>
      <c r="D85" s="127">
        <v>139</v>
      </c>
      <c r="E85" s="74">
        <f t="shared" si="38"/>
        <v>-9.1503267973856203E-2</v>
      </c>
      <c r="F85" s="203">
        <f>IF(ISNUMBER(D85), $B91 * E85, "")</f>
        <v>-13725.49019607843</v>
      </c>
      <c r="G85" s="44">
        <v>146</v>
      </c>
      <c r="H85" s="74">
        <f t="shared" si="39"/>
        <v>-4.5751633986928102E-2</v>
      </c>
      <c r="I85" s="204">
        <f>IF(ISNUMBER(G85), $B91 * H85, "")</f>
        <v>-6862.745098039215</v>
      </c>
      <c r="J85" s="127">
        <v>145</v>
      </c>
      <c r="K85" s="74">
        <f t="shared" si="40"/>
        <v>-5.2287581699346407E-2</v>
      </c>
      <c r="L85" s="203">
        <f>IF(ISNUMBER(J85), $B91 * K85, "")</f>
        <v>-7843.1372549019607</v>
      </c>
      <c r="M85" s="44"/>
      <c r="N85" s="74" t="str">
        <f t="shared" si="41"/>
        <v/>
      </c>
      <c r="O85" s="203" t="str">
        <f>IF(ISNUMBER(M85), $B91 * N85, "")</f>
        <v/>
      </c>
      <c r="Q85" s="278"/>
      <c r="R85" s="278"/>
      <c r="S85" s="278"/>
    </row>
    <row r="86" spans="1:19" ht="17.25" thickBot="1">
      <c r="A86" s="124" t="s">
        <v>112</v>
      </c>
      <c r="B86" s="128">
        <v>222</v>
      </c>
      <c r="C86" s="76">
        <v>1.83486239E-2</v>
      </c>
      <c r="D86" s="128">
        <v>192</v>
      </c>
      <c r="E86" s="76">
        <f>IF(ISNUMBER(D86), (D86 - $B86) / $B86, "")</f>
        <v>-0.13513513513513514</v>
      </c>
      <c r="F86" s="205">
        <f>IF(ISNUMBER(D86), $B91 * E86, "")</f>
        <v>-20270.27027027027</v>
      </c>
      <c r="G86" s="45">
        <v>200</v>
      </c>
      <c r="H86" s="76">
        <f>IF(ISNUMBER(G86), (G86 - $B86) / $B86, "")</f>
        <v>-9.90990990990991E-2</v>
      </c>
      <c r="I86" s="206">
        <f>IF(ISNUMBER(G86), $B91 * H86, "")</f>
        <v>-14864.864864864865</v>
      </c>
      <c r="J86" s="128">
        <v>199</v>
      </c>
      <c r="K86" s="76">
        <f>IF(ISNUMBER(J86), (J86 - $B86) / $B86, "")</f>
        <v>-0.1036036036036036</v>
      </c>
      <c r="L86" s="205">
        <f>IF(ISNUMBER(J86), $B91 * K86, "")</f>
        <v>-15540.54054054054</v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68"/>
      <c r="R86" s="268"/>
      <c r="S86" s="268"/>
    </row>
    <row r="87" spans="1:19" ht="17.25" thickBot="1">
      <c r="A87" s="124" t="s">
        <v>256</v>
      </c>
      <c r="B87" s="125">
        <v>239</v>
      </c>
      <c r="C87" s="73">
        <v>1.7021276599999999E-2</v>
      </c>
      <c r="D87" s="125">
        <v>199</v>
      </c>
      <c r="E87" s="73">
        <f t="shared" ref="E87:E90" si="42">IF(ISNUMBER(D87), (D87 - $B87) / $B87, "")</f>
        <v>-0.16736401673640167</v>
      </c>
      <c r="F87" s="136">
        <f>IF(ISNUMBER(D87), $B91 * E87, "")</f>
        <v>-25104.602510460249</v>
      </c>
      <c r="G87" s="39">
        <v>218</v>
      </c>
      <c r="H87" s="73">
        <f t="shared" ref="H87:H90" si="43">IF(ISNUMBER(G87), (G87 - $B87) / $B87, "")</f>
        <v>-8.7866108786610872E-2</v>
      </c>
      <c r="I87" s="202">
        <f>IF(ISNUMBER(G87), $B91 * H87, "")</f>
        <v>-13179.91631799163</v>
      </c>
      <c r="J87" s="125">
        <v>216</v>
      </c>
      <c r="K87" s="73">
        <f t="shared" ref="K87:K90" si="44">IF(ISNUMBER(J87), (J87 - $B87) / $B87, "")</f>
        <v>-9.6234309623430964E-2</v>
      </c>
      <c r="L87" s="136">
        <f>IF(ISNUMBER(J87), $B91 * K87, "")</f>
        <v>-14435.146443514644</v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68"/>
      <c r="R87" s="268"/>
      <c r="S87" s="268"/>
    </row>
    <row r="88" spans="1:19" ht="17.25" thickBot="1">
      <c r="A88" s="124" t="s">
        <v>88</v>
      </c>
      <c r="B88" s="125">
        <v>553</v>
      </c>
      <c r="C88" s="73">
        <v>1.6544117600000002E-2</v>
      </c>
      <c r="D88" s="125">
        <v>500</v>
      </c>
      <c r="E88" s="73">
        <f t="shared" si="42"/>
        <v>-9.5840867992766726E-2</v>
      </c>
      <c r="F88" s="136">
        <f>IF(ISNUMBER(D88), $B91 * E88, "")</f>
        <v>-14376.130198915009</v>
      </c>
      <c r="G88" s="39">
        <v>521</v>
      </c>
      <c r="H88" s="73">
        <f t="shared" si="43"/>
        <v>-5.7866184448462928E-2</v>
      </c>
      <c r="I88" s="202">
        <f>IF(ISNUMBER(G88), $B91 * H88, "")</f>
        <v>-8679.9276672694396</v>
      </c>
      <c r="J88" s="125">
        <v>522</v>
      </c>
      <c r="K88" s="73">
        <f t="shared" si="44"/>
        <v>-5.6057866184448461E-2</v>
      </c>
      <c r="L88" s="136">
        <f>IF(ISNUMBER(J88), $B91 * K88, "")</f>
        <v>-8408.67992766727</v>
      </c>
      <c r="M88" s="39"/>
      <c r="N88" s="73" t="str">
        <f t="shared" si="45"/>
        <v/>
      </c>
      <c r="O88" s="136" t="str">
        <f>IF(ISNUMBER(M88), $B91 * N88, "")</f>
        <v/>
      </c>
      <c r="Q88" s="268"/>
      <c r="R88" s="268"/>
      <c r="S88" s="268"/>
    </row>
    <row r="89" spans="1:19">
      <c r="A89" s="124" t="s">
        <v>134</v>
      </c>
      <c r="B89" s="125">
        <v>141</v>
      </c>
      <c r="C89" s="73">
        <v>1.43884892E-2</v>
      </c>
      <c r="D89" s="125">
        <v>124</v>
      </c>
      <c r="E89" s="73">
        <f t="shared" si="42"/>
        <v>-0.12056737588652482</v>
      </c>
      <c r="F89" s="136">
        <f>IF(ISNUMBER(D89), $B91 * E89, "")</f>
        <v>-18085.106382978724</v>
      </c>
      <c r="G89" s="39">
        <v>130</v>
      </c>
      <c r="H89" s="73">
        <f t="shared" si="43"/>
        <v>-7.8014184397163122E-2</v>
      </c>
      <c r="I89" s="202">
        <f>IF(ISNUMBER(G89), $B91 * H89, "")</f>
        <v>-11702.127659574468</v>
      </c>
      <c r="J89" s="125">
        <v>129</v>
      </c>
      <c r="K89" s="73">
        <f t="shared" si="44"/>
        <v>-8.5106382978723402E-2</v>
      </c>
      <c r="L89" s="136">
        <f>IF(ISNUMBER(J89), $B91 * K89, "")</f>
        <v>-12765.95744680851</v>
      </c>
      <c r="M89" s="39"/>
      <c r="N89" s="73" t="str">
        <f t="shared" si="45"/>
        <v/>
      </c>
      <c r="O89" s="136" t="str">
        <f>IF(ISNUMBER(M89), $B91 * N89, "")</f>
        <v/>
      </c>
      <c r="Q89" s="257"/>
      <c r="R89" s="258"/>
      <c r="S89" s="259"/>
    </row>
    <row r="90" spans="1:19" ht="17.25" thickBot="1">
      <c r="A90" s="129" t="s">
        <v>238</v>
      </c>
      <c r="B90" s="130">
        <v>237</v>
      </c>
      <c r="C90" s="75">
        <v>8.5106382999999997E-3</v>
      </c>
      <c r="D90" s="130">
        <v>269</v>
      </c>
      <c r="E90" s="75">
        <f t="shared" si="42"/>
        <v>0.13502109704641349</v>
      </c>
      <c r="F90" s="137">
        <f>IF(ISNUMBER(D90), $B91 * E90, "")</f>
        <v>20253.164556962023</v>
      </c>
      <c r="G90" s="37">
        <v>257</v>
      </c>
      <c r="H90" s="75">
        <f t="shared" si="43"/>
        <v>8.4388185654008435E-2</v>
      </c>
      <c r="I90" s="207">
        <f>IF(ISNUMBER(G90), $B91 * H90, "")</f>
        <v>12658.227848101265</v>
      </c>
      <c r="J90" s="130">
        <v>259</v>
      </c>
      <c r="K90" s="75">
        <f t="shared" si="44"/>
        <v>9.2827004219409287E-2</v>
      </c>
      <c r="L90" s="137">
        <f>IF(ISNUMBER(J90), $B91 * K90, "")</f>
        <v>13924.050632911392</v>
      </c>
      <c r="M90" s="37"/>
      <c r="N90" s="75" t="str">
        <f t="shared" si="45"/>
        <v/>
      </c>
      <c r="O90" s="137" t="str">
        <f>IF(ISNUMBER(M90), $B91 * N90, "")</f>
        <v/>
      </c>
      <c r="Q90" s="260"/>
      <c r="R90" s="261"/>
      <c r="S90" s="262"/>
    </row>
    <row r="91" spans="1:19" ht="17.25" thickBot="1">
      <c r="A91" s="131" t="s">
        <v>301</v>
      </c>
      <c r="B91" s="330">
        <f>$B$37</f>
        <v>150000</v>
      </c>
      <c r="C91" s="331"/>
      <c r="D91" s="131" t="s">
        <v>302</v>
      </c>
      <c r="E91" s="252">
        <f>IF(COUNT(E71:E90), SUM(E71:E90) / COUNT(E71:E90), 0)</f>
        <v>-0.1049508212983264</v>
      </c>
      <c r="F91" s="208">
        <f>SUM(F71:F90)</f>
        <v>-314852.46389497921</v>
      </c>
      <c r="G91" s="131" t="s">
        <v>302</v>
      </c>
      <c r="H91" s="252">
        <f>IF(COUNT(H71:H90), SUM(H71:H90) / COUNT(H71:H90), 0)</f>
        <v>-6.7497299098839753E-2</v>
      </c>
      <c r="I91" s="208">
        <f>SUM(I71:I90)</f>
        <v>-202491.89729651925</v>
      </c>
      <c r="J91" s="131" t="s">
        <v>302</v>
      </c>
      <c r="K91" s="252">
        <f>IF(COUNT(K71:K90), SUM(K71:K90) / COUNT(K71:K90), 0)</f>
        <v>-7.2469714917747327E-2</v>
      </c>
      <c r="L91" s="208">
        <f>SUM(L71:L90)</f>
        <v>-217409.14475324203</v>
      </c>
      <c r="M91" s="131" t="s">
        <v>302</v>
      </c>
      <c r="N91" s="252">
        <f>IF(COUNT(N71:N90), SUM(N71:N90) / COUNT(N71:N90), 0)</f>
        <v>0</v>
      </c>
      <c r="O91" s="208">
        <f>SUM(O71:O90)</f>
        <v>0</v>
      </c>
      <c r="Q91" s="263"/>
      <c r="R91" s="264"/>
      <c r="S91" s="265"/>
    </row>
    <row r="93" spans="1:19" ht="17.25" thickBot="1"/>
    <row r="94" spans="1:19" ht="17.25" thickBot="1">
      <c r="A94" s="279" t="s">
        <v>46</v>
      </c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1"/>
      <c r="Q94" s="278"/>
      <c r="R94" s="278"/>
      <c r="S94" s="278"/>
    </row>
    <row r="95" spans="1:19" ht="17.25" thickBot="1">
      <c r="A95" s="249" t="s">
        <v>298</v>
      </c>
      <c r="B95" s="279" t="s">
        <v>49</v>
      </c>
      <c r="C95" s="281"/>
      <c r="D95" s="279" t="s">
        <v>58</v>
      </c>
      <c r="E95" s="280"/>
      <c r="F95" s="281"/>
      <c r="G95" s="282">
        <f>_xlfn.IFNA(VLOOKUP(B95, 현재가테이블!$B$2:$D$200, 2, FALSE), "-")</f>
        <v>55555000</v>
      </c>
      <c r="H95" s="283"/>
      <c r="I95" s="284"/>
      <c r="J95" s="279" t="s">
        <v>59</v>
      </c>
      <c r="K95" s="280"/>
      <c r="L95" s="281"/>
      <c r="M95" s="285">
        <f>_xlfn.IFNA(VLOOKUP(B95, 현재가테이블!$B$2:$D$200, 3, FALSE), "-")</f>
        <v>-3.6323266700000002E-2</v>
      </c>
      <c r="N95" s="286"/>
      <c r="O95" s="287"/>
      <c r="Q95" s="278"/>
      <c r="R95" s="278"/>
      <c r="S95" s="278"/>
    </row>
    <row r="96" spans="1:19" ht="17.25" thickBot="1">
      <c r="A96" s="332" t="s">
        <v>55</v>
      </c>
      <c r="B96" s="328" t="str">
        <f>TEXT($G$1, "[$-ko-KR]yyyy-mm-dd(ddd) ") &amp; "오전 00:00"</f>
        <v>2021-05-17(월) 오전 00:00</v>
      </c>
      <c r="C96" s="329"/>
      <c r="D96" s="279" t="str">
        <f>TEXT($G$1, "[$-ko-KR]yyyy-mm-dd(ddd) ") &amp; "오후 14:00"</f>
        <v>2021-05-17(월) 오후 14:00</v>
      </c>
      <c r="E96" s="280"/>
      <c r="F96" s="281"/>
      <c r="G96" s="279" t="str">
        <f>TEXT($G$1, "[$-ko-KR]yyyy-mm-dd(ddd) ") &amp; "오후 19:00"</f>
        <v>2021-05-17(월) 오후 19:00</v>
      </c>
      <c r="H96" s="280"/>
      <c r="I96" s="281"/>
      <c r="J96" s="279" t="str">
        <f>TEXT($G$1, "[$-ko-KR]yyyy-mm-dd(ddd) ") &amp; "오후 21:00"</f>
        <v>2021-05-17(월) 오후 21:00</v>
      </c>
      <c r="K96" s="280"/>
      <c r="L96" s="281"/>
      <c r="M96" s="279" t="str">
        <f>TEXT($G$1+1, "[$-ko-KR]yyyy-mm-dd(ddd) ") &amp; "오전 00:00"</f>
        <v>2021-05-18(화) 오전 00:00</v>
      </c>
      <c r="N96" s="280"/>
      <c r="O96" s="281"/>
      <c r="Q96" s="278"/>
      <c r="R96" s="278"/>
      <c r="S96" s="278"/>
    </row>
    <row r="97" spans="1:19" ht="17.25" thickBot="1">
      <c r="A97" s="333"/>
      <c r="B97" s="120" t="s">
        <v>58</v>
      </c>
      <c r="C97" s="121" t="s">
        <v>59</v>
      </c>
      <c r="D97" s="120" t="s">
        <v>58</v>
      </c>
      <c r="E97" s="121" t="s">
        <v>299</v>
      </c>
      <c r="F97" s="256" t="s">
        <v>300</v>
      </c>
      <c r="G97" s="249" t="s">
        <v>58</v>
      </c>
      <c r="H97" s="250" t="s">
        <v>299</v>
      </c>
      <c r="I97" s="251" t="s">
        <v>300</v>
      </c>
      <c r="J97" s="121" t="s">
        <v>58</v>
      </c>
      <c r="K97" s="121" t="s">
        <v>299</v>
      </c>
      <c r="L97" s="254" t="s">
        <v>300</v>
      </c>
      <c r="M97" s="120" t="s">
        <v>58</v>
      </c>
      <c r="N97" s="121" t="s">
        <v>299</v>
      </c>
      <c r="O97" s="255" t="s">
        <v>300</v>
      </c>
      <c r="Q97" s="268"/>
      <c r="R97" s="268"/>
      <c r="S97" s="268"/>
    </row>
    <row r="98" spans="1:19" ht="17.25" thickBot="1">
      <c r="A98" s="122" t="s">
        <v>69</v>
      </c>
      <c r="B98" s="123">
        <v>12170</v>
      </c>
      <c r="C98" s="72">
        <v>0.2280524723</v>
      </c>
      <c r="D98" s="123">
        <v>12680</v>
      </c>
      <c r="E98" s="72">
        <f>IF(ISNUMBER(D98), (D98 - $B98) / $B98, "")</f>
        <v>4.1906327033689399E-2</v>
      </c>
      <c r="F98" s="140">
        <f>IF(ISNUMBER(D98), $B118 * E98, "")</f>
        <v>6285.9490550534101</v>
      </c>
      <c r="G98" s="38">
        <v>12520</v>
      </c>
      <c r="H98" s="72">
        <f>IF(ISNUMBER(G98), (G98 - $B98) / $B98, "")</f>
        <v>2.8759244042728019E-2</v>
      </c>
      <c r="I98" s="201">
        <f>IF(ISNUMBER(G98), $B118 * H98, "")</f>
        <v>4313.8866064092026</v>
      </c>
      <c r="J98" s="123">
        <v>12470</v>
      </c>
      <c r="K98" s="72">
        <f>IF(ISNUMBER(J98), (J98 - $B98) / $B98, "")</f>
        <v>2.4650780608052588E-2</v>
      </c>
      <c r="L98" s="140">
        <f>IF(ISNUMBER(J98), $B118 * K98, "")</f>
        <v>3697.6170912078883</v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78"/>
      <c r="R98" s="278"/>
      <c r="S98" s="278"/>
    </row>
    <row r="99" spans="1:19" ht="17.25" thickBot="1">
      <c r="A99" s="124" t="s">
        <v>184</v>
      </c>
      <c r="B99" s="125">
        <v>2820</v>
      </c>
      <c r="C99" s="73">
        <v>0.16528925620000001</v>
      </c>
      <c r="D99" s="125">
        <v>2270</v>
      </c>
      <c r="E99" s="73">
        <f t="shared" ref="E99:E102" si="46">IF(ISNUMBER(D99), (D99 - $B99) / $B99, "")</f>
        <v>-0.19503546099290781</v>
      </c>
      <c r="F99" s="136">
        <f>IF(ISNUMBER(D99), $B118 * E99, "")</f>
        <v>-29255.319148936171</v>
      </c>
      <c r="G99" s="39">
        <v>2345</v>
      </c>
      <c r="H99" s="73">
        <f t="shared" ref="H99:H102" si="47">IF(ISNUMBER(G99), (G99 - $B99) / $B99, "")</f>
        <v>-0.16843971631205673</v>
      </c>
      <c r="I99" s="202">
        <f>IF(ISNUMBER(G99), $B118 * H99, "")</f>
        <v>-25265.957446808508</v>
      </c>
      <c r="J99" s="125">
        <v>2370</v>
      </c>
      <c r="K99" s="73">
        <f t="shared" ref="K99:K102" si="48">IF(ISNUMBER(J99), (J99 - $B99) / $B99, "")</f>
        <v>-0.15957446808510639</v>
      </c>
      <c r="L99" s="136">
        <f>IF(ISNUMBER(J99), $B118 * K99, "")</f>
        <v>-23936.170212765959</v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78"/>
      <c r="R99" s="278"/>
      <c r="S99" s="278"/>
    </row>
    <row r="100" spans="1:19" ht="17.25" thickBot="1">
      <c r="A100" s="124" t="s">
        <v>51</v>
      </c>
      <c r="B100" s="125">
        <v>921</v>
      </c>
      <c r="C100" s="73">
        <v>7.9718640100000002E-2</v>
      </c>
      <c r="D100" s="125">
        <v>811</v>
      </c>
      <c r="E100" s="73">
        <f t="shared" si="46"/>
        <v>-0.11943539630836048</v>
      </c>
      <c r="F100" s="136">
        <f>IF(ISNUMBER(D100), $B118 * E100, "")</f>
        <v>-17915.309446254072</v>
      </c>
      <c r="G100" s="39">
        <v>866</v>
      </c>
      <c r="H100" s="73">
        <f t="shared" si="47"/>
        <v>-5.9717698154180238E-2</v>
      </c>
      <c r="I100" s="202">
        <f>IF(ISNUMBER(G100), $B118 * H100, "")</f>
        <v>-8957.654723127036</v>
      </c>
      <c r="J100" s="125">
        <v>854</v>
      </c>
      <c r="K100" s="73">
        <f t="shared" si="48"/>
        <v>-7.2747014115092296E-2</v>
      </c>
      <c r="L100" s="136">
        <f>IF(ISNUMBER(J100), $B118 * K100, "")</f>
        <v>-10912.052117263844</v>
      </c>
      <c r="M100" s="39"/>
      <c r="N100" s="73" t="str">
        <f t="shared" si="49"/>
        <v/>
      </c>
      <c r="O100" s="136" t="str">
        <f>IF(ISNUMBER(M100), $B118 * N100, "")</f>
        <v/>
      </c>
      <c r="Q100" s="268"/>
      <c r="R100" s="268"/>
      <c r="S100" s="268"/>
    </row>
    <row r="101" spans="1:19" ht="17.25" thickBot="1">
      <c r="A101" s="124" t="s">
        <v>148</v>
      </c>
      <c r="B101" s="125">
        <v>180</v>
      </c>
      <c r="C101" s="73">
        <v>7.7844311400000005E-2</v>
      </c>
      <c r="D101" s="125">
        <v>162</v>
      </c>
      <c r="E101" s="73">
        <f t="shared" si="46"/>
        <v>-0.1</v>
      </c>
      <c r="F101" s="136">
        <f>IF(ISNUMBER(D101), $B118 * E101, "")</f>
        <v>-15000</v>
      </c>
      <c r="G101" s="39">
        <v>168</v>
      </c>
      <c r="H101" s="73">
        <f t="shared" si="47"/>
        <v>-6.6666666666666666E-2</v>
      </c>
      <c r="I101" s="202">
        <f>IF(ISNUMBER(G101), $B118 * H101, "")</f>
        <v>-10000</v>
      </c>
      <c r="J101" s="125">
        <v>168</v>
      </c>
      <c r="K101" s="73">
        <f t="shared" si="48"/>
        <v>-6.6666666666666666E-2</v>
      </c>
      <c r="L101" s="136">
        <f>IF(ISNUMBER(J101), $B118 * K101, "")</f>
        <v>-10000</v>
      </c>
      <c r="M101" s="39"/>
      <c r="N101" s="73" t="str">
        <f t="shared" si="49"/>
        <v/>
      </c>
      <c r="O101" s="136" t="str">
        <f>IF(ISNUMBER(M101), $B118 * N101, "")</f>
        <v/>
      </c>
      <c r="Q101" s="268"/>
      <c r="R101" s="268"/>
      <c r="S101" s="268"/>
    </row>
    <row r="102" spans="1:19" ht="17.25" thickBot="1">
      <c r="A102" s="126" t="s">
        <v>54</v>
      </c>
      <c r="B102" s="127">
        <v>420</v>
      </c>
      <c r="C102" s="74">
        <v>7.4168797999999994E-2</v>
      </c>
      <c r="D102" s="127">
        <v>368</v>
      </c>
      <c r="E102" s="74">
        <f t="shared" si="46"/>
        <v>-0.12380952380952381</v>
      </c>
      <c r="F102" s="203">
        <f>IF(ISNUMBER(D102), $B118 * E102, "")</f>
        <v>-18571.428571428572</v>
      </c>
      <c r="G102" s="44">
        <v>384</v>
      </c>
      <c r="H102" s="74">
        <f t="shared" si="47"/>
        <v>-8.5714285714285715E-2</v>
      </c>
      <c r="I102" s="204">
        <f>IF(ISNUMBER(G102), $B118 * H102, "")</f>
        <v>-12857.142857142857</v>
      </c>
      <c r="J102" s="127">
        <v>379</v>
      </c>
      <c r="K102" s="74">
        <f t="shared" si="48"/>
        <v>-9.7619047619047619E-2</v>
      </c>
      <c r="L102" s="203">
        <f>IF(ISNUMBER(J102), $B118 * K102, "")</f>
        <v>-14642.857142857143</v>
      </c>
      <c r="M102" s="44"/>
      <c r="N102" s="74" t="str">
        <f t="shared" si="49"/>
        <v/>
      </c>
      <c r="O102" s="203" t="str">
        <f>IF(ISNUMBER(M102), $B118 * N102, "")</f>
        <v/>
      </c>
      <c r="Q102" s="268"/>
      <c r="R102" s="268"/>
      <c r="S102" s="268"/>
    </row>
    <row r="103" spans="1:19" ht="17.25" thickBot="1">
      <c r="A103" s="124" t="s">
        <v>168</v>
      </c>
      <c r="B103" s="128">
        <v>218</v>
      </c>
      <c r="C103" s="76">
        <v>7.3891625599999997E-2</v>
      </c>
      <c r="D103" s="128">
        <v>186</v>
      </c>
      <c r="E103" s="76">
        <f>IF(ISNUMBER(D103), (D103 - $B103) / $B103, "")</f>
        <v>-0.14678899082568808</v>
      </c>
      <c r="F103" s="205">
        <f>IF(ISNUMBER(D103), $B118 * E103, "")</f>
        <v>-22018.348623853213</v>
      </c>
      <c r="G103" s="45">
        <v>200</v>
      </c>
      <c r="H103" s="76">
        <f>IF(ISNUMBER(G103), (G103 - $B103) / $B103, "")</f>
        <v>-8.2568807339449546E-2</v>
      </c>
      <c r="I103" s="206">
        <f>IF(ISNUMBER(G103), $B118 * H103, "")</f>
        <v>-12385.321100917432</v>
      </c>
      <c r="J103" s="128">
        <v>196</v>
      </c>
      <c r="K103" s="76">
        <f>IF(ISNUMBER(J103), (J103 - $B103) / $B103, "")</f>
        <v>-0.10091743119266056</v>
      </c>
      <c r="L103" s="205">
        <f>IF(ISNUMBER(J103), $B118 * K103, "")</f>
        <v>-15137.614678899083</v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68"/>
      <c r="R103" s="268"/>
      <c r="S103" s="268"/>
    </row>
    <row r="104" spans="1:19" ht="17.25" thickBot="1">
      <c r="A104" s="124" t="s">
        <v>214</v>
      </c>
      <c r="B104" s="125">
        <v>20.100000000000001</v>
      </c>
      <c r="C104" s="73">
        <v>6.3492063500000001E-2</v>
      </c>
      <c r="D104" s="125">
        <v>17.5</v>
      </c>
      <c r="E104" s="73">
        <f t="shared" ref="E104:E107" si="50">IF(ISNUMBER(D104), (D104 - $B104) / $B104, "")</f>
        <v>-0.12935323383084582</v>
      </c>
      <c r="F104" s="136">
        <f>IF(ISNUMBER(D104), $B118 * E104, "")</f>
        <v>-19402.985074626875</v>
      </c>
      <c r="G104" s="39">
        <v>18.3</v>
      </c>
      <c r="H104" s="73">
        <f t="shared" ref="H104:H107" si="51">IF(ISNUMBER(G104), (G104 - $B104) / $B104, "")</f>
        <v>-8.9552238805970172E-2</v>
      </c>
      <c r="I104" s="202">
        <f>IF(ISNUMBER(G104), $B118 * H104, "")</f>
        <v>-13432.835820895525</v>
      </c>
      <c r="J104" s="125">
        <v>18.399999999999999</v>
      </c>
      <c r="K104" s="73">
        <f t="shared" ref="K104:K107" si="52">IF(ISNUMBER(J104), (J104 - $B104) / $B104, "")</f>
        <v>-8.4577114427860825E-2</v>
      </c>
      <c r="L104" s="136">
        <f>IF(ISNUMBER(J104), $B118 * K104, "")</f>
        <v>-12686.567164179123</v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68"/>
      <c r="R104" s="268"/>
      <c r="S104" s="268"/>
    </row>
    <row r="105" spans="1:19" ht="17.25" thickBot="1">
      <c r="A105" s="124" t="s">
        <v>142</v>
      </c>
      <c r="B105" s="125">
        <v>420</v>
      </c>
      <c r="C105" s="73">
        <v>6.3291139199999999E-2</v>
      </c>
      <c r="D105" s="125">
        <v>431</v>
      </c>
      <c r="E105" s="73">
        <f t="shared" si="50"/>
        <v>2.6190476190476191E-2</v>
      </c>
      <c r="F105" s="136">
        <f>IF(ISNUMBER(D105), $B118 * E105, "")</f>
        <v>3928.5714285714284</v>
      </c>
      <c r="G105" s="39">
        <v>413</v>
      </c>
      <c r="H105" s="73">
        <f t="shared" si="51"/>
        <v>-1.6666666666666666E-2</v>
      </c>
      <c r="I105" s="202">
        <f>IF(ISNUMBER(G105), $B118 * H105, "")</f>
        <v>-2500</v>
      </c>
      <c r="J105" s="125">
        <v>426</v>
      </c>
      <c r="K105" s="73">
        <f t="shared" si="52"/>
        <v>1.4285714285714285E-2</v>
      </c>
      <c r="L105" s="136">
        <f>IF(ISNUMBER(J105), $B118 * K105, "")</f>
        <v>2142.8571428571427</v>
      </c>
      <c r="M105" s="39"/>
      <c r="N105" s="73" t="str">
        <f t="shared" si="53"/>
        <v/>
      </c>
      <c r="O105" s="136" t="str">
        <f>IF(ISNUMBER(M105), $B118 * N105, "")</f>
        <v/>
      </c>
      <c r="Q105" s="268"/>
      <c r="R105" s="268"/>
      <c r="S105" s="268"/>
    </row>
    <row r="106" spans="1:19" ht="17.25" thickBot="1">
      <c r="A106" s="124" t="s">
        <v>122</v>
      </c>
      <c r="B106" s="125">
        <v>106</v>
      </c>
      <c r="C106" s="73">
        <v>0.06</v>
      </c>
      <c r="D106" s="125">
        <v>89.4</v>
      </c>
      <c r="E106" s="73">
        <f t="shared" si="50"/>
        <v>-0.1566037735849056</v>
      </c>
      <c r="F106" s="136">
        <f>IF(ISNUMBER(D106), $B118 * E106, "")</f>
        <v>-23490.56603773584</v>
      </c>
      <c r="G106" s="39">
        <v>92.8</v>
      </c>
      <c r="H106" s="73">
        <f t="shared" si="51"/>
        <v>-0.12452830188679248</v>
      </c>
      <c r="I106" s="202">
        <f>IF(ISNUMBER(G106), $B118 * H106, "")</f>
        <v>-18679.24528301887</v>
      </c>
      <c r="J106" s="125">
        <v>92.6</v>
      </c>
      <c r="K106" s="73">
        <f t="shared" si="52"/>
        <v>-0.1264150943396227</v>
      </c>
      <c r="L106" s="136">
        <f>IF(ISNUMBER(J106), $B118 * K106, "")</f>
        <v>-18962.264150943403</v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236</v>
      </c>
      <c r="B107" s="130">
        <v>72.5</v>
      </c>
      <c r="C107" s="75">
        <v>5.2249637199999997E-2</v>
      </c>
      <c r="D107" s="130">
        <v>64.400000000000006</v>
      </c>
      <c r="E107" s="75">
        <f t="shared" si="50"/>
        <v>-0.1117241379310344</v>
      </c>
      <c r="F107" s="137">
        <f>IF(ISNUMBER(D107), $B118 * E107, "")</f>
        <v>-16758.620689655159</v>
      </c>
      <c r="G107" s="37">
        <v>66.8</v>
      </c>
      <c r="H107" s="75">
        <f t="shared" si="51"/>
        <v>-7.8620689655172452E-2</v>
      </c>
      <c r="I107" s="207">
        <f>IF(ISNUMBER(G107), $B118 * H107, "")</f>
        <v>-11793.103448275868</v>
      </c>
      <c r="J107" s="130">
        <v>66.900000000000006</v>
      </c>
      <c r="K107" s="75">
        <f t="shared" si="52"/>
        <v>-7.7241379310344749E-2</v>
      </c>
      <c r="L107" s="137">
        <f>IF(ISNUMBER(J107), $B118 * K107, "")</f>
        <v>-11586.206896551712</v>
      </c>
      <c r="M107" s="37"/>
      <c r="N107" s="75" t="str">
        <f t="shared" si="53"/>
        <v/>
      </c>
      <c r="O107" s="137" t="str">
        <f>IF(ISNUMBER(M107), $B118 * N107, "")</f>
        <v/>
      </c>
      <c r="Q107" s="269"/>
      <c r="R107" s="270"/>
      <c r="S107" s="271"/>
    </row>
    <row r="108" spans="1:19">
      <c r="A108" s="122" t="s">
        <v>106</v>
      </c>
      <c r="B108" s="123">
        <v>2040</v>
      </c>
      <c r="C108" s="72">
        <v>5.1546391800000001E-2</v>
      </c>
      <c r="D108" s="123">
        <v>1805</v>
      </c>
      <c r="E108" s="72">
        <f>IF(ISNUMBER(D108), (D108 - $B108) / $B108, "")</f>
        <v>-0.11519607843137254</v>
      </c>
      <c r="F108" s="140">
        <f>IF(ISNUMBER(D108), $B118 * E108, "")</f>
        <v>-17279.411764705881</v>
      </c>
      <c r="G108" s="38">
        <v>1895</v>
      </c>
      <c r="H108" s="72">
        <f>IF(ISNUMBER(G108), (G108 - $B108) / $B108, "")</f>
        <v>-7.1078431372549017E-2</v>
      </c>
      <c r="I108" s="201">
        <f>IF(ISNUMBER(G108), $B118 * H108, "")</f>
        <v>-10661.764705882353</v>
      </c>
      <c r="J108" s="123">
        <v>1885</v>
      </c>
      <c r="K108" s="72">
        <f>IF(ISNUMBER(J108), (J108 - $B108) / $B108, "")</f>
        <v>-7.5980392156862739E-2</v>
      </c>
      <c r="L108" s="140">
        <f>IF(ISNUMBER(J108), $B118 * K108, "")</f>
        <v>-11397.058823529411</v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72"/>
      <c r="R108" s="273"/>
      <c r="S108" s="274"/>
    </row>
    <row r="109" spans="1:19" ht="17.25" thickBot="1">
      <c r="A109" s="124" t="s">
        <v>110</v>
      </c>
      <c r="B109" s="125">
        <v>2635</v>
      </c>
      <c r="C109" s="73">
        <v>4.7713717699999998E-2</v>
      </c>
      <c r="D109" s="125">
        <v>2285</v>
      </c>
      <c r="E109" s="73">
        <f t="shared" ref="E109:E112" si="54">IF(ISNUMBER(D109), (D109 - $B109) / $B109, "")</f>
        <v>-0.13282732447817835</v>
      </c>
      <c r="F109" s="136">
        <f>IF(ISNUMBER(D109), $B118 * E109, "")</f>
        <v>-19924.098671726751</v>
      </c>
      <c r="G109" s="39">
        <v>2390</v>
      </c>
      <c r="H109" s="73">
        <f t="shared" ref="H109:H112" si="55">IF(ISNUMBER(G109), (G109 - $B109) / $B109, "")</f>
        <v>-9.2979127134724851E-2</v>
      </c>
      <c r="I109" s="202">
        <f>IF(ISNUMBER(G109), $B118 * H109, "")</f>
        <v>-13946.869070208728</v>
      </c>
      <c r="J109" s="125">
        <v>2390</v>
      </c>
      <c r="K109" s="73">
        <f t="shared" ref="K109:K112" si="56">IF(ISNUMBER(J109), (J109 - $B109) / $B109, "")</f>
        <v>-9.2979127134724851E-2</v>
      </c>
      <c r="L109" s="136">
        <f>IF(ISNUMBER(J109), $B118 * K109, "")</f>
        <v>-13946.869070208728</v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75"/>
      <c r="R109" s="276"/>
      <c r="S109" s="277"/>
    </row>
    <row r="110" spans="1:19" ht="17.25" thickBot="1">
      <c r="A110" s="124" t="s">
        <v>186</v>
      </c>
      <c r="B110" s="125">
        <v>23</v>
      </c>
      <c r="C110" s="73">
        <v>4.5454545499999999E-2</v>
      </c>
      <c r="D110" s="125">
        <v>21.2</v>
      </c>
      <c r="E110" s="73">
        <f t="shared" si="54"/>
        <v>-7.8260869565217425E-2</v>
      </c>
      <c r="F110" s="136">
        <f>IF(ISNUMBER(D110), $B118 * E110, "")</f>
        <v>-11739.130434782614</v>
      </c>
      <c r="G110" s="39">
        <v>21.7</v>
      </c>
      <c r="H110" s="73">
        <f t="shared" si="55"/>
        <v>-5.652173913043481E-2</v>
      </c>
      <c r="I110" s="202">
        <f>IF(ISNUMBER(G110), $B118 * H110, "")</f>
        <v>-8478.2608695652216</v>
      </c>
      <c r="J110" s="125">
        <v>21.6</v>
      </c>
      <c r="K110" s="73">
        <f t="shared" si="56"/>
        <v>-6.0869565217391244E-2</v>
      </c>
      <c r="L110" s="136">
        <f>IF(ISNUMBER(J110), $B118 * K110, "")</f>
        <v>-9130.4347826086869</v>
      </c>
      <c r="M110" s="39"/>
      <c r="N110" s="73" t="str">
        <f t="shared" si="57"/>
        <v/>
      </c>
      <c r="O110" s="136" t="str">
        <f>IF(ISNUMBER(M110), $B118 * N110, "")</f>
        <v/>
      </c>
      <c r="Q110" s="268"/>
      <c r="R110" s="268"/>
      <c r="S110" s="268"/>
    </row>
    <row r="111" spans="1:19" ht="17.25" thickBot="1">
      <c r="A111" s="124" t="s">
        <v>144</v>
      </c>
      <c r="B111" s="125">
        <v>12220</v>
      </c>
      <c r="C111" s="73">
        <v>4.4444444399999998E-2</v>
      </c>
      <c r="D111" s="125">
        <v>10460</v>
      </c>
      <c r="E111" s="73">
        <f t="shared" si="54"/>
        <v>-0.14402618657937807</v>
      </c>
      <c r="F111" s="136">
        <f>IF(ISNUMBER(D111), $B118 * E111, "")</f>
        <v>-21603.92798690671</v>
      </c>
      <c r="G111" s="39">
        <v>10990</v>
      </c>
      <c r="H111" s="73">
        <f t="shared" si="55"/>
        <v>-0.10065466448445172</v>
      </c>
      <c r="I111" s="202">
        <f>IF(ISNUMBER(G111), $B118 * H111, "")</f>
        <v>-15098.199672667757</v>
      </c>
      <c r="J111" s="125">
        <v>10900</v>
      </c>
      <c r="K111" s="73">
        <f t="shared" si="56"/>
        <v>-0.10801963993453355</v>
      </c>
      <c r="L111" s="136">
        <f>IF(ISNUMBER(J111), $B118 * K111, "")</f>
        <v>-16202.945990180033</v>
      </c>
      <c r="M111" s="39"/>
      <c r="N111" s="73" t="str">
        <f t="shared" si="57"/>
        <v/>
      </c>
      <c r="O111" s="136" t="str">
        <f>IF(ISNUMBER(M111), $B118 * N111, "")</f>
        <v/>
      </c>
      <c r="Q111" s="278"/>
      <c r="R111" s="278"/>
      <c r="S111" s="278"/>
    </row>
    <row r="112" spans="1:19" ht="17.25" thickBot="1">
      <c r="A112" s="126" t="s">
        <v>84</v>
      </c>
      <c r="B112" s="127">
        <v>2835</v>
      </c>
      <c r="C112" s="74">
        <v>4.4198895000000002E-2</v>
      </c>
      <c r="D112" s="127">
        <v>2650</v>
      </c>
      <c r="E112" s="74">
        <f t="shared" si="54"/>
        <v>-6.5255731922398585E-2</v>
      </c>
      <c r="F112" s="203">
        <f>IF(ISNUMBER(D112), $B118 * E112, "")</f>
        <v>-9788.3597883597886</v>
      </c>
      <c r="G112" s="44">
        <v>2695</v>
      </c>
      <c r="H112" s="74">
        <f t="shared" si="55"/>
        <v>-4.9382716049382713E-2</v>
      </c>
      <c r="I112" s="204">
        <f>IF(ISNUMBER(G112), $B118 * H112, "")</f>
        <v>-7407.4074074074069</v>
      </c>
      <c r="J112" s="127">
        <v>2655</v>
      </c>
      <c r="K112" s="74">
        <f t="shared" si="56"/>
        <v>-6.3492063492063489E-2</v>
      </c>
      <c r="L112" s="203">
        <f>IF(ISNUMBER(J112), $B118 * K112, "")</f>
        <v>-9523.8095238095229</v>
      </c>
      <c r="M112" s="44"/>
      <c r="N112" s="74" t="str">
        <f t="shared" si="57"/>
        <v/>
      </c>
      <c r="O112" s="203" t="str">
        <f>IF(ISNUMBER(M112), $B118 * N112, "")</f>
        <v/>
      </c>
      <c r="Q112" s="278"/>
      <c r="R112" s="278"/>
      <c r="S112" s="278"/>
    </row>
    <row r="113" spans="1:19" ht="17.25" thickBot="1">
      <c r="A113" s="124" t="s">
        <v>132</v>
      </c>
      <c r="B113" s="128">
        <v>225</v>
      </c>
      <c r="C113" s="76">
        <v>4.16666667E-2</v>
      </c>
      <c r="D113" s="128">
        <v>198</v>
      </c>
      <c r="E113" s="76">
        <f>IF(ISNUMBER(D113), (D113 - $B113) / $B113, "")</f>
        <v>-0.12</v>
      </c>
      <c r="F113" s="205">
        <f>IF(ISNUMBER(D113), $B118 * E113, "")</f>
        <v>-18000</v>
      </c>
      <c r="G113" s="45">
        <v>210</v>
      </c>
      <c r="H113" s="76">
        <f>IF(ISNUMBER(G113), (G113 - $B113) / $B113, "")</f>
        <v>-6.6666666666666666E-2</v>
      </c>
      <c r="I113" s="206">
        <f>IF(ISNUMBER(G113), $B118 * H113, "")</f>
        <v>-10000</v>
      </c>
      <c r="J113" s="128">
        <v>206</v>
      </c>
      <c r="K113" s="76">
        <f>IF(ISNUMBER(J113), (J113 - $B113) / $B113, "")</f>
        <v>-8.4444444444444447E-2</v>
      </c>
      <c r="L113" s="205">
        <f>IF(ISNUMBER(J113), $B118 * K113, "")</f>
        <v>-12666.666666666668</v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68"/>
      <c r="R113" s="268"/>
      <c r="S113" s="268"/>
    </row>
    <row r="114" spans="1:19" ht="17.25" thickBot="1">
      <c r="A114" s="124" t="s">
        <v>114</v>
      </c>
      <c r="B114" s="125">
        <v>12150</v>
      </c>
      <c r="C114" s="73">
        <v>4.11311054E-2</v>
      </c>
      <c r="D114" s="125">
        <v>11390</v>
      </c>
      <c r="E114" s="73">
        <f t="shared" ref="E114:E117" si="58">IF(ISNUMBER(D114), (D114 - $B114) / $B114, "")</f>
        <v>-6.2551440329218111E-2</v>
      </c>
      <c r="F114" s="136">
        <f>IF(ISNUMBER(D114), $B118 * E114, "")</f>
        <v>-9382.7160493827159</v>
      </c>
      <c r="G114" s="39">
        <v>12050</v>
      </c>
      <c r="H114" s="73">
        <f t="shared" ref="H114:H117" si="59">IF(ISNUMBER(G114), (G114 - $B114) / $B114, "")</f>
        <v>-8.23045267489712E-3</v>
      </c>
      <c r="I114" s="202">
        <f>IF(ISNUMBER(G114), $B118 * H114, "")</f>
        <v>-1234.5679012345679</v>
      </c>
      <c r="J114" s="125">
        <v>12840</v>
      </c>
      <c r="K114" s="73">
        <f t="shared" ref="K114:K117" si="60">IF(ISNUMBER(J114), (J114 - $B114) / $B114, "")</f>
        <v>5.6790123456790124E-2</v>
      </c>
      <c r="L114" s="136">
        <f>IF(ISNUMBER(J114), $B118 * K114, "")</f>
        <v>8518.5185185185182</v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68"/>
      <c r="R114" s="268"/>
      <c r="S114" s="268"/>
    </row>
    <row r="115" spans="1:19" ht="17.25" thickBot="1">
      <c r="A115" s="124" t="s">
        <v>160</v>
      </c>
      <c r="B115" s="125">
        <v>2540</v>
      </c>
      <c r="C115" s="73">
        <v>4.09836066E-2</v>
      </c>
      <c r="D115" s="125">
        <v>2220</v>
      </c>
      <c r="E115" s="73">
        <f t="shared" si="58"/>
        <v>-0.12598425196850394</v>
      </c>
      <c r="F115" s="136">
        <f>IF(ISNUMBER(D115), $B118 * E115, "")</f>
        <v>-18897.63779527559</v>
      </c>
      <c r="G115" s="39">
        <v>2325</v>
      </c>
      <c r="H115" s="73">
        <f t="shared" si="59"/>
        <v>-8.4645669291338585E-2</v>
      </c>
      <c r="I115" s="202">
        <f>IF(ISNUMBER(G115), $B118 * H115, "")</f>
        <v>-12696.850393700788</v>
      </c>
      <c r="J115" s="125">
        <v>2325</v>
      </c>
      <c r="K115" s="73">
        <f t="shared" si="60"/>
        <v>-8.4645669291338585E-2</v>
      </c>
      <c r="L115" s="136">
        <f>IF(ISNUMBER(J115), $B118 * K115, "")</f>
        <v>-12696.850393700788</v>
      </c>
      <c r="M115" s="39"/>
      <c r="N115" s="73" t="str">
        <f t="shared" si="61"/>
        <v/>
      </c>
      <c r="O115" s="136" t="str">
        <f>IF(ISNUMBER(M115), $B118 * N115, "")</f>
        <v/>
      </c>
      <c r="Q115" s="268"/>
      <c r="R115" s="268"/>
      <c r="S115" s="268"/>
    </row>
    <row r="116" spans="1:19">
      <c r="A116" s="124" t="s">
        <v>136</v>
      </c>
      <c r="B116" s="125">
        <v>235</v>
      </c>
      <c r="C116" s="73">
        <v>3.9823008799999997E-2</v>
      </c>
      <c r="D116" s="125">
        <v>205</v>
      </c>
      <c r="E116" s="73">
        <f t="shared" si="58"/>
        <v>-0.1276595744680851</v>
      </c>
      <c r="F116" s="136">
        <f>IF(ISNUMBER(D116), $B118 * E116, "")</f>
        <v>-19148.936170212764</v>
      </c>
      <c r="G116" s="39">
        <v>217</v>
      </c>
      <c r="H116" s="73">
        <f t="shared" si="59"/>
        <v>-7.6595744680851063E-2</v>
      </c>
      <c r="I116" s="202">
        <f>IF(ISNUMBER(G116), $B118 * H116, "")</f>
        <v>-11489.361702127659</v>
      </c>
      <c r="J116" s="125">
        <v>213</v>
      </c>
      <c r="K116" s="73">
        <f t="shared" si="60"/>
        <v>-9.3617021276595741E-2</v>
      </c>
      <c r="L116" s="136">
        <f>IF(ISNUMBER(J116), $B118 * K116, "")</f>
        <v>-14042.553191489362</v>
      </c>
      <c r="M116" s="39"/>
      <c r="N116" s="73" t="str">
        <f t="shared" si="61"/>
        <v/>
      </c>
      <c r="O116" s="136" t="str">
        <f>IF(ISNUMBER(M116), $B118 * N116, "")</f>
        <v/>
      </c>
      <c r="Q116" s="257"/>
      <c r="R116" s="258"/>
      <c r="S116" s="259"/>
    </row>
    <row r="117" spans="1:19" ht="17.25" thickBot="1">
      <c r="A117" s="129" t="s">
        <v>65</v>
      </c>
      <c r="B117" s="130">
        <v>62.5</v>
      </c>
      <c r="C117" s="75">
        <v>3.6484245399999997E-2</v>
      </c>
      <c r="D117" s="130">
        <v>56.8</v>
      </c>
      <c r="E117" s="75">
        <f t="shared" si="58"/>
        <v>-9.1200000000000045E-2</v>
      </c>
      <c r="F117" s="137">
        <f>IF(ISNUMBER(D117), $B118 * E117, "")</f>
        <v>-13680.000000000007</v>
      </c>
      <c r="G117" s="37">
        <v>59.3</v>
      </c>
      <c r="H117" s="75">
        <f t="shared" si="59"/>
        <v>-5.1200000000000044E-2</v>
      </c>
      <c r="I117" s="207">
        <f>IF(ISNUMBER(G117), $B118 * H117, "")</f>
        <v>-7680.0000000000064</v>
      </c>
      <c r="J117" s="130">
        <v>58.8</v>
      </c>
      <c r="K117" s="75">
        <f t="shared" si="60"/>
        <v>-5.9200000000000044E-2</v>
      </c>
      <c r="L117" s="137">
        <f>IF(ISNUMBER(J117), $B118 * K117, "")</f>
        <v>-8880.0000000000073</v>
      </c>
      <c r="M117" s="37"/>
      <c r="N117" s="75" t="str">
        <f t="shared" si="61"/>
        <v/>
      </c>
      <c r="O117" s="137" t="str">
        <f>IF(ISNUMBER(M117), $B118 * N117, "")</f>
        <v/>
      </c>
      <c r="Q117" s="260"/>
      <c r="R117" s="261"/>
      <c r="S117" s="262"/>
    </row>
    <row r="118" spans="1:19" ht="17.25" thickBot="1">
      <c r="A118" s="131" t="s">
        <v>301</v>
      </c>
      <c r="B118" s="330">
        <f>$B$37</f>
        <v>150000</v>
      </c>
      <c r="C118" s="331"/>
      <c r="D118" s="131" t="s">
        <v>302</v>
      </c>
      <c r="E118" s="252">
        <f>IF(COUNT(E98:E117), SUM(E98:E117) / COUNT(E98:E117), 0)</f>
        <v>-0.10388075859007262</v>
      </c>
      <c r="F118" s="208">
        <f>SUM(F98:F117)</f>
        <v>-311642.27577021782</v>
      </c>
      <c r="G118" s="131" t="s">
        <v>302</v>
      </c>
      <c r="H118" s="252">
        <f>IF(COUNT(H98:H117), SUM(H98:H117) / COUNT(H98:H117), 0)</f>
        <v>-7.0083551932190472E-2</v>
      </c>
      <c r="I118" s="208">
        <f>SUM(I98:I117)</f>
        <v>-210250.6557965714</v>
      </c>
      <c r="J118" s="131" t="s">
        <v>302</v>
      </c>
      <c r="K118" s="252">
        <f>IF(COUNT(K98:K117), SUM(K98:K117) / COUNT(K98:K117), 0)</f>
        <v>-7.0663976017690006E-2</v>
      </c>
      <c r="L118" s="208">
        <f>SUM(L98:L117)</f>
        <v>-211991.92805306992</v>
      </c>
      <c r="M118" s="131" t="s">
        <v>302</v>
      </c>
      <c r="N118" s="252">
        <f>IF(COUNT(N98:N117), SUM(N98:N117) / COUNT(N98:N117), 0)</f>
        <v>0</v>
      </c>
      <c r="O118" s="208">
        <f>SUM(O98:O117)</f>
        <v>0</v>
      </c>
      <c r="Q118" s="263"/>
      <c r="R118" s="264"/>
      <c r="S118" s="265"/>
    </row>
    <row r="120" spans="1:19" ht="17.25" thickBot="1"/>
    <row r="121" spans="1:19" ht="17.25" thickBot="1">
      <c r="A121" s="279" t="s">
        <v>288</v>
      </c>
      <c r="B121" s="280"/>
      <c r="C121" s="280"/>
      <c r="D121" s="280"/>
      <c r="E121" s="280"/>
      <c r="F121" s="280"/>
      <c r="G121" s="280"/>
      <c r="H121" s="280"/>
      <c r="I121" s="280"/>
      <c r="J121" s="280"/>
      <c r="K121" s="280"/>
      <c r="L121" s="280"/>
      <c r="M121" s="280"/>
      <c r="N121" s="280"/>
      <c r="O121" s="281"/>
      <c r="Q121" s="278"/>
      <c r="R121" s="278"/>
      <c r="S121" s="278"/>
    </row>
    <row r="122" spans="1:19" ht="17.25" thickBot="1">
      <c r="A122" s="249" t="s">
        <v>298</v>
      </c>
      <c r="B122" s="279" t="s">
        <v>36</v>
      </c>
      <c r="C122" s="281"/>
      <c r="D122" s="279" t="s">
        <v>58</v>
      </c>
      <c r="E122" s="280"/>
      <c r="F122" s="281"/>
      <c r="G122" s="282">
        <f>_xlfn.IFNA(VLOOKUP(B122, 현재가테이블!$B$2:$D$200, 2, FALSE), "-")</f>
        <v>55555000</v>
      </c>
      <c r="H122" s="283"/>
      <c r="I122" s="284"/>
      <c r="J122" s="279" t="s">
        <v>59</v>
      </c>
      <c r="K122" s="280"/>
      <c r="L122" s="281"/>
      <c r="M122" s="285">
        <f>_xlfn.IFNA(VLOOKUP(B122, 현재가테이블!$B$2:$D$200, 3, FALSE), "-")</f>
        <v>-3.6323266700000002E-2</v>
      </c>
      <c r="N122" s="286"/>
      <c r="O122" s="287"/>
      <c r="Q122" s="278"/>
      <c r="R122" s="278"/>
      <c r="S122" s="278"/>
    </row>
    <row r="123" spans="1:19" ht="17.25" thickBot="1">
      <c r="A123" s="332" t="s">
        <v>55</v>
      </c>
      <c r="B123" s="328" t="str">
        <f>TEXT($G$1, "[$-ko-KR]yyyy-mm-dd(ddd) ") &amp; "오전 00:00"</f>
        <v>2021-05-17(월) 오전 00:00</v>
      </c>
      <c r="C123" s="329"/>
      <c r="D123" s="279" t="str">
        <f>TEXT($G$1, "[$-ko-KR]yyyy-mm-dd(ddd) ") &amp; "오후 14:00"</f>
        <v>2021-05-17(월) 오후 14:00</v>
      </c>
      <c r="E123" s="280"/>
      <c r="F123" s="281"/>
      <c r="G123" s="279" t="str">
        <f>TEXT($G$1, "[$-ko-KR]yyyy-mm-dd(ddd) ") &amp; "오후 19:00"</f>
        <v>2021-05-17(월) 오후 19:00</v>
      </c>
      <c r="H123" s="280"/>
      <c r="I123" s="281"/>
      <c r="J123" s="279" t="str">
        <f>TEXT($G$1, "[$-ko-KR]yyyy-mm-dd(ddd) ") &amp; "오후 21:00"</f>
        <v>2021-05-17(월) 오후 21:00</v>
      </c>
      <c r="K123" s="280"/>
      <c r="L123" s="281"/>
      <c r="M123" s="279" t="str">
        <f>TEXT($G$1+1, "[$-ko-KR]yyyy-mm-dd(ddd) ") &amp; "오전 00:00"</f>
        <v>2021-05-18(화) 오전 00:00</v>
      </c>
      <c r="N123" s="280"/>
      <c r="O123" s="281"/>
      <c r="Q123" s="278"/>
      <c r="R123" s="278"/>
      <c r="S123" s="278"/>
    </row>
    <row r="124" spans="1:19" ht="17.25" thickBot="1">
      <c r="A124" s="333"/>
      <c r="B124" s="120" t="s">
        <v>58</v>
      </c>
      <c r="C124" s="121" t="s">
        <v>59</v>
      </c>
      <c r="D124" s="120" t="s">
        <v>58</v>
      </c>
      <c r="E124" s="121" t="s">
        <v>299</v>
      </c>
      <c r="F124" s="256" t="s">
        <v>300</v>
      </c>
      <c r="G124" s="249" t="s">
        <v>58</v>
      </c>
      <c r="H124" s="250" t="s">
        <v>299</v>
      </c>
      <c r="I124" s="251" t="s">
        <v>300</v>
      </c>
      <c r="J124" s="121" t="s">
        <v>58</v>
      </c>
      <c r="K124" s="121" t="s">
        <v>299</v>
      </c>
      <c r="L124" s="254" t="s">
        <v>300</v>
      </c>
      <c r="M124" s="120" t="s">
        <v>58</v>
      </c>
      <c r="N124" s="121" t="s">
        <v>299</v>
      </c>
      <c r="O124" s="255" t="s">
        <v>300</v>
      </c>
      <c r="Q124" s="268"/>
      <c r="R124" s="268"/>
      <c r="S124" s="268"/>
    </row>
    <row r="125" spans="1:19" ht="17.25" thickBot="1">
      <c r="A125" s="122" t="s">
        <v>214</v>
      </c>
      <c r="B125" s="123">
        <v>20.100000000000001</v>
      </c>
      <c r="C125" s="72">
        <v>6.3492063500000001E-2</v>
      </c>
      <c r="D125" s="123">
        <v>17.5</v>
      </c>
      <c r="E125" s="72">
        <f>IF(ISNUMBER(D125), (D125 - $B125) / $B125, "")</f>
        <v>-0.12935323383084582</v>
      </c>
      <c r="F125" s="140">
        <f>IF(ISNUMBER(D125), $B145 * E125, "")</f>
        <v>-19402.985074626875</v>
      </c>
      <c r="G125" s="38">
        <v>18.3</v>
      </c>
      <c r="H125" s="72">
        <f>IF(ISNUMBER(G125), (G125 - $B125) / $B125, "")</f>
        <v>-8.9552238805970172E-2</v>
      </c>
      <c r="I125" s="201">
        <f>IF(ISNUMBER(G125), $B145 * H125, "")</f>
        <v>-13432.835820895525</v>
      </c>
      <c r="J125" s="123">
        <v>18.399999999999999</v>
      </c>
      <c r="K125" s="72">
        <f>IF(ISNUMBER(J125), (J125 - $B125) / $B125, "")</f>
        <v>-8.4577114427860825E-2</v>
      </c>
      <c r="L125" s="140">
        <f>IF(ISNUMBER(J125), $B145 * K125, "")</f>
        <v>-12686.567164179123</v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78"/>
      <c r="R125" s="278"/>
      <c r="S125" s="278"/>
    </row>
    <row r="126" spans="1:19" ht="17.25" thickBot="1">
      <c r="A126" s="124" t="s">
        <v>236</v>
      </c>
      <c r="B126" s="125">
        <v>72.5</v>
      </c>
      <c r="C126" s="73">
        <v>5.2249637199999997E-2</v>
      </c>
      <c r="D126" s="125">
        <v>64.400000000000006</v>
      </c>
      <c r="E126" s="73">
        <f t="shared" ref="E126:E129" si="62">IF(ISNUMBER(D126), (D126 - $B126) / $B126, "")</f>
        <v>-0.1117241379310344</v>
      </c>
      <c r="F126" s="136">
        <f>IF(ISNUMBER(D126), $B145 * E126, "")</f>
        <v>-16758.620689655159</v>
      </c>
      <c r="G126" s="39">
        <v>66.8</v>
      </c>
      <c r="H126" s="73">
        <f t="shared" ref="H126:H129" si="63">IF(ISNUMBER(G126), (G126 - $B126) / $B126, "")</f>
        <v>-7.8620689655172452E-2</v>
      </c>
      <c r="I126" s="202">
        <f>IF(ISNUMBER(G126), $B145 * H126, "")</f>
        <v>-11793.103448275868</v>
      </c>
      <c r="J126" s="125">
        <v>66.900000000000006</v>
      </c>
      <c r="K126" s="73">
        <f t="shared" ref="K126:K129" si="64">IF(ISNUMBER(J126), (J126 - $B126) / $B126, "")</f>
        <v>-7.7241379310344749E-2</v>
      </c>
      <c r="L126" s="136">
        <f>IF(ISNUMBER(J126), $B145 * K126, "")</f>
        <v>-11586.206896551712</v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78"/>
      <c r="R126" s="278"/>
      <c r="S126" s="278"/>
    </row>
    <row r="127" spans="1:19" ht="17.25" thickBot="1">
      <c r="A127" s="124" t="s">
        <v>186</v>
      </c>
      <c r="B127" s="125">
        <v>23</v>
      </c>
      <c r="C127" s="73">
        <v>4.5454545499999999E-2</v>
      </c>
      <c r="D127" s="125">
        <v>21.2</v>
      </c>
      <c r="E127" s="73">
        <f t="shared" si="62"/>
        <v>-7.8260869565217425E-2</v>
      </c>
      <c r="F127" s="136">
        <f>IF(ISNUMBER(D127), $B145 * E127, "")</f>
        <v>-11739.130434782614</v>
      </c>
      <c r="G127" s="39">
        <v>21.7</v>
      </c>
      <c r="H127" s="73">
        <f t="shared" si="63"/>
        <v>-5.652173913043481E-2</v>
      </c>
      <c r="I127" s="202">
        <f>IF(ISNUMBER(G127), $B145 * H127, "")</f>
        <v>-8478.2608695652216</v>
      </c>
      <c r="J127" s="125">
        <v>21.6</v>
      </c>
      <c r="K127" s="73">
        <f t="shared" si="64"/>
        <v>-6.0869565217391244E-2</v>
      </c>
      <c r="L127" s="136">
        <f>IF(ISNUMBER(J127), $B145 * K127, "")</f>
        <v>-9130.4347826086869</v>
      </c>
      <c r="M127" s="39"/>
      <c r="N127" s="73" t="str">
        <f t="shared" si="65"/>
        <v/>
      </c>
      <c r="O127" s="136" t="str">
        <f>IF(ISNUMBER(M127), $B145 * N127, "")</f>
        <v/>
      </c>
      <c r="Q127" s="268"/>
      <c r="R127" s="268"/>
      <c r="S127" s="268"/>
    </row>
    <row r="128" spans="1:19" ht="17.25" thickBot="1">
      <c r="A128" s="124" t="s">
        <v>65</v>
      </c>
      <c r="B128" s="125">
        <v>62.5</v>
      </c>
      <c r="C128" s="73">
        <v>3.6484245399999997E-2</v>
      </c>
      <c r="D128" s="125">
        <v>56.8</v>
      </c>
      <c r="E128" s="73">
        <f t="shared" si="62"/>
        <v>-9.1200000000000045E-2</v>
      </c>
      <c r="F128" s="136">
        <f>IF(ISNUMBER(D128), $B145 * E128, "")</f>
        <v>-13680.000000000007</v>
      </c>
      <c r="G128" s="39">
        <v>59.3</v>
      </c>
      <c r="H128" s="73">
        <f t="shared" si="63"/>
        <v>-5.1200000000000044E-2</v>
      </c>
      <c r="I128" s="202">
        <f>IF(ISNUMBER(G128), $B145 * H128, "")</f>
        <v>-7680.0000000000064</v>
      </c>
      <c r="J128" s="125">
        <v>58.8</v>
      </c>
      <c r="K128" s="73">
        <f t="shared" si="64"/>
        <v>-5.9200000000000044E-2</v>
      </c>
      <c r="L128" s="136">
        <f>IF(ISNUMBER(J128), $B145 * K128, "")</f>
        <v>-8880.0000000000073</v>
      </c>
      <c r="M128" s="39"/>
      <c r="N128" s="73" t="str">
        <f t="shared" si="65"/>
        <v/>
      </c>
      <c r="O128" s="136" t="str">
        <f>IF(ISNUMBER(M128), $B145 * N128, "")</f>
        <v/>
      </c>
      <c r="Q128" s="268"/>
      <c r="R128" s="268"/>
      <c r="S128" s="268"/>
    </row>
    <row r="129" spans="1:19" ht="17.25" thickBot="1">
      <c r="A129" s="126" t="s">
        <v>268</v>
      </c>
      <c r="B129" s="127">
        <v>77.3</v>
      </c>
      <c r="C129" s="74">
        <v>1.44356955E-2</v>
      </c>
      <c r="D129" s="127">
        <v>66.7</v>
      </c>
      <c r="E129" s="74">
        <f t="shared" si="62"/>
        <v>-0.13712807244501934</v>
      </c>
      <c r="F129" s="203">
        <f>IF(ISNUMBER(D129), $B145 * E129, "")</f>
        <v>-20569.210866752903</v>
      </c>
      <c r="G129" s="44">
        <v>69.3</v>
      </c>
      <c r="H129" s="74">
        <f t="shared" si="63"/>
        <v>-0.10349288486416559</v>
      </c>
      <c r="I129" s="204">
        <f>IF(ISNUMBER(G129), $B145 * H129, "")</f>
        <v>-15523.932729624839</v>
      </c>
      <c r="J129" s="127">
        <v>68.7</v>
      </c>
      <c r="K129" s="74">
        <f t="shared" si="64"/>
        <v>-0.11125485122897794</v>
      </c>
      <c r="L129" s="203">
        <f>IF(ISNUMBER(J129), $B145 * K129, "")</f>
        <v>-16688.22768434669</v>
      </c>
      <c r="M129" s="44"/>
      <c r="N129" s="74" t="str">
        <f t="shared" si="65"/>
        <v/>
      </c>
      <c r="O129" s="203" t="str">
        <f>IF(ISNUMBER(M129), $B145 * N129, "")</f>
        <v/>
      </c>
      <c r="Q129" s="268"/>
      <c r="R129" s="268"/>
      <c r="S129" s="268"/>
    </row>
    <row r="130" spans="1:19" ht="17.25" thickBot="1">
      <c r="A130" s="124" t="s">
        <v>266</v>
      </c>
      <c r="B130" s="128">
        <v>85.9</v>
      </c>
      <c r="C130" s="76">
        <v>9.4007051000000001E-3</v>
      </c>
      <c r="D130" s="128">
        <v>72.8</v>
      </c>
      <c r="E130" s="76">
        <f>IF(ISNUMBER(D130), (D130 - $B130) / $B130, "")</f>
        <v>-0.15250291036088484</v>
      </c>
      <c r="F130" s="205">
        <f>IF(ISNUMBER(D130), $B145 * E130, "")</f>
        <v>-22875.436554132728</v>
      </c>
      <c r="G130" s="45">
        <v>75.599999999999994</v>
      </c>
      <c r="H130" s="76">
        <f>IF(ISNUMBER(G130), (G130 - $B130) / $B130, "")</f>
        <v>-0.11990686845168813</v>
      </c>
      <c r="I130" s="206">
        <f>IF(ISNUMBER(G130), $B145 * H130, "")</f>
        <v>-17986.03026775322</v>
      </c>
      <c r="J130" s="128">
        <v>75.099999999999994</v>
      </c>
      <c r="K130" s="76">
        <f>IF(ISNUMBER(J130), (J130 - $B130) / $B130, "")</f>
        <v>-0.12572759022118754</v>
      </c>
      <c r="L130" s="205">
        <f>IF(ISNUMBER(J130), $B145 * K130, "")</f>
        <v>-18859.138533178131</v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68"/>
      <c r="R130" s="268"/>
      <c r="S130" s="268"/>
    </row>
    <row r="131" spans="1:19" ht="17.25" thickBot="1">
      <c r="A131" s="124" t="s">
        <v>198</v>
      </c>
      <c r="B131" s="125">
        <v>23.1</v>
      </c>
      <c r="C131" s="73">
        <v>8.7336245000000003E-3</v>
      </c>
      <c r="D131" s="125">
        <v>20.5</v>
      </c>
      <c r="E131" s="73">
        <f t="shared" ref="E131:E134" si="66">IF(ISNUMBER(D131), (D131 - $B131) / $B131, "")</f>
        <v>-0.11255411255411261</v>
      </c>
      <c r="F131" s="136">
        <f>IF(ISNUMBER(D131), $B145 * E131, "")</f>
        <v>-16883.116883116891</v>
      </c>
      <c r="G131" s="39">
        <v>21.1</v>
      </c>
      <c r="H131" s="73">
        <f t="shared" ref="H131:H134" si="67">IF(ISNUMBER(G131), (G131 - $B131) / $B131, "")</f>
        <v>-8.6580086580086577E-2</v>
      </c>
      <c r="I131" s="202">
        <f>IF(ISNUMBER(G131), $B145 * H131, "")</f>
        <v>-12987.012987012986</v>
      </c>
      <c r="J131" s="125">
        <v>20.9</v>
      </c>
      <c r="K131" s="73">
        <f t="shared" ref="K131:K134" si="68">IF(ISNUMBER(J131), (J131 - $B131) / $B131, "")</f>
        <v>-9.5238095238095358E-2</v>
      </c>
      <c r="L131" s="136">
        <f>IF(ISNUMBER(J131), $B145 * K131, "")</f>
        <v>-14285.714285714304</v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68"/>
      <c r="R131" s="268"/>
      <c r="S131" s="268"/>
    </row>
    <row r="132" spans="1:19" ht="17.25" thickBot="1">
      <c r="A132" s="124" t="s">
        <v>100</v>
      </c>
      <c r="B132" s="125">
        <v>7.25</v>
      </c>
      <c r="C132" s="73">
        <v>8.3449235000000004E-3</v>
      </c>
      <c r="D132" s="125">
        <v>6.64</v>
      </c>
      <c r="E132" s="73">
        <f t="shared" si="66"/>
        <v>-8.4137931034482805E-2</v>
      </c>
      <c r="F132" s="136">
        <f>IF(ISNUMBER(D132), $B145 * E132, "")</f>
        <v>-12620.68965517242</v>
      </c>
      <c r="G132" s="39">
        <v>6.96</v>
      </c>
      <c r="H132" s="73">
        <f t="shared" si="67"/>
        <v>-4.0000000000000008E-2</v>
      </c>
      <c r="I132" s="202">
        <f>IF(ISNUMBER(G132), $B145 * H132, "")</f>
        <v>-6000.0000000000009</v>
      </c>
      <c r="J132" s="125">
        <v>6.81</v>
      </c>
      <c r="K132" s="73">
        <f t="shared" si="68"/>
        <v>-6.0689655172413849E-2</v>
      </c>
      <c r="L132" s="136">
        <f>IF(ISNUMBER(J132), $B145 * K132, "")</f>
        <v>-9103.4482758620779</v>
      </c>
      <c r="M132" s="39"/>
      <c r="N132" s="73" t="str">
        <f t="shared" si="69"/>
        <v/>
      </c>
      <c r="O132" s="136" t="str">
        <f>IF(ISNUMBER(M132), $B145 * N132, "")</f>
        <v/>
      </c>
      <c r="Q132" s="268"/>
      <c r="R132" s="268"/>
      <c r="S132" s="268"/>
    </row>
    <row r="133" spans="1:19" ht="17.25" thickBot="1">
      <c r="A133" s="124" t="s">
        <v>152</v>
      </c>
      <c r="B133" s="125">
        <v>37.1</v>
      </c>
      <c r="C133" s="73">
        <v>8.1521739000000003E-3</v>
      </c>
      <c r="D133" s="125">
        <v>31.9</v>
      </c>
      <c r="E133" s="73">
        <f t="shared" si="66"/>
        <v>-0.14016172506738553</v>
      </c>
      <c r="F133" s="136">
        <f>IF(ISNUMBER(D133), $B145 * E133, "")</f>
        <v>-21024.25876010783</v>
      </c>
      <c r="G133" s="39">
        <v>33.799999999999997</v>
      </c>
      <c r="H133" s="73">
        <f t="shared" si="67"/>
        <v>-8.8948787061994716E-2</v>
      </c>
      <c r="I133" s="202">
        <f>IF(ISNUMBER(G133), $B145 * H133, "")</f>
        <v>-13342.318059299207</v>
      </c>
      <c r="J133" s="125">
        <v>33.5</v>
      </c>
      <c r="K133" s="73">
        <f t="shared" si="68"/>
        <v>-9.7035040431266886E-2</v>
      </c>
      <c r="L133" s="136">
        <f>IF(ISNUMBER(J133), $B145 * K133, "")</f>
        <v>-14555.256064690033</v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72</v>
      </c>
      <c r="B134" s="130">
        <v>30.4</v>
      </c>
      <c r="C134" s="75">
        <v>6.6225166000000004E-3</v>
      </c>
      <c r="D134" s="130">
        <v>26.4</v>
      </c>
      <c r="E134" s="75">
        <f t="shared" si="66"/>
        <v>-0.13157894736842105</v>
      </c>
      <c r="F134" s="137">
        <f>IF(ISNUMBER(D134), $B145 * E134, "")</f>
        <v>-19736.842105263157</v>
      </c>
      <c r="G134" s="37">
        <v>28</v>
      </c>
      <c r="H134" s="75">
        <f t="shared" si="67"/>
        <v>-7.8947368421052586E-2</v>
      </c>
      <c r="I134" s="207">
        <f>IF(ISNUMBER(G134), $B145 * H134, "")</f>
        <v>-11842.105263157888</v>
      </c>
      <c r="J134" s="130">
        <v>27.4</v>
      </c>
      <c r="K134" s="75">
        <f t="shared" si="68"/>
        <v>-9.8684210526315791E-2</v>
      </c>
      <c r="L134" s="137">
        <f>IF(ISNUMBER(J134), $B145 * K134, "")</f>
        <v>-14802.631578947368</v>
      </c>
      <c r="M134" s="37"/>
      <c r="N134" s="75" t="str">
        <f t="shared" si="69"/>
        <v/>
      </c>
      <c r="O134" s="137" t="str">
        <f>IF(ISNUMBER(M134), $B145 * N134, "")</f>
        <v/>
      </c>
      <c r="Q134" s="269"/>
      <c r="R134" s="270"/>
      <c r="S134" s="271"/>
    </row>
    <row r="135" spans="1:19">
      <c r="A135" s="122" t="s">
        <v>222</v>
      </c>
      <c r="B135" s="123">
        <v>15.5</v>
      </c>
      <c r="C135" s="72">
        <v>6.4935065000000002E-3</v>
      </c>
      <c r="D135" s="123">
        <v>13.5</v>
      </c>
      <c r="E135" s="72">
        <f>IF(ISNUMBER(D135), (D135 - $B135) / $B135, "")</f>
        <v>-0.12903225806451613</v>
      </c>
      <c r="F135" s="140">
        <f>IF(ISNUMBER(D135), $B145 * E135, "")</f>
        <v>-19354.83870967742</v>
      </c>
      <c r="G135" s="38">
        <v>13.9</v>
      </c>
      <c r="H135" s="72">
        <f>IF(ISNUMBER(G135), (G135 - $B135) / $B135, "")</f>
        <v>-0.10322580645161288</v>
      </c>
      <c r="I135" s="201">
        <f>IF(ISNUMBER(G135), $B145 * H135, "")</f>
        <v>-15483.870967741932</v>
      </c>
      <c r="J135" s="123">
        <v>14</v>
      </c>
      <c r="K135" s="72">
        <f>IF(ISNUMBER(J135), (J135 - $B135) / $B135, "")</f>
        <v>-9.6774193548387094E-2</v>
      </c>
      <c r="L135" s="140">
        <f>IF(ISNUMBER(J135), $B145 * K135, "")</f>
        <v>-14516.129032258064</v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72"/>
      <c r="R135" s="273"/>
      <c r="S135" s="274"/>
    </row>
    <row r="136" spans="1:19" ht="17.25" thickBot="1">
      <c r="A136" s="124" t="s">
        <v>154</v>
      </c>
      <c r="B136" s="125">
        <v>17.3</v>
      </c>
      <c r="C136" s="73">
        <v>5.8139534999999999E-3</v>
      </c>
      <c r="D136" s="125">
        <v>14.8</v>
      </c>
      <c r="E136" s="73">
        <f t="shared" ref="E136:E139" si="70">IF(ISNUMBER(D136), (D136 - $B136) / $B136, "")</f>
        <v>-0.1445086705202312</v>
      </c>
      <c r="F136" s="136">
        <f>IF(ISNUMBER(D136), $B145 * E136, "")</f>
        <v>-21676.300578034679</v>
      </c>
      <c r="G136" s="39">
        <v>15.5</v>
      </c>
      <c r="H136" s="73">
        <f t="shared" ref="H136:H139" si="71">IF(ISNUMBER(G136), (G136 - $B136) / $B136, "")</f>
        <v>-0.10404624277456651</v>
      </c>
      <c r="I136" s="202">
        <f>IF(ISNUMBER(G136), $B145 * H136, "")</f>
        <v>-15606.936416184975</v>
      </c>
      <c r="J136" s="125">
        <v>15.3</v>
      </c>
      <c r="K136" s="73">
        <f t="shared" ref="K136:K139" si="72">IF(ISNUMBER(J136), (J136 - $B136) / $B136, "")</f>
        <v>-0.11560693641618497</v>
      </c>
      <c r="L136" s="136">
        <f>IF(ISNUMBER(J136), $B145 * K136, "")</f>
        <v>-17341.040462427747</v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75"/>
      <c r="R136" s="276"/>
      <c r="S136" s="277"/>
    </row>
    <row r="137" spans="1:19" ht="17.25" thickBot="1">
      <c r="A137" s="124" t="s">
        <v>254</v>
      </c>
      <c r="B137" s="125">
        <v>71.8</v>
      </c>
      <c r="C137" s="73">
        <v>2.7932960999999998E-3</v>
      </c>
      <c r="D137" s="125">
        <v>61.9</v>
      </c>
      <c r="E137" s="73">
        <f t="shared" si="70"/>
        <v>-0.13788300835654593</v>
      </c>
      <c r="F137" s="136">
        <f>IF(ISNUMBER(D137), $B145 * E137, "")</f>
        <v>-20682.45125348189</v>
      </c>
      <c r="G137" s="39">
        <v>64</v>
      </c>
      <c r="H137" s="73">
        <f t="shared" si="71"/>
        <v>-0.10863509749303618</v>
      </c>
      <c r="I137" s="202">
        <f>IF(ISNUMBER(G137), $B145 * H137, "")</f>
        <v>-16295.264623955427</v>
      </c>
      <c r="J137" s="125">
        <v>63.7</v>
      </c>
      <c r="K137" s="73">
        <f t="shared" si="72"/>
        <v>-0.11281337047353752</v>
      </c>
      <c r="L137" s="136">
        <f>IF(ISNUMBER(J137), $B145 * K137, "")</f>
        <v>-16922.00557103063</v>
      </c>
      <c r="M137" s="39"/>
      <c r="N137" s="73" t="str">
        <f t="shared" si="73"/>
        <v/>
      </c>
      <c r="O137" s="136" t="str">
        <f>IF(ISNUMBER(M137), $B145 * N137, "")</f>
        <v/>
      </c>
      <c r="Q137" s="268"/>
      <c r="R137" s="268"/>
      <c r="S137" s="268"/>
    </row>
    <row r="138" spans="1:19" ht="17.25" thickBot="1">
      <c r="A138" s="124" t="s">
        <v>196</v>
      </c>
      <c r="B138" s="125">
        <v>17.2</v>
      </c>
      <c r="C138" s="73">
        <v>0</v>
      </c>
      <c r="D138" s="125">
        <v>14.7</v>
      </c>
      <c r="E138" s="73">
        <f t="shared" si="70"/>
        <v>-0.14534883720930233</v>
      </c>
      <c r="F138" s="136">
        <f>IF(ISNUMBER(D138), $B145 * E138, "")</f>
        <v>-21802.325581395351</v>
      </c>
      <c r="G138" s="39">
        <v>15.4</v>
      </c>
      <c r="H138" s="73">
        <f t="shared" si="71"/>
        <v>-0.10465116279069761</v>
      </c>
      <c r="I138" s="202">
        <f>IF(ISNUMBER(G138), $B145 * H138, "")</f>
        <v>-15697.674418604642</v>
      </c>
      <c r="J138" s="125">
        <v>15.3</v>
      </c>
      <c r="K138" s="73">
        <f t="shared" si="72"/>
        <v>-0.11046511627906969</v>
      </c>
      <c r="L138" s="136">
        <f>IF(ISNUMBER(J138), $B145 * K138, "")</f>
        <v>-16569.767441860455</v>
      </c>
      <c r="M138" s="39"/>
      <c r="N138" s="73" t="str">
        <f t="shared" si="73"/>
        <v/>
      </c>
      <c r="O138" s="136" t="str">
        <f>IF(ISNUMBER(M138), $B145 * N138, "")</f>
        <v/>
      </c>
      <c r="Q138" s="278"/>
      <c r="R138" s="278"/>
      <c r="S138" s="278"/>
    </row>
    <row r="139" spans="1:19" ht="17.25" thickBot="1">
      <c r="A139" s="126" t="s">
        <v>228</v>
      </c>
      <c r="B139" s="127">
        <v>15.1</v>
      </c>
      <c r="C139" s="74">
        <v>0</v>
      </c>
      <c r="D139" s="127">
        <v>13</v>
      </c>
      <c r="E139" s="74">
        <f t="shared" si="70"/>
        <v>-0.13907284768211919</v>
      </c>
      <c r="F139" s="203">
        <f>IF(ISNUMBER(D139), $B145 * E139, "")</f>
        <v>-20860.92715231788</v>
      </c>
      <c r="G139" s="44">
        <v>13.4</v>
      </c>
      <c r="H139" s="74">
        <f t="shared" si="71"/>
        <v>-0.11258278145695359</v>
      </c>
      <c r="I139" s="204">
        <f>IF(ISNUMBER(G139), $B145 * H139, "")</f>
        <v>-16887.41721854304</v>
      </c>
      <c r="J139" s="127">
        <v>13.3</v>
      </c>
      <c r="K139" s="74">
        <f t="shared" si="72"/>
        <v>-0.11920529801324496</v>
      </c>
      <c r="L139" s="203">
        <f>IF(ISNUMBER(J139), $B145 * K139, "")</f>
        <v>-17880.794701986746</v>
      </c>
      <c r="M139" s="44"/>
      <c r="N139" s="74" t="str">
        <f t="shared" si="73"/>
        <v/>
      </c>
      <c r="O139" s="203" t="str">
        <f>IF(ISNUMBER(M139), $B145 * N139, "")</f>
        <v/>
      </c>
      <c r="Q139" s="278"/>
      <c r="R139" s="278"/>
      <c r="S139" s="278"/>
    </row>
    <row r="140" spans="1:19" ht="17.25" thickBot="1">
      <c r="A140" s="124" t="s">
        <v>172</v>
      </c>
      <c r="B140" s="128">
        <v>22</v>
      </c>
      <c r="C140" s="76">
        <v>0</v>
      </c>
      <c r="D140" s="128">
        <v>18.7</v>
      </c>
      <c r="E140" s="76">
        <f>IF(ISNUMBER(D140), (D140 - $B140) / $B140, "")</f>
        <v>-0.15000000000000002</v>
      </c>
      <c r="F140" s="205">
        <f>IF(ISNUMBER(D140), $B145 * E140, "")</f>
        <v>-22500.000000000004</v>
      </c>
      <c r="G140" s="45">
        <v>19.600000000000001</v>
      </c>
      <c r="H140" s="76">
        <f>IF(ISNUMBER(G140), (G140 - $B140) / $B140, "")</f>
        <v>-0.10909090909090903</v>
      </c>
      <c r="I140" s="206">
        <f>IF(ISNUMBER(G140), $B145 * H140, "")</f>
        <v>-16363.636363636355</v>
      </c>
      <c r="J140" s="128">
        <v>19.5</v>
      </c>
      <c r="K140" s="76">
        <f>IF(ISNUMBER(J140), (J140 - $B140) / $B140, "")</f>
        <v>-0.11363636363636363</v>
      </c>
      <c r="L140" s="205">
        <f>IF(ISNUMBER(J140), $B145 * K140, "")</f>
        <v>-17045.454545454544</v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68"/>
      <c r="R140" s="268"/>
      <c r="S140" s="268"/>
    </row>
    <row r="141" spans="1:19" ht="17.25" thickBot="1">
      <c r="A141" s="124" t="s">
        <v>126</v>
      </c>
      <c r="B141" s="125">
        <v>47.4</v>
      </c>
      <c r="C141" s="73">
        <v>0</v>
      </c>
      <c r="D141" s="125">
        <v>42</v>
      </c>
      <c r="E141" s="73">
        <f t="shared" ref="E141:E144" si="74">IF(ISNUMBER(D141), (D141 - $B141) / $B141, "")</f>
        <v>-0.11392405063291136</v>
      </c>
      <c r="F141" s="136">
        <f>IF(ISNUMBER(D141), $B145 * E141, "")</f>
        <v>-17088.607594936704</v>
      </c>
      <c r="G141" s="39">
        <v>44.7</v>
      </c>
      <c r="H141" s="73">
        <f t="shared" ref="H141:H144" si="75">IF(ISNUMBER(G141), (G141 - $B141) / $B141, "")</f>
        <v>-5.6962025316455611E-2</v>
      </c>
      <c r="I141" s="202">
        <f>IF(ISNUMBER(G141), $B145 * H141, "")</f>
        <v>-8544.3037974683411</v>
      </c>
      <c r="J141" s="125">
        <v>44.3</v>
      </c>
      <c r="K141" s="73">
        <f t="shared" ref="K141:K144" si="76">IF(ISNUMBER(J141), (J141 - $B141) / $B141, "")</f>
        <v>-6.5400843881856574E-2</v>
      </c>
      <c r="L141" s="136">
        <f>IF(ISNUMBER(J141), $B145 * K141, "")</f>
        <v>-9810.1265822784862</v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68"/>
      <c r="R141" s="268"/>
      <c r="S141" s="268"/>
    </row>
    <row r="142" spans="1:19" ht="17.25" thickBot="1">
      <c r="A142" s="124" t="s">
        <v>218</v>
      </c>
      <c r="B142" s="125">
        <v>22.6</v>
      </c>
      <c r="C142" s="73">
        <v>0</v>
      </c>
      <c r="D142" s="125">
        <v>19.2</v>
      </c>
      <c r="E142" s="73">
        <f t="shared" si="74"/>
        <v>-0.15044247787610629</v>
      </c>
      <c r="F142" s="136">
        <f>IF(ISNUMBER(D142), $B145 * E142, "")</f>
        <v>-22566.371681415945</v>
      </c>
      <c r="G142" s="39">
        <v>20.2</v>
      </c>
      <c r="H142" s="73">
        <f t="shared" si="75"/>
        <v>-0.10619469026548681</v>
      </c>
      <c r="I142" s="202">
        <f>IF(ISNUMBER(G142), $B145 * H142, "")</f>
        <v>-15929.203539823022</v>
      </c>
      <c r="J142" s="125">
        <v>20.100000000000001</v>
      </c>
      <c r="K142" s="73">
        <f t="shared" si="76"/>
        <v>-0.11061946902654866</v>
      </c>
      <c r="L142" s="136">
        <f>IF(ISNUMBER(J142), $B145 * K142, "")</f>
        <v>-16592.920353982299</v>
      </c>
      <c r="M142" s="39"/>
      <c r="N142" s="73" t="str">
        <f t="shared" si="77"/>
        <v/>
      </c>
      <c r="O142" s="136" t="str">
        <f>IF(ISNUMBER(M142), $B145 * N142, "")</f>
        <v/>
      </c>
      <c r="Q142" s="268"/>
      <c r="R142" s="268"/>
      <c r="S142" s="268"/>
    </row>
    <row r="143" spans="1:19">
      <c r="A143" s="124" t="s">
        <v>356</v>
      </c>
      <c r="B143" s="125">
        <v>242</v>
      </c>
      <c r="C143" s="73">
        <v>8.3000000000000001E-3</v>
      </c>
      <c r="D143" s="125">
        <v>211</v>
      </c>
      <c r="E143" s="73">
        <f t="shared" si="74"/>
        <v>-0.128099173553719</v>
      </c>
      <c r="F143" s="136">
        <f>IF(ISNUMBER(D143), $B145 * E143, "")</f>
        <v>-19214.876033057848</v>
      </c>
      <c r="G143" s="39">
        <v>219</v>
      </c>
      <c r="H143" s="73">
        <f t="shared" si="75"/>
        <v>-9.5041322314049589E-2</v>
      </c>
      <c r="I143" s="202">
        <f>IF(ISNUMBER(G143), $B145 * H143, "")</f>
        <v>-14256.198347107438</v>
      </c>
      <c r="J143" s="125">
        <v>217</v>
      </c>
      <c r="K143" s="73">
        <f t="shared" si="76"/>
        <v>-0.10330578512396695</v>
      </c>
      <c r="L143" s="136">
        <f>IF(ISNUMBER(J143), $B145 * K143, "")</f>
        <v>-15495.867768595042</v>
      </c>
      <c r="M143" s="39"/>
      <c r="N143" s="73" t="str">
        <f t="shared" si="77"/>
        <v/>
      </c>
      <c r="O143" s="136" t="str">
        <f>IF(ISNUMBER(M143), $B145 * N143, "")</f>
        <v/>
      </c>
      <c r="Q143" s="257"/>
      <c r="R143" s="258"/>
      <c r="S143" s="259"/>
    </row>
    <row r="144" spans="1:19" ht="17.25" thickBot="1">
      <c r="A144" s="129" t="s">
        <v>408</v>
      </c>
      <c r="B144" s="130">
        <v>301</v>
      </c>
      <c r="C144" s="75">
        <v>6.7000000000000002E-3</v>
      </c>
      <c r="D144" s="130">
        <v>261</v>
      </c>
      <c r="E144" s="75">
        <f t="shared" si="74"/>
        <v>-0.13289036544850499</v>
      </c>
      <c r="F144" s="137">
        <f>IF(ISNUMBER(D144), $B145 * E144, "")</f>
        <v>-19933.554817275748</v>
      </c>
      <c r="G144" s="37">
        <v>272</v>
      </c>
      <c r="H144" s="75">
        <f t="shared" si="75"/>
        <v>-9.634551495016612E-2</v>
      </c>
      <c r="I144" s="207">
        <f>IF(ISNUMBER(G144), $B145 * H144, "")</f>
        <v>-14451.827242524918</v>
      </c>
      <c r="J144" s="130">
        <v>269</v>
      </c>
      <c r="K144" s="75">
        <f t="shared" si="76"/>
        <v>-0.10631229235880399</v>
      </c>
      <c r="L144" s="137">
        <f>IF(ISNUMBER(J144), $B145 * K144, "")</f>
        <v>-15946.843853820599</v>
      </c>
      <c r="M144" s="37"/>
      <c r="N144" s="75" t="str">
        <f t="shared" si="77"/>
        <v/>
      </c>
      <c r="O144" s="137" t="str">
        <f>IF(ISNUMBER(M144), $B145 * N144, "")</f>
        <v/>
      </c>
      <c r="Q144" s="260"/>
      <c r="R144" s="261"/>
      <c r="S144" s="262"/>
    </row>
    <row r="145" spans="1:19" ht="17.25" thickBot="1">
      <c r="A145" s="131" t="s">
        <v>301</v>
      </c>
      <c r="B145" s="330">
        <f>$B$37</f>
        <v>150000</v>
      </c>
      <c r="C145" s="331"/>
      <c r="D145" s="131" t="s">
        <v>302</v>
      </c>
      <c r="E145" s="252">
        <f>IF(COUNT(E125:E144), SUM(E125:E144) / COUNT(E125:E144), 0)</f>
        <v>-0.12699018147506802</v>
      </c>
      <c r="F145" s="208">
        <f>SUM(F125:F144)</f>
        <v>-380970.54442520405</v>
      </c>
      <c r="G145" s="131" t="s">
        <v>302</v>
      </c>
      <c r="H145" s="252">
        <f>IF(COUNT(H125:H144), SUM(H125:H144) / COUNT(H125:H144), 0)</f>
        <v>-8.952731079372496E-2</v>
      </c>
      <c r="I145" s="208">
        <f>SUM(I125:I144)</f>
        <v>-268581.93238117488</v>
      </c>
      <c r="J145" s="131" t="s">
        <v>302</v>
      </c>
      <c r="K145" s="252">
        <f>IF(COUNT(K125:K144), SUM(K125:K144) / COUNT(K125:K144), 0)</f>
        <v>-9.6232858526590914E-2</v>
      </c>
      <c r="L145" s="208">
        <f>SUM(L125:L144)</f>
        <v>-288698.57557977276</v>
      </c>
      <c r="M145" s="131" t="s">
        <v>302</v>
      </c>
      <c r="N145" s="252">
        <f>IF(COUNT(N125:N144), SUM(N125:N144) / COUNT(N125:N144), 0)</f>
        <v>0</v>
      </c>
      <c r="O145" s="208">
        <f>SUM(O125:O144)</f>
        <v>0</v>
      </c>
      <c r="Q145" s="263"/>
      <c r="R145" s="264"/>
      <c r="S145" s="265"/>
    </row>
    <row r="147" spans="1:19" ht="17.25" thickBot="1"/>
    <row r="148" spans="1:19" ht="17.25" thickBot="1">
      <c r="A148" s="279" t="s">
        <v>289</v>
      </c>
      <c r="B148" s="280"/>
      <c r="C148" s="280"/>
      <c r="D148" s="280"/>
      <c r="E148" s="280"/>
      <c r="F148" s="280"/>
      <c r="G148" s="280"/>
      <c r="H148" s="280"/>
      <c r="I148" s="280"/>
      <c r="J148" s="280"/>
      <c r="K148" s="280"/>
      <c r="L148" s="280"/>
      <c r="M148" s="280"/>
      <c r="N148" s="280"/>
      <c r="O148" s="281"/>
      <c r="Q148" s="278"/>
      <c r="R148" s="278"/>
      <c r="S148" s="278"/>
    </row>
    <row r="149" spans="1:19" ht="17.25" thickBot="1">
      <c r="A149" s="249" t="s">
        <v>298</v>
      </c>
      <c r="B149" s="279" t="s">
        <v>49</v>
      </c>
      <c r="C149" s="281"/>
      <c r="D149" s="279" t="s">
        <v>58</v>
      </c>
      <c r="E149" s="280"/>
      <c r="F149" s="281"/>
      <c r="G149" s="282">
        <f>_xlfn.IFNA(VLOOKUP(B149, 현재가테이블!$B$2:$D$200, 2, FALSE), "-")</f>
        <v>55555000</v>
      </c>
      <c r="H149" s="283"/>
      <c r="I149" s="284"/>
      <c r="J149" s="279" t="s">
        <v>59</v>
      </c>
      <c r="K149" s="280"/>
      <c r="L149" s="281"/>
      <c r="M149" s="285">
        <f>_xlfn.IFNA(VLOOKUP(B149, 현재가테이블!$B$2:$D$200, 3, FALSE), "-")</f>
        <v>-3.6323266700000002E-2</v>
      </c>
      <c r="N149" s="286"/>
      <c r="O149" s="287"/>
      <c r="Q149" s="278"/>
      <c r="R149" s="278"/>
      <c r="S149" s="278"/>
    </row>
    <row r="150" spans="1:19" ht="17.25" thickBot="1">
      <c r="A150" s="332" t="s">
        <v>55</v>
      </c>
      <c r="B150" s="328" t="str">
        <f>TEXT($G$1, "[$-ko-KR]yyyy-mm-dd(ddd) ") &amp; "오전 00:00"</f>
        <v>2021-05-17(월) 오전 00:00</v>
      </c>
      <c r="C150" s="329"/>
      <c r="D150" s="279" t="str">
        <f>TEXT($G$1, "[$-ko-KR]yyyy-mm-dd(ddd) ") &amp; "오후 14:00"</f>
        <v>2021-05-17(월) 오후 14:00</v>
      </c>
      <c r="E150" s="280"/>
      <c r="F150" s="281"/>
      <c r="G150" s="279" t="str">
        <f>TEXT($G$1, "[$-ko-KR]yyyy-mm-dd(ddd) ") &amp; "오후 19:00"</f>
        <v>2021-05-17(월) 오후 19:00</v>
      </c>
      <c r="H150" s="280"/>
      <c r="I150" s="281"/>
      <c r="J150" s="279" t="str">
        <f>TEXT($G$1, "[$-ko-KR]yyyy-mm-dd(ddd) ") &amp; "오후 21:00"</f>
        <v>2021-05-17(월) 오후 21:00</v>
      </c>
      <c r="K150" s="280"/>
      <c r="L150" s="281"/>
      <c r="M150" s="279" t="str">
        <f>TEXT($G$1+1, "[$-ko-KR]yyyy-mm-dd(ddd) ") &amp; "오전 00:00"</f>
        <v>2021-05-18(화) 오전 00:00</v>
      </c>
      <c r="N150" s="280"/>
      <c r="O150" s="281"/>
      <c r="Q150" s="278"/>
      <c r="R150" s="278"/>
      <c r="S150" s="278"/>
    </row>
    <row r="151" spans="1:19" ht="17.25" thickBot="1">
      <c r="A151" s="333"/>
      <c r="B151" s="120" t="s">
        <v>58</v>
      </c>
      <c r="C151" s="121" t="s">
        <v>59</v>
      </c>
      <c r="D151" s="120" t="s">
        <v>58</v>
      </c>
      <c r="E151" s="121" t="s">
        <v>299</v>
      </c>
      <c r="F151" s="256" t="s">
        <v>300</v>
      </c>
      <c r="G151" s="249" t="s">
        <v>58</v>
      </c>
      <c r="H151" s="250" t="s">
        <v>299</v>
      </c>
      <c r="I151" s="251" t="s">
        <v>300</v>
      </c>
      <c r="J151" s="121" t="s">
        <v>58</v>
      </c>
      <c r="K151" s="121" t="s">
        <v>299</v>
      </c>
      <c r="L151" s="254" t="s">
        <v>300</v>
      </c>
      <c r="M151" s="120" t="s">
        <v>58</v>
      </c>
      <c r="N151" s="121" t="s">
        <v>299</v>
      </c>
      <c r="O151" s="255" t="s">
        <v>300</v>
      </c>
      <c r="Q151" s="268"/>
      <c r="R151" s="268"/>
      <c r="S151" s="268"/>
    </row>
    <row r="152" spans="1:19" ht="17.25" thickBot="1">
      <c r="A152" s="122" t="s">
        <v>192</v>
      </c>
      <c r="B152" s="123">
        <v>984</v>
      </c>
      <c r="C152" s="72">
        <v>5.1072523000000002E-3</v>
      </c>
      <c r="D152" s="123">
        <v>850</v>
      </c>
      <c r="E152" s="72">
        <f>IF(ISNUMBER(D152), (D152 - $B152) / $B152, "")</f>
        <v>-0.13617886178861788</v>
      </c>
      <c r="F152" s="140">
        <f>IF(ISNUMBER(D152), $B172 * E152, "")</f>
        <v>-20426.82926829268</v>
      </c>
      <c r="G152" s="38">
        <v>888</v>
      </c>
      <c r="H152" s="72">
        <f>IF(ISNUMBER(G152), (G152 - $B152) / $B152, "")</f>
        <v>-9.7560975609756101E-2</v>
      </c>
      <c r="I152" s="201">
        <f>IF(ISNUMBER(G152), $B172 * H152, "")</f>
        <v>-14634.146341463415</v>
      </c>
      <c r="J152" s="123">
        <v>884</v>
      </c>
      <c r="K152" s="72">
        <f>IF(ISNUMBER(J152), (J152 - $B152) / $B152, "")</f>
        <v>-0.1016260162601626</v>
      </c>
      <c r="L152" s="140">
        <f>IF(ISNUMBER(J152), $B172 * K152, "")</f>
        <v>-15243.90243902439</v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78"/>
      <c r="R152" s="278"/>
      <c r="S152" s="278"/>
    </row>
    <row r="153" spans="1:19" ht="17.25" thickBot="1">
      <c r="A153" s="124" t="s">
        <v>252</v>
      </c>
      <c r="B153" s="125">
        <v>430</v>
      </c>
      <c r="C153" s="73">
        <v>2.3310023000000001E-3</v>
      </c>
      <c r="D153" s="125">
        <v>364</v>
      </c>
      <c r="E153" s="73">
        <f t="shared" ref="E153:E156" si="78">IF(ISNUMBER(D153), (D153 - $B153) / $B153, "")</f>
        <v>-0.15348837209302327</v>
      </c>
      <c r="F153" s="136">
        <f>IF(ISNUMBER(D153), $B172 * E153, "")</f>
        <v>-23023.255813953489</v>
      </c>
      <c r="G153" s="39">
        <v>381</v>
      </c>
      <c r="H153" s="73">
        <f t="shared" ref="H153:H156" si="79">IF(ISNUMBER(G153), (G153 - $B153) / $B153, "")</f>
        <v>-0.11395348837209303</v>
      </c>
      <c r="I153" s="202">
        <f>IF(ISNUMBER(G153), $B172 * H153, "")</f>
        <v>-17093.023255813954</v>
      </c>
      <c r="J153" s="125">
        <v>378</v>
      </c>
      <c r="K153" s="73">
        <f t="shared" ref="K153:K156" si="80">IF(ISNUMBER(J153), (J153 - $B153) / $B153, "")</f>
        <v>-0.12093023255813953</v>
      </c>
      <c r="L153" s="136">
        <f>IF(ISNUMBER(J153), $B172 * K153, "")</f>
        <v>-18139.534883720931</v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78"/>
      <c r="R153" s="278"/>
      <c r="S153" s="278"/>
    </row>
    <row r="154" spans="1:19" ht="17.25" thickBot="1">
      <c r="A154" s="124" t="s">
        <v>170</v>
      </c>
      <c r="B154" s="125">
        <v>456</v>
      </c>
      <c r="C154" s="73">
        <v>2.1978022000000001E-3</v>
      </c>
      <c r="D154" s="125">
        <v>397</v>
      </c>
      <c r="E154" s="73">
        <f t="shared" si="78"/>
        <v>-0.12938596491228072</v>
      </c>
      <c r="F154" s="136">
        <f>IF(ISNUMBER(D154), $B172 * E154, "")</f>
        <v>-19407.894736842107</v>
      </c>
      <c r="G154" s="39">
        <v>451</v>
      </c>
      <c r="H154" s="73">
        <f t="shared" si="79"/>
        <v>-1.0964912280701754E-2</v>
      </c>
      <c r="I154" s="202">
        <f>IF(ISNUMBER(G154), $B172 * H154, "")</f>
        <v>-1644.7368421052631</v>
      </c>
      <c r="J154" s="125">
        <v>445</v>
      </c>
      <c r="K154" s="73">
        <f t="shared" si="80"/>
        <v>-2.4122807017543858E-2</v>
      </c>
      <c r="L154" s="136">
        <f>IF(ISNUMBER(J154), $B172 * K154, "")</f>
        <v>-3618.4210526315787</v>
      </c>
      <c r="M154" s="39"/>
      <c r="N154" s="73" t="str">
        <f t="shared" si="81"/>
        <v/>
      </c>
      <c r="O154" s="136" t="str">
        <f>IF(ISNUMBER(M154), $B172 * N154, "")</f>
        <v/>
      </c>
      <c r="Q154" s="268"/>
      <c r="R154" s="268"/>
      <c r="S154" s="268"/>
    </row>
    <row r="155" spans="1:19" ht="17.25" thickBot="1">
      <c r="A155" s="124" t="s">
        <v>216</v>
      </c>
      <c r="B155" s="125">
        <v>418</v>
      </c>
      <c r="C155" s="73">
        <v>0</v>
      </c>
      <c r="D155" s="125">
        <v>360</v>
      </c>
      <c r="E155" s="73">
        <f t="shared" si="78"/>
        <v>-0.13875598086124402</v>
      </c>
      <c r="F155" s="136">
        <f>IF(ISNUMBER(D155), $B172 * E155, "")</f>
        <v>-20813.397129186604</v>
      </c>
      <c r="G155" s="39">
        <v>381</v>
      </c>
      <c r="H155" s="73">
        <f t="shared" si="79"/>
        <v>-8.8516746411483258E-2</v>
      </c>
      <c r="I155" s="202">
        <f>IF(ISNUMBER(G155), $B172 * H155, "")</f>
        <v>-13277.511961722488</v>
      </c>
      <c r="J155" s="125">
        <v>378</v>
      </c>
      <c r="K155" s="73">
        <f t="shared" si="80"/>
        <v>-9.569377990430622E-2</v>
      </c>
      <c r="L155" s="136">
        <f>IF(ISNUMBER(J155), $B172 * K155, "")</f>
        <v>-14354.066985645934</v>
      </c>
      <c r="M155" s="39"/>
      <c r="N155" s="73" t="str">
        <f t="shared" si="81"/>
        <v/>
      </c>
      <c r="O155" s="136" t="str">
        <f>IF(ISNUMBER(M155), $B172 * N155, "")</f>
        <v/>
      </c>
      <c r="Q155" s="268"/>
      <c r="R155" s="268"/>
      <c r="S155" s="268"/>
    </row>
    <row r="156" spans="1:19" ht="17.25" thickBot="1">
      <c r="A156" s="126" t="s">
        <v>232</v>
      </c>
      <c r="B156" s="127">
        <v>148</v>
      </c>
      <c r="C156" s="74">
        <v>0</v>
      </c>
      <c r="D156" s="127">
        <v>131</v>
      </c>
      <c r="E156" s="74">
        <f t="shared" si="78"/>
        <v>-0.11486486486486487</v>
      </c>
      <c r="F156" s="203">
        <f>IF(ISNUMBER(D156), $B172 * E156, "")</f>
        <v>-17229.72972972973</v>
      </c>
      <c r="G156" s="44">
        <v>134</v>
      </c>
      <c r="H156" s="74">
        <f t="shared" si="79"/>
        <v>-9.45945945945946E-2</v>
      </c>
      <c r="I156" s="204">
        <f>IF(ISNUMBER(G156), $B172 * H156, "")</f>
        <v>-14189.18918918919</v>
      </c>
      <c r="J156" s="127">
        <v>132</v>
      </c>
      <c r="K156" s="74">
        <f t="shared" si="80"/>
        <v>-0.10810810810810811</v>
      </c>
      <c r="L156" s="203">
        <f>IF(ISNUMBER(J156), $B172 * K156, "")</f>
        <v>-16216.216216216217</v>
      </c>
      <c r="M156" s="44"/>
      <c r="N156" s="74" t="str">
        <f t="shared" si="81"/>
        <v/>
      </c>
      <c r="O156" s="203" t="str">
        <f>IF(ISNUMBER(M156), $B172 * N156, "")</f>
        <v/>
      </c>
      <c r="Q156" s="268"/>
      <c r="R156" s="268"/>
      <c r="S156" s="268"/>
    </row>
    <row r="157" spans="1:19" ht="17.25" thickBot="1">
      <c r="A157" s="124" t="s">
        <v>212</v>
      </c>
      <c r="B157" s="128">
        <v>120</v>
      </c>
      <c r="C157" s="76">
        <v>0</v>
      </c>
      <c r="D157" s="128">
        <v>104</v>
      </c>
      <c r="E157" s="76">
        <f>IF(ISNUMBER(D157), (D157 - $B157) / $B157, "")</f>
        <v>-0.13333333333333333</v>
      </c>
      <c r="F157" s="205">
        <f>IF(ISNUMBER(D157), $B172 * E157, "")</f>
        <v>-20000</v>
      </c>
      <c r="G157" s="45">
        <v>108</v>
      </c>
      <c r="H157" s="76">
        <f>IF(ISNUMBER(G157), (G157 - $B157) / $B157, "")</f>
        <v>-0.1</v>
      </c>
      <c r="I157" s="206">
        <f>IF(ISNUMBER(G157), $B172 * H157, "")</f>
        <v>-15000</v>
      </c>
      <c r="J157" s="128">
        <v>106</v>
      </c>
      <c r="K157" s="76">
        <f>IF(ISNUMBER(J157), (J157 - $B157) / $B157, "")</f>
        <v>-0.11666666666666667</v>
      </c>
      <c r="L157" s="205">
        <f>IF(ISNUMBER(J157), $B172 * K157, "")</f>
        <v>-17500</v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68"/>
      <c r="R157" s="268"/>
      <c r="S157" s="268"/>
    </row>
    <row r="158" spans="1:19" ht="17.25" thickBot="1">
      <c r="A158" s="124" t="s">
        <v>250</v>
      </c>
      <c r="B158" s="125">
        <v>173</v>
      </c>
      <c r="C158" s="73">
        <v>0</v>
      </c>
      <c r="D158" s="125">
        <v>152</v>
      </c>
      <c r="E158" s="73">
        <f t="shared" ref="E158:E161" si="82">IF(ISNUMBER(D158), (D158 - $B158) / $B158, "")</f>
        <v>-0.12138728323699421</v>
      </c>
      <c r="F158" s="136">
        <f>IF(ISNUMBER(D158), $B172 * E158, "")</f>
        <v>-18208.092485549132</v>
      </c>
      <c r="G158" s="39">
        <v>157</v>
      </c>
      <c r="H158" s="73">
        <f t="shared" ref="H158:H161" si="83">IF(ISNUMBER(G158), (G158 - $B158) / $B158, "")</f>
        <v>-9.2485549132947972E-2</v>
      </c>
      <c r="I158" s="202">
        <f>IF(ISNUMBER(G158), $B172 * H158, "")</f>
        <v>-13872.832369942196</v>
      </c>
      <c r="J158" s="125">
        <v>157</v>
      </c>
      <c r="K158" s="73">
        <f t="shared" ref="K158:K161" si="84">IF(ISNUMBER(J158), (J158 - $B158) / $B158, "")</f>
        <v>-9.2485549132947972E-2</v>
      </c>
      <c r="L158" s="136">
        <f>IF(ISNUMBER(J158), $B172 * K158, "")</f>
        <v>-13872.832369942196</v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68"/>
      <c r="R158" s="268"/>
      <c r="S158" s="268"/>
    </row>
    <row r="159" spans="1:19" ht="17.25" thickBot="1">
      <c r="A159" s="124" t="s">
        <v>208</v>
      </c>
      <c r="B159" s="125">
        <v>425</v>
      </c>
      <c r="C159" s="73">
        <v>-2.3474177999999999E-3</v>
      </c>
      <c r="D159" s="125">
        <v>360</v>
      </c>
      <c r="E159" s="73">
        <f t="shared" si="82"/>
        <v>-0.15294117647058825</v>
      </c>
      <c r="F159" s="136">
        <f>IF(ISNUMBER(D159), $B172 * E159, "")</f>
        <v>-22941.176470588238</v>
      </c>
      <c r="G159" s="39">
        <v>375</v>
      </c>
      <c r="H159" s="73">
        <f t="shared" si="83"/>
        <v>-0.11764705882352941</v>
      </c>
      <c r="I159" s="202">
        <f>IF(ISNUMBER(G159), $B172 * H159, "")</f>
        <v>-17647.058823529413</v>
      </c>
      <c r="J159" s="125">
        <v>372</v>
      </c>
      <c r="K159" s="73">
        <f t="shared" si="84"/>
        <v>-0.12470588235294118</v>
      </c>
      <c r="L159" s="136">
        <f>IF(ISNUMBER(J159), $B172 * K159, "")</f>
        <v>-18705.882352941178</v>
      </c>
      <c r="M159" s="39"/>
      <c r="N159" s="73" t="str">
        <f t="shared" si="85"/>
        <v/>
      </c>
      <c r="O159" s="136" t="str">
        <f>IF(ISNUMBER(M159), $B172 * N159, "")</f>
        <v/>
      </c>
      <c r="Q159" s="268"/>
      <c r="R159" s="268"/>
      <c r="S159" s="268"/>
    </row>
    <row r="160" spans="1:19" ht="17.25" thickBot="1">
      <c r="A160" s="124" t="s">
        <v>116</v>
      </c>
      <c r="B160" s="125">
        <v>541</v>
      </c>
      <c r="C160" s="73">
        <v>-3.6832413E-3</v>
      </c>
      <c r="D160" s="125">
        <v>472</v>
      </c>
      <c r="E160" s="73">
        <f t="shared" si="82"/>
        <v>-0.12754158964879853</v>
      </c>
      <c r="F160" s="136">
        <f>IF(ISNUMBER(D160), $B172 * E160, "")</f>
        <v>-19131.238447319778</v>
      </c>
      <c r="G160" s="39">
        <v>482</v>
      </c>
      <c r="H160" s="73">
        <f t="shared" si="83"/>
        <v>-0.10905730129390019</v>
      </c>
      <c r="I160" s="202">
        <f>IF(ISNUMBER(G160), $B172 * H160, "")</f>
        <v>-16358.595194085028</v>
      </c>
      <c r="J160" s="125">
        <v>477</v>
      </c>
      <c r="K160" s="73">
        <f t="shared" si="84"/>
        <v>-0.11829944547134935</v>
      </c>
      <c r="L160" s="136">
        <f>IF(ISNUMBER(J160), $B172 * K160, "")</f>
        <v>-17744.916820702401</v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202</v>
      </c>
      <c r="B161" s="130">
        <v>159</v>
      </c>
      <c r="C161" s="75">
        <v>-6.2500000000000003E-3</v>
      </c>
      <c r="D161" s="130">
        <v>137</v>
      </c>
      <c r="E161" s="75">
        <f t="shared" si="82"/>
        <v>-0.13836477987421383</v>
      </c>
      <c r="F161" s="137">
        <f>IF(ISNUMBER(D161), $B172 * E161, "")</f>
        <v>-20754.716981132075</v>
      </c>
      <c r="G161" s="37">
        <v>142</v>
      </c>
      <c r="H161" s="75">
        <f t="shared" si="83"/>
        <v>-0.1069182389937107</v>
      </c>
      <c r="I161" s="207">
        <f>IF(ISNUMBER(G161), $B172 * H161, "")</f>
        <v>-16037.735849056604</v>
      </c>
      <c r="J161" s="130">
        <v>143</v>
      </c>
      <c r="K161" s="75">
        <f t="shared" si="84"/>
        <v>-0.10062893081761007</v>
      </c>
      <c r="L161" s="137">
        <f>IF(ISNUMBER(J161), $B172 * K161, "")</f>
        <v>-15094.33962264151</v>
      </c>
      <c r="M161" s="37"/>
      <c r="N161" s="75" t="str">
        <f t="shared" si="85"/>
        <v/>
      </c>
      <c r="O161" s="137" t="str">
        <f>IF(ISNUMBER(M161), $B172 * N161, "")</f>
        <v/>
      </c>
      <c r="Q161" s="269"/>
      <c r="R161" s="270"/>
      <c r="S161" s="271"/>
    </row>
    <row r="162" spans="1:19">
      <c r="A162" s="122" t="s">
        <v>230</v>
      </c>
      <c r="B162" s="123">
        <v>152</v>
      </c>
      <c r="C162" s="72">
        <v>-6.5359477000000001E-3</v>
      </c>
      <c r="D162" s="123">
        <v>131</v>
      </c>
      <c r="E162" s="72">
        <f>IF(ISNUMBER(D162), (D162 - $B162) / $B162, "")</f>
        <v>-0.13815789473684212</v>
      </c>
      <c r="F162" s="140">
        <f>IF(ISNUMBER(D162), $B172 * E162, "")</f>
        <v>-20723.684210526317</v>
      </c>
      <c r="G162" s="38">
        <v>135</v>
      </c>
      <c r="H162" s="72">
        <f>IF(ISNUMBER(G162), (G162 - $B162) / $B162, "")</f>
        <v>-0.1118421052631579</v>
      </c>
      <c r="I162" s="201">
        <f>IF(ISNUMBER(G162), $B172 * H162, "")</f>
        <v>-16776.315789473683</v>
      </c>
      <c r="J162" s="123">
        <v>134</v>
      </c>
      <c r="K162" s="72">
        <f>IF(ISNUMBER(J162), (J162 - $B162) / $B162, "")</f>
        <v>-0.11842105263157894</v>
      </c>
      <c r="L162" s="140">
        <f>IF(ISNUMBER(J162), $B172 * K162, "")</f>
        <v>-17763.15789473684</v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72"/>
      <c r="R162" s="273"/>
      <c r="S162" s="274"/>
    </row>
    <row r="163" spans="1:19" ht="17.25" thickBot="1">
      <c r="A163" s="124" t="s">
        <v>296</v>
      </c>
      <c r="B163" s="125">
        <v>631</v>
      </c>
      <c r="C163" s="73">
        <v>-7.8616351999999997E-3</v>
      </c>
      <c r="D163" s="125">
        <v>604</v>
      </c>
      <c r="E163" s="73">
        <f t="shared" ref="E163:E166" si="86">IF(ISNUMBER(D163), (D163 - $B163) / $B163, "")</f>
        <v>-4.2789223454833596E-2</v>
      </c>
      <c r="F163" s="136">
        <f>IF(ISNUMBER(D163), $B172 * E163, "")</f>
        <v>-6418.3835182250396</v>
      </c>
      <c r="G163" s="39">
        <v>620</v>
      </c>
      <c r="H163" s="73">
        <f t="shared" ref="H163:H166" si="87">IF(ISNUMBER(G163), (G163 - $B163) / $B163, "")</f>
        <v>-1.7432646592709985E-2</v>
      </c>
      <c r="I163" s="202">
        <f>IF(ISNUMBER(G163), $B172 * H163, "")</f>
        <v>-2614.8969889064979</v>
      </c>
      <c r="J163" s="125">
        <v>612</v>
      </c>
      <c r="K163" s="73">
        <f t="shared" ref="K163:K166" si="88">IF(ISNUMBER(J163), (J163 - $B163) / $B163, "")</f>
        <v>-3.0110935023771792E-2</v>
      </c>
      <c r="L163" s="136">
        <f>IF(ISNUMBER(J163), $B172 * K163, "")</f>
        <v>-4516.6402535657689</v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75"/>
      <c r="R163" s="276"/>
      <c r="S163" s="277"/>
    </row>
    <row r="164" spans="1:19" ht="17.25" thickBot="1">
      <c r="A164" s="124" t="s">
        <v>258</v>
      </c>
      <c r="B164" s="125">
        <v>594</v>
      </c>
      <c r="C164" s="73">
        <v>-0.01</v>
      </c>
      <c r="D164" s="125">
        <v>601</v>
      </c>
      <c r="E164" s="73">
        <f t="shared" si="86"/>
        <v>1.1784511784511785E-2</v>
      </c>
      <c r="F164" s="136">
        <f>IF(ISNUMBER(D164), $B172 * E164, "")</f>
        <v>1767.6767676767677</v>
      </c>
      <c r="G164" s="39">
        <v>606</v>
      </c>
      <c r="H164" s="73">
        <f t="shared" si="87"/>
        <v>2.0202020202020204E-2</v>
      </c>
      <c r="I164" s="202">
        <f>IF(ISNUMBER(G164), $B172 * H164, "")</f>
        <v>3030.3030303030305</v>
      </c>
      <c r="J164" s="125">
        <v>607</v>
      </c>
      <c r="K164" s="73">
        <f t="shared" si="88"/>
        <v>2.1885521885521887E-2</v>
      </c>
      <c r="L164" s="136">
        <f>IF(ISNUMBER(J164), $B172 * K164, "")</f>
        <v>3282.8282828282831</v>
      </c>
      <c r="M164" s="39"/>
      <c r="N164" s="73" t="str">
        <f t="shared" si="89"/>
        <v/>
      </c>
      <c r="O164" s="136" t="str">
        <f>IF(ISNUMBER(M164), $B172 * N164, "")</f>
        <v/>
      </c>
      <c r="Q164" s="268"/>
      <c r="R164" s="268"/>
      <c r="S164" s="268"/>
    </row>
    <row r="165" spans="1:19" ht="17.25" thickBot="1">
      <c r="A165" s="124" t="s">
        <v>210</v>
      </c>
      <c r="B165" s="125">
        <v>163</v>
      </c>
      <c r="C165" s="73">
        <v>-1.2121212100000001E-2</v>
      </c>
      <c r="D165" s="125">
        <v>140</v>
      </c>
      <c r="E165" s="73">
        <f t="shared" si="86"/>
        <v>-0.1411042944785276</v>
      </c>
      <c r="F165" s="136">
        <f>IF(ISNUMBER(D165), $B172 * E165, "")</f>
        <v>-21165.644171779139</v>
      </c>
      <c r="G165" s="39">
        <v>147</v>
      </c>
      <c r="H165" s="73">
        <f t="shared" si="87"/>
        <v>-9.815950920245399E-2</v>
      </c>
      <c r="I165" s="202">
        <f>IF(ISNUMBER(G165), $B172 * H165, "")</f>
        <v>-14723.926380368099</v>
      </c>
      <c r="J165" s="125">
        <v>146</v>
      </c>
      <c r="K165" s="73">
        <f t="shared" si="88"/>
        <v>-0.10429447852760736</v>
      </c>
      <c r="L165" s="136">
        <f>IF(ISNUMBER(J165), $B172 * K165, "")</f>
        <v>-15644.171779141103</v>
      </c>
      <c r="M165" s="39"/>
      <c r="N165" s="73" t="str">
        <f t="shared" si="89"/>
        <v/>
      </c>
      <c r="O165" s="136" t="str">
        <f>IF(ISNUMBER(M165), $B172 * N165, "")</f>
        <v/>
      </c>
      <c r="Q165" s="278"/>
      <c r="R165" s="278"/>
      <c r="S165" s="278"/>
    </row>
    <row r="166" spans="1:19" ht="17.25" thickBot="1">
      <c r="A166" s="126" t="s">
        <v>240</v>
      </c>
      <c r="B166" s="127">
        <v>154</v>
      </c>
      <c r="C166" s="74">
        <v>-1.2820512799999999E-2</v>
      </c>
      <c r="D166" s="127">
        <v>140</v>
      </c>
      <c r="E166" s="74">
        <f t="shared" si="86"/>
        <v>-9.0909090909090912E-2</v>
      </c>
      <c r="F166" s="203">
        <f>IF(ISNUMBER(D166), $B172 * E166, "")</f>
        <v>-13636.363636363636</v>
      </c>
      <c r="G166" s="44">
        <v>144</v>
      </c>
      <c r="H166" s="74">
        <f t="shared" si="87"/>
        <v>-6.4935064935064929E-2</v>
      </c>
      <c r="I166" s="204">
        <f>IF(ISNUMBER(G166), $B172 * H166, "")</f>
        <v>-9740.2597402597385</v>
      </c>
      <c r="J166" s="127">
        <v>143</v>
      </c>
      <c r="K166" s="74">
        <f t="shared" si="88"/>
        <v>-7.1428571428571425E-2</v>
      </c>
      <c r="L166" s="203">
        <f>IF(ISNUMBER(J166), $B172 * K166, "")</f>
        <v>-10714.285714285714</v>
      </c>
      <c r="M166" s="44"/>
      <c r="N166" s="74" t="str">
        <f t="shared" si="89"/>
        <v/>
      </c>
      <c r="O166" s="203" t="str">
        <f>IF(ISNUMBER(M166), $B172 * N166, "")</f>
        <v/>
      </c>
      <c r="Q166" s="278"/>
      <c r="R166" s="278"/>
      <c r="S166" s="278"/>
    </row>
    <row r="167" spans="1:19" ht="17.25" thickBot="1">
      <c r="A167" s="124" t="s">
        <v>282</v>
      </c>
      <c r="B167" s="128">
        <v>144</v>
      </c>
      <c r="C167" s="76">
        <v>-1.3698630099999999E-2</v>
      </c>
      <c r="D167" s="128">
        <v>126</v>
      </c>
      <c r="E167" s="76">
        <f>IF(ISNUMBER(D167), (D167 - $B167) / $B167, "")</f>
        <v>-0.125</v>
      </c>
      <c r="F167" s="205">
        <f>IF(ISNUMBER(D167), $B172 * E167, "")</f>
        <v>-18750</v>
      </c>
      <c r="G167" s="45">
        <v>131</v>
      </c>
      <c r="H167" s="76">
        <f>IF(ISNUMBER(G167), (G167 - $B167) / $B167, "")</f>
        <v>-9.0277777777777776E-2</v>
      </c>
      <c r="I167" s="206">
        <f>IF(ISNUMBER(G167), $B172 * H167, "")</f>
        <v>-13541.666666666666</v>
      </c>
      <c r="J167" s="128">
        <v>129</v>
      </c>
      <c r="K167" s="76">
        <f>IF(ISNUMBER(J167), (J167 - $B167) / $B167, "")</f>
        <v>-0.10416666666666667</v>
      </c>
      <c r="L167" s="205">
        <f>IF(ISNUMBER(J167), $B172 * K167, "")</f>
        <v>-15625</v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68"/>
      <c r="R167" s="268"/>
      <c r="S167" s="268"/>
    </row>
    <row r="168" spans="1:19" ht="17.25" thickBot="1">
      <c r="A168" s="124" t="s">
        <v>182</v>
      </c>
      <c r="B168" s="125">
        <v>487</v>
      </c>
      <c r="C168" s="73">
        <v>-2.01207243E-2</v>
      </c>
      <c r="D168" s="125">
        <v>413</v>
      </c>
      <c r="E168" s="73">
        <f t="shared" ref="E168:E171" si="90">IF(ISNUMBER(D168), (D168 - $B168) / $B168, "")</f>
        <v>-0.15195071868583163</v>
      </c>
      <c r="F168" s="136">
        <f>IF(ISNUMBER(D168), $B172 * E168, "")</f>
        <v>-22792.607802874743</v>
      </c>
      <c r="G168" s="39">
        <v>436</v>
      </c>
      <c r="H168" s="73">
        <f t="shared" ref="H168:H171" si="91">IF(ISNUMBER(G168), (G168 - $B168) / $B168, "")</f>
        <v>-0.10472279260780287</v>
      </c>
      <c r="I168" s="202">
        <f>IF(ISNUMBER(G168), $B172 * H168, "")</f>
        <v>-15708.418891170431</v>
      </c>
      <c r="J168" s="125">
        <v>431</v>
      </c>
      <c r="K168" s="73">
        <f t="shared" ref="K168:K171" si="92">IF(ISNUMBER(J168), (J168 - $B168) / $B168, "")</f>
        <v>-0.11498973305954825</v>
      </c>
      <c r="L168" s="136">
        <f>IF(ISNUMBER(J168), $B172 * K168, "")</f>
        <v>-17248.459958932239</v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68"/>
      <c r="R168" s="268"/>
      <c r="S168" s="268"/>
    </row>
    <row r="169" spans="1:19" ht="17.25" thickBot="1">
      <c r="A169" s="124" t="s">
        <v>226</v>
      </c>
      <c r="B169" s="125">
        <v>436</v>
      </c>
      <c r="C169" s="73">
        <v>-2.2421524700000001E-2</v>
      </c>
      <c r="D169" s="125">
        <v>367</v>
      </c>
      <c r="E169" s="73">
        <f t="shared" si="90"/>
        <v>-0.15825688073394495</v>
      </c>
      <c r="F169" s="136">
        <f>IF(ISNUMBER(D169), $B172 * E169, "")</f>
        <v>-23738.532110091743</v>
      </c>
      <c r="G169" s="39">
        <v>384</v>
      </c>
      <c r="H169" s="73">
        <f t="shared" si="91"/>
        <v>-0.11926605504587157</v>
      </c>
      <c r="I169" s="202">
        <f>IF(ISNUMBER(G169), $B172 * H169, "")</f>
        <v>-17889.908256880735</v>
      </c>
      <c r="J169" s="125">
        <v>380</v>
      </c>
      <c r="K169" s="73">
        <f t="shared" si="92"/>
        <v>-0.12844036697247707</v>
      </c>
      <c r="L169" s="136">
        <f>IF(ISNUMBER(J169), $B172 * K169, "")</f>
        <v>-19266.055045871562</v>
      </c>
      <c r="M169" s="39"/>
      <c r="N169" s="73" t="str">
        <f t="shared" si="93"/>
        <v/>
      </c>
      <c r="O169" s="136" t="str">
        <f>IF(ISNUMBER(M169), $B172 * N169, "")</f>
        <v/>
      </c>
      <c r="Q169" s="268"/>
      <c r="R169" s="268"/>
      <c r="S169" s="268"/>
    </row>
    <row r="170" spans="1:19">
      <c r="A170" s="124" t="s">
        <v>260</v>
      </c>
      <c r="B170" s="125">
        <v>124</v>
      </c>
      <c r="C170" s="73">
        <v>-3.125E-2</v>
      </c>
      <c r="D170" s="125">
        <v>105</v>
      </c>
      <c r="E170" s="73">
        <f t="shared" si="90"/>
        <v>-0.15322580645161291</v>
      </c>
      <c r="F170" s="136">
        <f>IF(ISNUMBER(D170), $B172 * E170, "")</f>
        <v>-22983.870967741936</v>
      </c>
      <c r="G170" s="39">
        <v>112</v>
      </c>
      <c r="H170" s="73">
        <f t="shared" si="91"/>
        <v>-9.6774193548387094E-2</v>
      </c>
      <c r="I170" s="202">
        <f>IF(ISNUMBER(G170), $B172 * H170, "")</f>
        <v>-14516.129032258064</v>
      </c>
      <c r="J170" s="125">
        <v>110</v>
      </c>
      <c r="K170" s="73">
        <f t="shared" si="92"/>
        <v>-0.11290322580645161</v>
      </c>
      <c r="L170" s="136">
        <f>IF(ISNUMBER(J170), $B172 * K170, "")</f>
        <v>-16935.483870967742</v>
      </c>
      <c r="M170" s="39"/>
      <c r="N170" s="73" t="str">
        <f t="shared" si="93"/>
        <v/>
      </c>
      <c r="O170" s="136" t="str">
        <f>IF(ISNUMBER(M170), $B172 * N170, "")</f>
        <v/>
      </c>
      <c r="Q170" s="257"/>
      <c r="R170" s="258"/>
      <c r="S170" s="259"/>
    </row>
    <row r="171" spans="1:19" ht="17.25" thickBot="1">
      <c r="A171" s="129" t="s">
        <v>246</v>
      </c>
      <c r="B171" s="130">
        <v>330</v>
      </c>
      <c r="C171" s="75">
        <v>-4.3478260900000003E-2</v>
      </c>
      <c r="D171" s="130">
        <v>288</v>
      </c>
      <c r="E171" s="75">
        <f t="shared" si="90"/>
        <v>-0.12727272727272726</v>
      </c>
      <c r="F171" s="137">
        <f>IF(ISNUMBER(D171), $B172 * E171, "")</f>
        <v>-19090.909090909088</v>
      </c>
      <c r="G171" s="37">
        <v>298</v>
      </c>
      <c r="H171" s="75">
        <f t="shared" si="91"/>
        <v>-9.696969696969697E-2</v>
      </c>
      <c r="I171" s="207">
        <f>IF(ISNUMBER(G171), $B172 * H171, "")</f>
        <v>-14545.454545454546</v>
      </c>
      <c r="J171" s="130">
        <v>295</v>
      </c>
      <c r="K171" s="75">
        <f t="shared" si="92"/>
        <v>-0.10606060606060606</v>
      </c>
      <c r="L171" s="137">
        <f>IF(ISNUMBER(J171), $B172 * K171, "")</f>
        <v>-15909.09090909091</v>
      </c>
      <c r="M171" s="37"/>
      <c r="N171" s="75" t="str">
        <f t="shared" si="93"/>
        <v/>
      </c>
      <c r="O171" s="137" t="str">
        <f>IF(ISNUMBER(M171), $B172 * N171, "")</f>
        <v/>
      </c>
      <c r="Q171" s="260"/>
      <c r="R171" s="261"/>
      <c r="S171" s="262"/>
    </row>
    <row r="172" spans="1:19" ht="17.25" thickBot="1">
      <c r="A172" s="131" t="s">
        <v>301</v>
      </c>
      <c r="B172" s="330">
        <f>$B$37</f>
        <v>150000</v>
      </c>
      <c r="C172" s="331"/>
      <c r="D172" s="131" t="s">
        <v>302</v>
      </c>
      <c r="E172" s="252">
        <f>IF(COUNT(E152:E171), SUM(E152:E171) / COUNT(E152:E171), 0)</f>
        <v>-0.12315621660114293</v>
      </c>
      <c r="F172" s="208">
        <f>SUM(F152:F171)</f>
        <v>-369468.64980342868</v>
      </c>
      <c r="G172" s="131" t="s">
        <v>302</v>
      </c>
      <c r="H172" s="252">
        <f>IF(COUNT(H152:H171), SUM(H152:H171) / COUNT(H152:H171), 0)</f>
        <v>-8.559383436268099E-2</v>
      </c>
      <c r="I172" s="208">
        <f>SUM(I152:I171)</f>
        <v>-256781.50308804293</v>
      </c>
      <c r="J172" s="131" t="s">
        <v>302</v>
      </c>
      <c r="K172" s="252">
        <f>IF(COUNT(K152:K171), SUM(K152:K171) / COUNT(K152:K171), 0)</f>
        <v>-9.3609876629076647E-2</v>
      </c>
      <c r="L172" s="208">
        <f>SUM(L152:L171)</f>
        <v>-280829.62988722988</v>
      </c>
      <c r="M172" s="131" t="s">
        <v>302</v>
      </c>
      <c r="N172" s="252">
        <f>IF(COUNT(N152:N171), SUM(N152:N171) / COUNT(N152:N171), 0)</f>
        <v>0</v>
      </c>
      <c r="O172" s="208">
        <f>SUM(O152:O171)</f>
        <v>0</v>
      </c>
      <c r="Q172" s="263"/>
      <c r="R172" s="264"/>
      <c r="S172" s="265"/>
    </row>
    <row r="174" spans="1:19" ht="17.25" thickBot="1"/>
    <row r="175" spans="1:19" ht="17.25" thickBot="1">
      <c r="A175" s="279" t="s">
        <v>285</v>
      </c>
      <c r="B175" s="280"/>
      <c r="C175" s="280"/>
      <c r="D175" s="280"/>
      <c r="E175" s="280"/>
      <c r="F175" s="280"/>
      <c r="G175" s="280"/>
      <c r="H175" s="280"/>
      <c r="I175" s="280"/>
      <c r="J175" s="280"/>
      <c r="K175" s="280"/>
      <c r="L175" s="280"/>
      <c r="M175" s="280"/>
      <c r="N175" s="280"/>
      <c r="O175" s="281"/>
      <c r="Q175" s="278"/>
      <c r="R175" s="278"/>
      <c r="S175" s="278"/>
    </row>
    <row r="176" spans="1:19" ht="17.25" thickBot="1">
      <c r="A176" s="249" t="s">
        <v>298</v>
      </c>
      <c r="B176" s="279" t="s">
        <v>49</v>
      </c>
      <c r="C176" s="281"/>
      <c r="D176" s="279" t="s">
        <v>58</v>
      </c>
      <c r="E176" s="280"/>
      <c r="F176" s="281"/>
      <c r="G176" s="282">
        <f>_xlfn.IFNA(VLOOKUP(B176, 현재가테이블!$B$2:$D$200, 2, FALSE), "-")</f>
        <v>55555000</v>
      </c>
      <c r="H176" s="283"/>
      <c r="I176" s="284"/>
      <c r="J176" s="279" t="s">
        <v>59</v>
      </c>
      <c r="K176" s="280"/>
      <c r="L176" s="281"/>
      <c r="M176" s="285">
        <f>_xlfn.IFNA(VLOOKUP(B176, 현재가테이블!$B$2:$D$200, 3, FALSE), "-")</f>
        <v>-3.6323266700000002E-2</v>
      </c>
      <c r="N176" s="286"/>
      <c r="O176" s="287"/>
      <c r="Q176" s="278"/>
      <c r="R176" s="278"/>
      <c r="S176" s="278"/>
    </row>
    <row r="177" spans="1:19" ht="17.25" thickBot="1">
      <c r="A177" s="332" t="s">
        <v>55</v>
      </c>
      <c r="B177" s="328" t="str">
        <f>TEXT($G$1, "[$-ko-KR]yyyy-mm-dd(ddd) ") &amp; "오전 00:00"</f>
        <v>2021-05-17(월) 오전 00:00</v>
      </c>
      <c r="C177" s="329"/>
      <c r="D177" s="279" t="str">
        <f>TEXT($G$1, "[$-ko-KR]yyyy-mm-dd(ddd) ") &amp; "오후 14:00"</f>
        <v>2021-05-17(월) 오후 14:00</v>
      </c>
      <c r="E177" s="280"/>
      <c r="F177" s="281"/>
      <c r="G177" s="279" t="str">
        <f>TEXT($G$1, "[$-ko-KR]yyyy-mm-dd(ddd) ") &amp; "오후 19:00"</f>
        <v>2021-05-17(월) 오후 19:00</v>
      </c>
      <c r="H177" s="280"/>
      <c r="I177" s="281"/>
      <c r="J177" s="279" t="str">
        <f>TEXT($G$1, "[$-ko-KR]yyyy-mm-dd(ddd) ") &amp; "오후 21:00"</f>
        <v>2021-05-17(월) 오후 21:00</v>
      </c>
      <c r="K177" s="280"/>
      <c r="L177" s="281"/>
      <c r="M177" s="279" t="str">
        <f>TEXT($G$1+1, "[$-ko-KR]yyyy-mm-dd(ddd) ") &amp; "오전 00:00"</f>
        <v>2021-05-18(화) 오전 00:00</v>
      </c>
      <c r="N177" s="280"/>
      <c r="O177" s="281"/>
      <c r="Q177" s="278"/>
      <c r="R177" s="278"/>
      <c r="S177" s="278"/>
    </row>
    <row r="178" spans="1:19" ht="17.25" thickBot="1">
      <c r="A178" s="333"/>
      <c r="B178" s="120" t="s">
        <v>58</v>
      </c>
      <c r="C178" s="121" t="s">
        <v>59</v>
      </c>
      <c r="D178" s="120" t="s">
        <v>58</v>
      </c>
      <c r="E178" s="121" t="s">
        <v>299</v>
      </c>
      <c r="F178" s="256" t="s">
        <v>300</v>
      </c>
      <c r="G178" s="249" t="s">
        <v>58</v>
      </c>
      <c r="H178" s="250" t="s">
        <v>299</v>
      </c>
      <c r="I178" s="251" t="s">
        <v>300</v>
      </c>
      <c r="J178" s="121" t="s">
        <v>58</v>
      </c>
      <c r="K178" s="121" t="s">
        <v>299</v>
      </c>
      <c r="L178" s="254" t="s">
        <v>300</v>
      </c>
      <c r="M178" s="120" t="s">
        <v>58</v>
      </c>
      <c r="N178" s="121" t="s">
        <v>299</v>
      </c>
      <c r="O178" s="255" t="s">
        <v>300</v>
      </c>
      <c r="Q178" s="268"/>
      <c r="R178" s="268"/>
      <c r="S178" s="268"/>
    </row>
    <row r="179" spans="1:19" ht="17.25" thickBot="1">
      <c r="A179" s="122" t="s">
        <v>204</v>
      </c>
      <c r="B179" s="123">
        <v>6220</v>
      </c>
      <c r="C179" s="72">
        <v>-8.7649401999999998E-3</v>
      </c>
      <c r="D179" s="123">
        <v>5325</v>
      </c>
      <c r="E179" s="72">
        <f>IF(ISNUMBER(D179), (D179 - $B179) / $B179, "")</f>
        <v>-0.14389067524115756</v>
      </c>
      <c r="F179" s="140">
        <f>IF(ISNUMBER(D179), $B199 * E179, "")</f>
        <v>-21583.601286173634</v>
      </c>
      <c r="G179" s="38">
        <v>5545</v>
      </c>
      <c r="H179" s="72">
        <f>IF(ISNUMBER(G179), (G179 - $B179) / $B179, "")</f>
        <v>-0.10852090032154341</v>
      </c>
      <c r="I179" s="201">
        <f>IF(ISNUMBER(G179), $B199 * H179, "")</f>
        <v>-16278.13504823151</v>
      </c>
      <c r="J179" s="123">
        <v>5535</v>
      </c>
      <c r="K179" s="72">
        <f>IF(ISNUMBER(J179), (J179 - $B179) / $B179, "")</f>
        <v>-0.11012861736334405</v>
      </c>
      <c r="L179" s="140">
        <f>IF(ISNUMBER(J179), $B199 * K179, "")</f>
        <v>-16519.292604501607</v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78"/>
      <c r="R179" s="278"/>
      <c r="S179" s="278"/>
    </row>
    <row r="180" spans="1:19" ht="17.25" thickBot="1">
      <c r="A180" s="124" t="s">
        <v>234</v>
      </c>
      <c r="B180" s="125">
        <v>1085</v>
      </c>
      <c r="C180" s="73">
        <v>-9.1324201000000001E-3</v>
      </c>
      <c r="D180" s="125">
        <v>932</v>
      </c>
      <c r="E180" s="73">
        <f t="shared" ref="E180:E183" si="94">IF(ISNUMBER(D180), (D180 - $B180) / $B180, "")</f>
        <v>-0.14101382488479264</v>
      </c>
      <c r="F180" s="136">
        <f>IF(ISNUMBER(D180), $B199 * E180, "")</f>
        <v>-21152.073732718894</v>
      </c>
      <c r="G180" s="39">
        <v>980</v>
      </c>
      <c r="H180" s="73">
        <f t="shared" ref="H180:H183" si="95">IF(ISNUMBER(G180), (G180 - $B180) / $B180, "")</f>
        <v>-9.6774193548387094E-2</v>
      </c>
      <c r="I180" s="202">
        <f>IF(ISNUMBER(G180), $B199 * H180, "")</f>
        <v>-14516.129032258064</v>
      </c>
      <c r="J180" s="125">
        <v>977</v>
      </c>
      <c r="K180" s="73">
        <f t="shared" ref="K180:K183" si="96">IF(ISNUMBER(J180), (J180 - $B180) / $B180, "")</f>
        <v>-9.9539170506912439E-2</v>
      </c>
      <c r="L180" s="136">
        <f>IF(ISNUMBER(J180), $B199 * K180, "")</f>
        <v>-14930.875576036866</v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78"/>
      <c r="R180" s="278"/>
      <c r="S180" s="278"/>
    </row>
    <row r="181" spans="1:19" ht="17.25" thickBot="1">
      <c r="A181" s="124" t="s">
        <v>258</v>
      </c>
      <c r="B181" s="125">
        <v>594</v>
      </c>
      <c r="C181" s="73">
        <v>-0.01</v>
      </c>
      <c r="D181" s="125">
        <v>601</v>
      </c>
      <c r="E181" s="73">
        <f t="shared" si="94"/>
        <v>1.1784511784511785E-2</v>
      </c>
      <c r="F181" s="136">
        <f>IF(ISNUMBER(D181), $B199 * E181, "")</f>
        <v>1767.6767676767677</v>
      </c>
      <c r="G181" s="39">
        <v>606</v>
      </c>
      <c r="H181" s="73">
        <f t="shared" si="95"/>
        <v>2.0202020202020204E-2</v>
      </c>
      <c r="I181" s="202">
        <f>IF(ISNUMBER(G181), $B199 * H181, "")</f>
        <v>3030.3030303030305</v>
      </c>
      <c r="J181" s="125">
        <v>607</v>
      </c>
      <c r="K181" s="73">
        <f t="shared" si="96"/>
        <v>2.1885521885521887E-2</v>
      </c>
      <c r="L181" s="136">
        <f>IF(ISNUMBER(J181), $B199 * K181, "")</f>
        <v>3282.8282828282831</v>
      </c>
      <c r="M181" s="39"/>
      <c r="N181" s="73" t="str">
        <f t="shared" si="97"/>
        <v/>
      </c>
      <c r="O181" s="136" t="str">
        <f>IF(ISNUMBER(M181), $B199 * N181, "")</f>
        <v/>
      </c>
      <c r="Q181" s="268"/>
      <c r="R181" s="268"/>
      <c r="S181" s="268"/>
    </row>
    <row r="182" spans="1:19" ht="17.25" thickBot="1">
      <c r="A182" s="124" t="s">
        <v>67</v>
      </c>
      <c r="B182" s="125">
        <v>7000</v>
      </c>
      <c r="C182" s="73">
        <v>-1.1299435E-2</v>
      </c>
      <c r="D182" s="125">
        <v>6120</v>
      </c>
      <c r="E182" s="73">
        <f t="shared" si="94"/>
        <v>-0.12571428571428572</v>
      </c>
      <c r="F182" s="136">
        <f>IF(ISNUMBER(D182), $B199 * E182, "")</f>
        <v>-18857.142857142859</v>
      </c>
      <c r="G182" s="39">
        <v>6305</v>
      </c>
      <c r="H182" s="73">
        <f t="shared" si="95"/>
        <v>-9.9285714285714283E-2</v>
      </c>
      <c r="I182" s="202">
        <f>IF(ISNUMBER(G182), $B199 * H182, "")</f>
        <v>-14892.857142857143</v>
      </c>
      <c r="J182" s="125">
        <v>6265</v>
      </c>
      <c r="K182" s="73">
        <f t="shared" si="96"/>
        <v>-0.105</v>
      </c>
      <c r="L182" s="136">
        <f>IF(ISNUMBER(J182), $B199 * K182, "")</f>
        <v>-15750</v>
      </c>
      <c r="M182" s="39"/>
      <c r="N182" s="73" t="str">
        <f t="shared" si="97"/>
        <v/>
      </c>
      <c r="O182" s="136" t="str">
        <f>IF(ISNUMBER(M182), $B199 * N182, "")</f>
        <v/>
      </c>
      <c r="Q182" s="268"/>
      <c r="R182" s="268"/>
      <c r="S182" s="268"/>
    </row>
    <row r="183" spans="1:19" ht="17.25" thickBot="1">
      <c r="A183" s="126" t="s">
        <v>90</v>
      </c>
      <c r="B183" s="127">
        <v>384300</v>
      </c>
      <c r="C183" s="74">
        <v>-1.1955264199999999E-2</v>
      </c>
      <c r="D183" s="127">
        <v>343250</v>
      </c>
      <c r="E183" s="74">
        <f t="shared" si="94"/>
        <v>-0.1068175904241478</v>
      </c>
      <c r="F183" s="203">
        <f>IF(ISNUMBER(D183), $B199 * E183, "")</f>
        <v>-16022.638563622171</v>
      </c>
      <c r="G183" s="44">
        <v>356000</v>
      </c>
      <c r="H183" s="74">
        <f t="shared" si="95"/>
        <v>-7.3640385115794946E-2</v>
      </c>
      <c r="I183" s="204">
        <f>IF(ISNUMBER(G183), $B199 * H183, "")</f>
        <v>-11046.057767369242</v>
      </c>
      <c r="J183" s="127">
        <v>350400</v>
      </c>
      <c r="K183" s="74">
        <f t="shared" si="96"/>
        <v>-8.8212334113973459E-2</v>
      </c>
      <c r="L183" s="203">
        <f>IF(ISNUMBER(J183), $B199 * K183, "")</f>
        <v>-13231.850117096019</v>
      </c>
      <c r="M183" s="44"/>
      <c r="N183" s="74" t="str">
        <f t="shared" si="97"/>
        <v/>
      </c>
      <c r="O183" s="203" t="str">
        <f>IF(ISNUMBER(M183), $B199 * N183, "")</f>
        <v/>
      </c>
      <c r="Q183" s="268"/>
      <c r="R183" s="268"/>
      <c r="S183" s="268"/>
    </row>
    <row r="184" spans="1:19" ht="17.25" thickBot="1">
      <c r="A184" s="124" t="s">
        <v>210</v>
      </c>
      <c r="B184" s="128">
        <v>163</v>
      </c>
      <c r="C184" s="76">
        <v>-1.2121212100000001E-2</v>
      </c>
      <c r="D184" s="128">
        <v>140</v>
      </c>
      <c r="E184" s="76">
        <f>IF(ISNUMBER(D184), (D184 - $B184) / $B184, "")</f>
        <v>-0.1411042944785276</v>
      </c>
      <c r="F184" s="205">
        <f>IF(ISNUMBER(D184), $B199 * E184, "")</f>
        <v>-21165.644171779139</v>
      </c>
      <c r="G184" s="45">
        <v>147</v>
      </c>
      <c r="H184" s="76">
        <f>IF(ISNUMBER(G184), (G184 - $B184) / $B184, "")</f>
        <v>-9.815950920245399E-2</v>
      </c>
      <c r="I184" s="206">
        <f>IF(ISNUMBER(G184), $B199 * H184, "")</f>
        <v>-14723.926380368099</v>
      </c>
      <c r="J184" s="128">
        <v>146</v>
      </c>
      <c r="K184" s="76">
        <f>IF(ISNUMBER(J184), (J184 - $B184) / $B184, "")</f>
        <v>-0.10429447852760736</v>
      </c>
      <c r="L184" s="205">
        <f>IF(ISNUMBER(J184), $B199 * K184, "")</f>
        <v>-15644.171779141103</v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68"/>
      <c r="R184" s="268"/>
      <c r="S184" s="268"/>
    </row>
    <row r="185" spans="1:19" ht="17.25" thickBot="1">
      <c r="A185" s="124" t="s">
        <v>240</v>
      </c>
      <c r="B185" s="125">
        <v>154</v>
      </c>
      <c r="C185" s="73">
        <v>-1.2820512799999999E-2</v>
      </c>
      <c r="D185" s="125">
        <v>140</v>
      </c>
      <c r="E185" s="73">
        <f t="shared" ref="E185:E188" si="98">IF(ISNUMBER(D185), (D185 - $B185) / $B185, "")</f>
        <v>-9.0909090909090912E-2</v>
      </c>
      <c r="F185" s="136">
        <f>IF(ISNUMBER(D185), $B199 * E185, "")</f>
        <v>-13636.363636363636</v>
      </c>
      <c r="G185" s="39">
        <v>144</v>
      </c>
      <c r="H185" s="73">
        <f t="shared" ref="H185:H188" si="99">IF(ISNUMBER(G185), (G185 - $B185) / $B185, "")</f>
        <v>-6.4935064935064929E-2</v>
      </c>
      <c r="I185" s="202">
        <f>IF(ISNUMBER(G185), $B199 * H185, "")</f>
        <v>-9740.2597402597385</v>
      </c>
      <c r="J185" s="125">
        <v>143</v>
      </c>
      <c r="K185" s="73">
        <f t="shared" ref="K185:K188" si="100">IF(ISNUMBER(J185), (J185 - $B185) / $B185, "")</f>
        <v>-7.1428571428571425E-2</v>
      </c>
      <c r="L185" s="136">
        <f>IF(ISNUMBER(J185), $B199 * K185, "")</f>
        <v>-10714.285714285714</v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68"/>
      <c r="R185" s="268"/>
      <c r="S185" s="268"/>
    </row>
    <row r="186" spans="1:19" ht="17.25" thickBot="1">
      <c r="A186" s="124" t="s">
        <v>282</v>
      </c>
      <c r="B186" s="125">
        <v>144</v>
      </c>
      <c r="C186" s="73">
        <v>-1.3698630099999999E-2</v>
      </c>
      <c r="D186" s="125">
        <v>126</v>
      </c>
      <c r="E186" s="73">
        <f t="shared" si="98"/>
        <v>-0.125</v>
      </c>
      <c r="F186" s="136">
        <f>IF(ISNUMBER(D186), $B199 * E186, "")</f>
        <v>-18750</v>
      </c>
      <c r="G186" s="39">
        <v>131</v>
      </c>
      <c r="H186" s="73">
        <f t="shared" si="99"/>
        <v>-9.0277777777777776E-2</v>
      </c>
      <c r="I186" s="202">
        <f>IF(ISNUMBER(G186), $B199 * H186, "")</f>
        <v>-13541.666666666666</v>
      </c>
      <c r="J186" s="125">
        <v>129</v>
      </c>
      <c r="K186" s="73">
        <f t="shared" si="100"/>
        <v>-0.10416666666666667</v>
      </c>
      <c r="L186" s="136">
        <f>IF(ISNUMBER(J186), $B199 * K186, "")</f>
        <v>-15625</v>
      </c>
      <c r="M186" s="39"/>
      <c r="N186" s="73" t="str">
        <f t="shared" si="101"/>
        <v/>
      </c>
      <c r="O186" s="136" t="str">
        <f>IF(ISNUMBER(M186), $B199 * N186, "")</f>
        <v/>
      </c>
      <c r="Q186" s="268"/>
      <c r="R186" s="268"/>
      <c r="S186" s="268"/>
    </row>
    <row r="187" spans="1:19" ht="17.25" thickBot="1">
      <c r="A187" s="124" t="s">
        <v>276</v>
      </c>
      <c r="B187" s="125">
        <v>4180</v>
      </c>
      <c r="C187" s="73">
        <v>-1.4150943399999999E-2</v>
      </c>
      <c r="D187" s="125">
        <v>3585</v>
      </c>
      <c r="E187" s="73">
        <f t="shared" si="98"/>
        <v>-0.1423444976076555</v>
      </c>
      <c r="F187" s="136">
        <f>IF(ISNUMBER(D187), $B199 * E187, "")</f>
        <v>-21351.674641148325</v>
      </c>
      <c r="G187" s="39">
        <v>3775</v>
      </c>
      <c r="H187" s="73">
        <f t="shared" si="99"/>
        <v>-9.6889952153110054E-2</v>
      </c>
      <c r="I187" s="202">
        <f>IF(ISNUMBER(G187), $B199 * H187, "")</f>
        <v>-14533.492822966507</v>
      </c>
      <c r="J187" s="125">
        <v>3690</v>
      </c>
      <c r="K187" s="73">
        <f t="shared" si="100"/>
        <v>-0.11722488038277512</v>
      </c>
      <c r="L187" s="136">
        <f>IF(ISNUMBER(J187), $B199 * K187, "")</f>
        <v>-17583.73205741627</v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96</v>
      </c>
      <c r="B188" s="130">
        <v>4512000</v>
      </c>
      <c r="C188" s="75">
        <v>-1.5062213499999999E-2</v>
      </c>
      <c r="D188" s="130">
        <v>4090000</v>
      </c>
      <c r="E188" s="75">
        <f t="shared" si="98"/>
        <v>-9.3528368794326244E-2</v>
      </c>
      <c r="F188" s="137">
        <f>IF(ISNUMBER(D188), $B199 * E188, "")</f>
        <v>-14029.255319148937</v>
      </c>
      <c r="G188" s="37">
        <v>4296000</v>
      </c>
      <c r="H188" s="75">
        <f t="shared" si="99"/>
        <v>-4.7872340425531915E-2</v>
      </c>
      <c r="I188" s="207">
        <f>IF(ISNUMBER(G188), $B199 * H188, "")</f>
        <v>-7180.8510638297876</v>
      </c>
      <c r="J188" s="130">
        <v>4276000</v>
      </c>
      <c r="K188" s="75">
        <f t="shared" si="100"/>
        <v>-5.2304964539007091E-2</v>
      </c>
      <c r="L188" s="137">
        <f>IF(ISNUMBER(J188), $B199 * K188, "")</f>
        <v>-7845.744680851064</v>
      </c>
      <c r="M188" s="37"/>
      <c r="N188" s="75" t="str">
        <f t="shared" si="101"/>
        <v/>
      </c>
      <c r="O188" s="137" t="str">
        <f>IF(ISNUMBER(M188), $B199 * N188, "")</f>
        <v/>
      </c>
      <c r="Q188" s="269"/>
      <c r="R188" s="270"/>
      <c r="S188" s="271"/>
    </row>
    <row r="189" spans="1:19">
      <c r="A189" s="122" t="s">
        <v>138</v>
      </c>
      <c r="B189" s="123">
        <v>53780</v>
      </c>
      <c r="C189" s="72">
        <v>-1.51986816E-2</v>
      </c>
      <c r="D189" s="123">
        <v>47370</v>
      </c>
      <c r="E189" s="72">
        <f>IF(ISNUMBER(D189), (D189 - $B189) / $B189, "")</f>
        <v>-0.11918928969877278</v>
      </c>
      <c r="F189" s="140">
        <f>IF(ISNUMBER(D189), $B199 * E189, "")</f>
        <v>-17878.393454815916</v>
      </c>
      <c r="G189" s="38">
        <v>49350</v>
      </c>
      <c r="H189" s="72">
        <f>IF(ISNUMBER(G189), (G189 - $B189) / $B189, "")</f>
        <v>-8.23726292301971E-2</v>
      </c>
      <c r="I189" s="201">
        <f>IF(ISNUMBER(G189), $B199 * H189, "")</f>
        <v>-12355.894384529565</v>
      </c>
      <c r="J189" s="123">
        <v>49280</v>
      </c>
      <c r="K189" s="72">
        <f>IF(ISNUMBER(J189), (J189 - $B189) / $B189, "")</f>
        <v>-8.3674228337671991E-2</v>
      </c>
      <c r="L189" s="140">
        <f>IF(ISNUMBER(J189), $B199 * K189, "")</f>
        <v>-12551.134250650799</v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72"/>
      <c r="R189" s="273"/>
      <c r="S189" s="274"/>
    </row>
    <row r="190" spans="1:19" ht="17.25" thickBot="1">
      <c r="A190" s="124" t="s">
        <v>108</v>
      </c>
      <c r="B190" s="125">
        <v>51640</v>
      </c>
      <c r="C190" s="73">
        <v>-1.6193560700000002E-2</v>
      </c>
      <c r="D190" s="125">
        <v>44580</v>
      </c>
      <c r="E190" s="73">
        <f t="shared" ref="E190:E193" si="102">IF(ISNUMBER(D190), (D190 - $B190) / $B190, "")</f>
        <v>-0.13671572424477149</v>
      </c>
      <c r="F190" s="136">
        <f>IF(ISNUMBER(D190), $B199 * E190, "")</f>
        <v>-20507.358636715722</v>
      </c>
      <c r="G190" s="39">
        <v>47020</v>
      </c>
      <c r="H190" s="73">
        <f t="shared" ref="H190:H193" si="103">IF(ISNUMBER(G190), (G190 - $B190) / $B190, "")</f>
        <v>-8.9465530596436874E-2</v>
      </c>
      <c r="I190" s="202">
        <f>IF(ISNUMBER(G190), $B199 * H190, "")</f>
        <v>-13419.829589465531</v>
      </c>
      <c r="J190" s="125">
        <v>46200</v>
      </c>
      <c r="K190" s="73">
        <f t="shared" ref="K190:K193" si="104">IF(ISNUMBER(J190), (J190 - $B190) / $B190, "")</f>
        <v>-0.10534469403563129</v>
      </c>
      <c r="L190" s="136">
        <f>IF(ISNUMBER(J190), $B199 * K190, "")</f>
        <v>-15801.704105344694</v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75"/>
      <c r="R190" s="276"/>
      <c r="S190" s="277"/>
    </row>
    <row r="191" spans="1:19" ht="17.25" thickBot="1">
      <c r="A191" s="124" t="s">
        <v>182</v>
      </c>
      <c r="B191" s="125">
        <v>487</v>
      </c>
      <c r="C191" s="73">
        <v>-2.01207243E-2</v>
      </c>
      <c r="D191" s="125">
        <v>413</v>
      </c>
      <c r="E191" s="73">
        <f t="shared" si="102"/>
        <v>-0.15195071868583163</v>
      </c>
      <c r="F191" s="136">
        <f>IF(ISNUMBER(D191), $B199 * E191, "")</f>
        <v>-22792.607802874743</v>
      </c>
      <c r="G191" s="39">
        <v>436</v>
      </c>
      <c r="H191" s="73">
        <f t="shared" si="103"/>
        <v>-0.10472279260780287</v>
      </c>
      <c r="I191" s="202">
        <f>IF(ISNUMBER(G191), $B199 * H191, "")</f>
        <v>-15708.418891170431</v>
      </c>
      <c r="J191" s="125">
        <v>431</v>
      </c>
      <c r="K191" s="73">
        <f t="shared" si="104"/>
        <v>-0.11498973305954825</v>
      </c>
      <c r="L191" s="136">
        <f>IF(ISNUMBER(J191), $B199 * K191, "")</f>
        <v>-17248.459958932239</v>
      </c>
      <c r="M191" s="39"/>
      <c r="N191" s="73" t="str">
        <f t="shared" si="105"/>
        <v/>
      </c>
      <c r="O191" s="136" t="str">
        <f>IF(ISNUMBER(M191), $B199 * N191, "")</f>
        <v/>
      </c>
      <c r="Q191" s="268"/>
      <c r="R191" s="268"/>
      <c r="S191" s="268"/>
    </row>
    <row r="192" spans="1:19" ht="17.25" thickBot="1">
      <c r="A192" s="124" t="s">
        <v>242</v>
      </c>
      <c r="B192" s="125">
        <v>8130</v>
      </c>
      <c r="C192" s="73">
        <v>-2.0481927699999999E-2</v>
      </c>
      <c r="D192" s="125">
        <v>6880</v>
      </c>
      <c r="E192" s="73">
        <f t="shared" si="102"/>
        <v>-0.15375153751537515</v>
      </c>
      <c r="F192" s="136">
        <f>IF(ISNUMBER(D192), $B199 * E192, "")</f>
        <v>-23062.730627306271</v>
      </c>
      <c r="G192" s="39">
        <v>7215</v>
      </c>
      <c r="H192" s="73">
        <f t="shared" si="103"/>
        <v>-0.11254612546125461</v>
      </c>
      <c r="I192" s="202">
        <f>IF(ISNUMBER(G192), $B199 * H192, "")</f>
        <v>-16881.918819188191</v>
      </c>
      <c r="J192" s="125">
        <v>7235</v>
      </c>
      <c r="K192" s="73">
        <f t="shared" si="104"/>
        <v>-0.1100861008610086</v>
      </c>
      <c r="L192" s="136">
        <f>IF(ISNUMBER(J192), $B199 * K192, "")</f>
        <v>-16512.91512915129</v>
      </c>
      <c r="M192" s="39"/>
      <c r="N192" s="73" t="str">
        <f t="shared" si="105"/>
        <v/>
      </c>
      <c r="O192" s="136" t="str">
        <f>IF(ISNUMBER(M192), $B199 * N192, "")</f>
        <v/>
      </c>
      <c r="Q192" s="278"/>
      <c r="R192" s="278"/>
      <c r="S192" s="278"/>
    </row>
    <row r="193" spans="1:19" ht="17.25" thickBot="1">
      <c r="A193" s="126" t="s">
        <v>102</v>
      </c>
      <c r="B193" s="127">
        <v>119550</v>
      </c>
      <c r="C193" s="74">
        <v>-2.1685761000000001E-2</v>
      </c>
      <c r="D193" s="127">
        <v>107400</v>
      </c>
      <c r="E193" s="74">
        <f t="shared" si="102"/>
        <v>-0.10163111668757842</v>
      </c>
      <c r="F193" s="203">
        <f>IF(ISNUMBER(D193), $B199 * E193, "")</f>
        <v>-15244.667503136763</v>
      </c>
      <c r="G193" s="44">
        <v>113100</v>
      </c>
      <c r="H193" s="74">
        <f t="shared" si="103"/>
        <v>-5.3952321204516936E-2</v>
      </c>
      <c r="I193" s="204">
        <f>IF(ISNUMBER(G193), $B199 * H193, "")</f>
        <v>-8092.8481806775408</v>
      </c>
      <c r="J193" s="127">
        <v>111800</v>
      </c>
      <c r="K193" s="74">
        <f t="shared" si="104"/>
        <v>-6.4826432455039731E-2</v>
      </c>
      <c r="L193" s="203">
        <f>IF(ISNUMBER(J193), $B199 * K193, "")</f>
        <v>-9723.96486825596</v>
      </c>
      <c r="M193" s="44"/>
      <c r="N193" s="74" t="str">
        <f t="shared" si="105"/>
        <v/>
      </c>
      <c r="O193" s="203" t="str">
        <f>IF(ISNUMBER(M193), $B199 * N193, "")</f>
        <v/>
      </c>
      <c r="Q193" s="278"/>
      <c r="R193" s="278"/>
      <c r="S193" s="278"/>
    </row>
    <row r="194" spans="1:19" ht="17.25" thickBot="1">
      <c r="A194" s="124" t="s">
        <v>226</v>
      </c>
      <c r="B194" s="128">
        <v>436</v>
      </c>
      <c r="C194" s="76">
        <v>-2.2421524700000001E-2</v>
      </c>
      <c r="D194" s="128">
        <v>367</v>
      </c>
      <c r="E194" s="76">
        <f>IF(ISNUMBER(D194), (D194 - $B194) / $B194, "")</f>
        <v>-0.15825688073394495</v>
      </c>
      <c r="F194" s="205">
        <f>IF(ISNUMBER(D194), $B199 * E194, "")</f>
        <v>-23738.532110091743</v>
      </c>
      <c r="G194" s="45">
        <v>384</v>
      </c>
      <c r="H194" s="76">
        <f>IF(ISNUMBER(G194), (G194 - $B194) / $B194, "")</f>
        <v>-0.11926605504587157</v>
      </c>
      <c r="I194" s="206">
        <f>IF(ISNUMBER(G194), $B199 * H194, "")</f>
        <v>-17889.908256880735</v>
      </c>
      <c r="J194" s="128">
        <v>380</v>
      </c>
      <c r="K194" s="76">
        <f>IF(ISNUMBER(J194), (J194 - $B194) / $B194, "")</f>
        <v>-0.12844036697247707</v>
      </c>
      <c r="L194" s="205">
        <f>IF(ISNUMBER(J194), $B199 * K194, "")</f>
        <v>-19266.055045871562</v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68"/>
      <c r="R194" s="268"/>
      <c r="S194" s="268"/>
    </row>
    <row r="195" spans="1:19" ht="17.25" thickBot="1">
      <c r="A195" s="124" t="s">
        <v>220</v>
      </c>
      <c r="B195" s="125">
        <v>17.3</v>
      </c>
      <c r="C195" s="73">
        <v>-2.2598870100000001E-2</v>
      </c>
      <c r="D195" s="125">
        <v>14.9</v>
      </c>
      <c r="E195" s="73">
        <f t="shared" ref="E195:E198" si="106">IF(ISNUMBER(D195), (D195 - $B195) / $B195, "")</f>
        <v>-0.13872832369942198</v>
      </c>
      <c r="F195" s="136">
        <f>IF(ISNUMBER(D195), $B199 * E195, "")</f>
        <v>-20809.248554913298</v>
      </c>
      <c r="G195" s="39">
        <v>15.6</v>
      </c>
      <c r="H195" s="73">
        <f t="shared" ref="H195:H198" si="107">IF(ISNUMBER(G195), (G195 - $B195) / $B195, "")</f>
        <v>-9.8265895953757287E-2</v>
      </c>
      <c r="I195" s="202">
        <f>IF(ISNUMBER(G195), $B199 * H195, "")</f>
        <v>-14739.884393063594</v>
      </c>
      <c r="J195" s="125">
        <v>15.5</v>
      </c>
      <c r="K195" s="73">
        <f t="shared" ref="K195:K198" si="108">IF(ISNUMBER(J195), (J195 - $B195) / $B195, "")</f>
        <v>-0.10404624277456651</v>
      </c>
      <c r="L195" s="136">
        <f>IF(ISNUMBER(J195), $B199 * K195, "")</f>
        <v>-15606.936416184975</v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68"/>
      <c r="R195" s="268"/>
      <c r="S195" s="268"/>
    </row>
    <row r="196" spans="1:19" ht="17.25" thickBot="1">
      <c r="A196" s="124" t="s">
        <v>190</v>
      </c>
      <c r="B196" s="125">
        <v>66240</v>
      </c>
      <c r="C196" s="73">
        <v>-3.0161054199999999E-2</v>
      </c>
      <c r="D196" s="125">
        <v>59160</v>
      </c>
      <c r="E196" s="73">
        <f t="shared" si="106"/>
        <v>-0.1068840579710145</v>
      </c>
      <c r="F196" s="136">
        <f>IF(ISNUMBER(D196), $B199 * E196, "")</f>
        <v>-16032.608695652174</v>
      </c>
      <c r="G196" s="39">
        <v>61160</v>
      </c>
      <c r="H196" s="73">
        <f t="shared" si="107"/>
        <v>-7.6690821256038641E-2</v>
      </c>
      <c r="I196" s="202">
        <f>IF(ISNUMBER(G196), $B199 * H196, "")</f>
        <v>-11503.623188405796</v>
      </c>
      <c r="J196" s="125">
        <v>60920</v>
      </c>
      <c r="K196" s="73">
        <f t="shared" si="108"/>
        <v>-8.0314009661835745E-2</v>
      </c>
      <c r="L196" s="136">
        <f>IF(ISNUMBER(J196), $B199 * K196, "")</f>
        <v>-12047.101449275362</v>
      </c>
      <c r="M196" s="39"/>
      <c r="N196" s="73" t="str">
        <f t="shared" si="109"/>
        <v/>
      </c>
      <c r="O196" s="136" t="str">
        <f>IF(ISNUMBER(M196), $B199 * N196, "")</f>
        <v/>
      </c>
      <c r="Q196" s="268"/>
      <c r="R196" s="268"/>
      <c r="S196" s="268"/>
    </row>
    <row r="197" spans="1:19">
      <c r="A197" s="124" t="s">
        <v>260</v>
      </c>
      <c r="B197" s="125">
        <v>124</v>
      </c>
      <c r="C197" s="73">
        <v>-3.125E-2</v>
      </c>
      <c r="D197" s="125">
        <v>105</v>
      </c>
      <c r="E197" s="73">
        <f t="shared" si="106"/>
        <v>-0.15322580645161291</v>
      </c>
      <c r="F197" s="136">
        <f>IF(ISNUMBER(D197), $B199 * E197, "")</f>
        <v>-22983.870967741936</v>
      </c>
      <c r="G197" s="39">
        <v>112</v>
      </c>
      <c r="H197" s="73">
        <f t="shared" si="107"/>
        <v>-9.6774193548387094E-2</v>
      </c>
      <c r="I197" s="202">
        <f>IF(ISNUMBER(G197), $B199 * H197, "")</f>
        <v>-14516.129032258064</v>
      </c>
      <c r="J197" s="125">
        <v>110</v>
      </c>
      <c r="K197" s="73">
        <f t="shared" si="108"/>
        <v>-0.11290322580645161</v>
      </c>
      <c r="L197" s="136">
        <f>IF(ISNUMBER(J197), $B199 * K197, "")</f>
        <v>-16935.483870967742</v>
      </c>
      <c r="M197" s="39"/>
      <c r="N197" s="73" t="str">
        <f t="shared" si="109"/>
        <v/>
      </c>
      <c r="O197" s="136" t="str">
        <f>IF(ISNUMBER(M197), $B199 * N197, "")</f>
        <v/>
      </c>
      <c r="Q197" s="257"/>
      <c r="R197" s="258"/>
      <c r="S197" s="259"/>
    </row>
    <row r="198" spans="1:19" ht="17.25" thickBot="1">
      <c r="A198" s="129" t="s">
        <v>246</v>
      </c>
      <c r="B198" s="130">
        <v>330</v>
      </c>
      <c r="C198" s="75">
        <v>-4.3478260900000003E-2</v>
      </c>
      <c r="D198" s="130">
        <v>288</v>
      </c>
      <c r="E198" s="75">
        <f t="shared" si="106"/>
        <v>-0.12727272727272726</v>
      </c>
      <c r="F198" s="137">
        <f>IF(ISNUMBER(D198), $B199 * E198, "")</f>
        <v>-19090.909090909088</v>
      </c>
      <c r="G198" s="37">
        <v>298</v>
      </c>
      <c r="H198" s="75">
        <f t="shared" si="107"/>
        <v>-9.696969696969697E-2</v>
      </c>
      <c r="I198" s="207">
        <f>IF(ISNUMBER(G198), $B199 * H198, "")</f>
        <v>-14545.454545454546</v>
      </c>
      <c r="J198" s="130">
        <v>295</v>
      </c>
      <c r="K198" s="75">
        <f t="shared" si="108"/>
        <v>-0.10606060606060606</v>
      </c>
      <c r="L198" s="137">
        <f>IF(ISNUMBER(J198), $B199 * K198, "")</f>
        <v>-15909.09090909091</v>
      </c>
      <c r="M198" s="37"/>
      <c r="N198" s="75" t="str">
        <f t="shared" si="109"/>
        <v/>
      </c>
      <c r="O198" s="137" t="str">
        <f>IF(ISNUMBER(M198), $B199 * N198, "")</f>
        <v/>
      </c>
      <c r="Q198" s="260"/>
      <c r="R198" s="261"/>
      <c r="S198" s="262"/>
    </row>
    <row r="199" spans="1:19" ht="17.25" thickBot="1">
      <c r="A199" s="131" t="s">
        <v>301</v>
      </c>
      <c r="B199" s="330">
        <f>$B$37</f>
        <v>150000</v>
      </c>
      <c r="C199" s="331"/>
      <c r="D199" s="131" t="s">
        <v>302</v>
      </c>
      <c r="E199" s="252">
        <f>IF(COUNT(E179:E198), SUM(E179:E198) / COUNT(E179:E198), 0)</f>
        <v>-0.12230721496152616</v>
      </c>
      <c r="F199" s="208">
        <f>SUM(F179:F198)</f>
        <v>-366921.64488457853</v>
      </c>
      <c r="G199" s="131" t="s">
        <v>302</v>
      </c>
      <c r="H199" s="252">
        <f>IF(COUNT(H179:H198), SUM(H179:H198) / COUNT(H179:H198), 0)</f>
        <v>-8.4358993971865887E-2</v>
      </c>
      <c r="I199" s="208">
        <f>SUM(I179:I198)</f>
        <v>-253076.98191559777</v>
      </c>
      <c r="J199" s="131" t="s">
        <v>302</v>
      </c>
      <c r="K199" s="252">
        <f>IF(COUNT(K179:K198), SUM(K179:K198) / COUNT(K179:K198), 0)</f>
        <v>-9.205499008340863E-2</v>
      </c>
      <c r="L199" s="208">
        <f>SUM(L179:L198)</f>
        <v>-276164.97025022586</v>
      </c>
      <c r="M199" s="131" t="s">
        <v>302</v>
      </c>
      <c r="N199" s="252">
        <f>IF(COUNT(N179:N198), SUM(N179:N198) / COUNT(N179:N198), 0)</f>
        <v>0</v>
      </c>
      <c r="O199" s="208">
        <f>SUM(O179:O198)</f>
        <v>0</v>
      </c>
      <c r="Q199" s="263"/>
      <c r="R199" s="264"/>
      <c r="S199" s="26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22</vt:i4>
      </vt:variant>
    </vt:vector>
  </HeadingPairs>
  <TitlesOfParts>
    <vt:vector size="22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  <vt:lpstr>2021.05.16</vt:lpstr>
      <vt:lpstr>2021.05.17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2021-05-17T12:04:25Z</dcterms:modified>
</cp:coreProperties>
</file>