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7FC2A675-A473-4D24-925B-FA4C59D2A48C}" xr6:coauthVersionLast="47" xr6:coauthVersionMax="47" xr10:uidLastSave="{00000000-0000-0000-0000-000000000000}"/>
  <bookViews>
    <workbookView xWindow="-120" yWindow="-120" windowWidth="29040" windowHeight="15840" firstSheet="4" activeTab="4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7.01" sheetId="24" r:id="rId6"/>
    <sheet name="2021.07.02" sheetId="25" r:id="rId7"/>
    <sheet name="2021.07.03" sheetId="26" r:id="rId8"/>
    <sheet name="2021.07.04" sheetId="27" r:id="rId9"/>
    <sheet name="2021.07.05" sheetId="28" r:id="rId10"/>
    <sheet name="2021.07.06" sheetId="29" r:id="rId11"/>
    <sheet name="2021.07.07" sheetId="30" r:id="rId12"/>
    <sheet name="2021.07.08" sheetId="31" r:id="rId13"/>
    <sheet name="2021.07.09" sheetId="32" r:id="rId14"/>
    <sheet name="2021.07.10" sheetId="33" r:id="rId15"/>
    <sheet name="2021.07.11" sheetId="34" r:id="rId16"/>
    <sheet name="2021.07.12" sheetId="35" r:id="rId17"/>
  </sheets>
  <definedNames>
    <definedName name="_xlnm._FilterDatabase" localSheetId="5" hidden="1">'2021.07.01'!#REF!</definedName>
    <definedName name="_xlnm._FilterDatabase" localSheetId="6" hidden="1">'2021.07.02'!#REF!</definedName>
    <definedName name="_xlnm._FilterDatabase" localSheetId="7" hidden="1">'2021.07.03'!#REF!</definedName>
    <definedName name="_xlnm._FilterDatabase" localSheetId="8" hidden="1">'2021.07.04'!#REF!</definedName>
    <definedName name="_xlnm._FilterDatabase" localSheetId="9" hidden="1">'2021.07.05'!#REF!</definedName>
    <definedName name="_xlnm._FilterDatabase" localSheetId="10" hidden="1">'2021.07.06'!#REF!</definedName>
    <definedName name="_xlnm._FilterDatabase" localSheetId="11" hidden="1">'2021.07.07'!#REF!</definedName>
    <definedName name="_xlnm._FilterDatabase" localSheetId="12" hidden="1">'2021.07.08'!#REF!</definedName>
    <definedName name="_xlnm._FilterDatabase" localSheetId="13" hidden="1">'2021.07.09'!#REF!</definedName>
    <definedName name="_xlnm._FilterDatabase" localSheetId="14" hidden="1">'2021.07.10'!#REF!</definedName>
    <definedName name="_xlnm._FilterDatabase" localSheetId="15" hidden="1">'2021.07.11'!#REF!</definedName>
    <definedName name="_xlnm._FilterDatabase" localSheetId="16" hidden="1">'2021.07.12'!#REF!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5" l="1"/>
  <c r="O198" i="35"/>
  <c r="N198" i="35"/>
  <c r="L198" i="35"/>
  <c r="K198" i="35"/>
  <c r="I198" i="35"/>
  <c r="H198" i="35"/>
  <c r="F198" i="35"/>
  <c r="E198" i="35"/>
  <c r="O197" i="35"/>
  <c r="N197" i="35"/>
  <c r="L197" i="35"/>
  <c r="K197" i="35"/>
  <c r="I197" i="35"/>
  <c r="H197" i="35"/>
  <c r="F197" i="35"/>
  <c r="E197" i="35"/>
  <c r="O196" i="35"/>
  <c r="N196" i="35"/>
  <c r="L196" i="35"/>
  <c r="K196" i="35"/>
  <c r="I196" i="35"/>
  <c r="H196" i="35"/>
  <c r="F196" i="35"/>
  <c r="E196" i="35"/>
  <c r="O195" i="35"/>
  <c r="N195" i="35"/>
  <c r="L195" i="35"/>
  <c r="K195" i="35"/>
  <c r="I195" i="35"/>
  <c r="H195" i="35"/>
  <c r="F195" i="35"/>
  <c r="E195" i="35"/>
  <c r="O194" i="35"/>
  <c r="N194" i="35"/>
  <c r="L194" i="35"/>
  <c r="K194" i="35"/>
  <c r="I194" i="35"/>
  <c r="H194" i="35"/>
  <c r="F194" i="35"/>
  <c r="E194" i="35"/>
  <c r="O193" i="35"/>
  <c r="N193" i="35"/>
  <c r="L193" i="35"/>
  <c r="K193" i="35"/>
  <c r="I193" i="35"/>
  <c r="H193" i="35"/>
  <c r="F193" i="35"/>
  <c r="E193" i="35"/>
  <c r="O192" i="35"/>
  <c r="N192" i="35"/>
  <c r="L192" i="35"/>
  <c r="K192" i="35"/>
  <c r="I192" i="35"/>
  <c r="H192" i="35"/>
  <c r="F192" i="35"/>
  <c r="E192" i="35"/>
  <c r="O191" i="35"/>
  <c r="N191" i="35"/>
  <c r="L191" i="35"/>
  <c r="K191" i="35"/>
  <c r="I191" i="35"/>
  <c r="H191" i="35"/>
  <c r="F191" i="35"/>
  <c r="E191" i="35"/>
  <c r="O190" i="35"/>
  <c r="N190" i="35"/>
  <c r="L190" i="35"/>
  <c r="K190" i="35"/>
  <c r="I190" i="35"/>
  <c r="H190" i="35"/>
  <c r="F190" i="35"/>
  <c r="E190" i="35"/>
  <c r="O189" i="35"/>
  <c r="N189" i="35"/>
  <c r="L189" i="35"/>
  <c r="K189" i="35"/>
  <c r="I189" i="35"/>
  <c r="H189" i="35"/>
  <c r="F189" i="35"/>
  <c r="E189" i="35"/>
  <c r="O188" i="35"/>
  <c r="N188" i="35"/>
  <c r="L188" i="35"/>
  <c r="K188" i="35"/>
  <c r="I188" i="35"/>
  <c r="H188" i="35"/>
  <c r="F188" i="35"/>
  <c r="E188" i="35"/>
  <c r="O187" i="35"/>
  <c r="N187" i="35"/>
  <c r="L187" i="35"/>
  <c r="K187" i="35"/>
  <c r="I187" i="35"/>
  <c r="H187" i="35"/>
  <c r="F187" i="35"/>
  <c r="E187" i="35"/>
  <c r="O186" i="35"/>
  <c r="N186" i="35"/>
  <c r="L186" i="35"/>
  <c r="K186" i="35"/>
  <c r="I186" i="35"/>
  <c r="H186" i="35"/>
  <c r="F186" i="35"/>
  <c r="E186" i="35"/>
  <c r="O185" i="35"/>
  <c r="N185" i="35"/>
  <c r="L185" i="35"/>
  <c r="K185" i="35"/>
  <c r="I185" i="35"/>
  <c r="H185" i="35"/>
  <c r="F185" i="35"/>
  <c r="E185" i="35"/>
  <c r="O184" i="35"/>
  <c r="N184" i="35"/>
  <c r="L184" i="35"/>
  <c r="K184" i="35"/>
  <c r="I184" i="35"/>
  <c r="H184" i="35"/>
  <c r="F184" i="35"/>
  <c r="E184" i="35"/>
  <c r="O183" i="35"/>
  <c r="N183" i="35"/>
  <c r="L183" i="35"/>
  <c r="K183" i="35"/>
  <c r="I183" i="35"/>
  <c r="H183" i="35"/>
  <c r="F183" i="35"/>
  <c r="E183" i="35"/>
  <c r="O182" i="35"/>
  <c r="N182" i="35"/>
  <c r="L182" i="35"/>
  <c r="K182" i="35"/>
  <c r="I182" i="35"/>
  <c r="H182" i="35"/>
  <c r="F182" i="35"/>
  <c r="E182" i="35"/>
  <c r="O181" i="35"/>
  <c r="N181" i="35"/>
  <c r="L181" i="35"/>
  <c r="K181" i="35"/>
  <c r="I181" i="35"/>
  <c r="H181" i="35"/>
  <c r="F181" i="35"/>
  <c r="E181" i="35"/>
  <c r="O180" i="35"/>
  <c r="N180" i="35"/>
  <c r="L180" i="35"/>
  <c r="K180" i="35"/>
  <c r="I180" i="35"/>
  <c r="H180" i="35"/>
  <c r="F180" i="35"/>
  <c r="E180" i="35"/>
  <c r="O179" i="35"/>
  <c r="O199" i="35" s="1"/>
  <c r="N179" i="35"/>
  <c r="N199" i="35" s="1"/>
  <c r="L179" i="35"/>
  <c r="L199" i="35" s="1"/>
  <c r="K179" i="35"/>
  <c r="K199" i="35" s="1"/>
  <c r="I179" i="35"/>
  <c r="I199" i="35" s="1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O171" i="35"/>
  <c r="N171" i="35"/>
  <c r="L171" i="35"/>
  <c r="K171" i="35"/>
  <c r="I171" i="35"/>
  <c r="H171" i="35"/>
  <c r="F171" i="35"/>
  <c r="E171" i="35"/>
  <c r="O170" i="35"/>
  <c r="N170" i="35"/>
  <c r="L170" i="35"/>
  <c r="K170" i="35"/>
  <c r="I170" i="35"/>
  <c r="H170" i="35"/>
  <c r="F170" i="35"/>
  <c r="E170" i="35"/>
  <c r="O169" i="35"/>
  <c r="N169" i="35"/>
  <c r="L169" i="35"/>
  <c r="K169" i="35"/>
  <c r="I169" i="35"/>
  <c r="H169" i="35"/>
  <c r="F169" i="35"/>
  <c r="E169" i="35"/>
  <c r="O168" i="35"/>
  <c r="N168" i="35"/>
  <c r="L168" i="35"/>
  <c r="K168" i="35"/>
  <c r="I168" i="35"/>
  <c r="H168" i="35"/>
  <c r="F168" i="35"/>
  <c r="E168" i="35"/>
  <c r="O167" i="35"/>
  <c r="N167" i="35"/>
  <c r="L167" i="35"/>
  <c r="K167" i="35"/>
  <c r="I167" i="35"/>
  <c r="H167" i="35"/>
  <c r="F167" i="35"/>
  <c r="E167" i="35"/>
  <c r="O166" i="35"/>
  <c r="N166" i="35"/>
  <c r="L166" i="35"/>
  <c r="K166" i="35"/>
  <c r="I166" i="35"/>
  <c r="H166" i="35"/>
  <c r="F166" i="35"/>
  <c r="E166" i="35"/>
  <c r="O165" i="35"/>
  <c r="N165" i="35"/>
  <c r="L165" i="35"/>
  <c r="K165" i="35"/>
  <c r="I165" i="35"/>
  <c r="H165" i="35"/>
  <c r="F165" i="35"/>
  <c r="E165" i="35"/>
  <c r="O164" i="35"/>
  <c r="N164" i="35"/>
  <c r="L164" i="35"/>
  <c r="K164" i="35"/>
  <c r="I164" i="35"/>
  <c r="H164" i="35"/>
  <c r="F164" i="35"/>
  <c r="E164" i="35"/>
  <c r="O163" i="35"/>
  <c r="N163" i="35"/>
  <c r="L163" i="35"/>
  <c r="K163" i="35"/>
  <c r="I163" i="35"/>
  <c r="H163" i="35"/>
  <c r="F163" i="35"/>
  <c r="E163" i="35"/>
  <c r="O162" i="35"/>
  <c r="N162" i="35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O156" i="35"/>
  <c r="N156" i="35"/>
  <c r="L156" i="35"/>
  <c r="K156" i="35"/>
  <c r="I156" i="35"/>
  <c r="H156" i="35"/>
  <c r="F156" i="35"/>
  <c r="E156" i="35"/>
  <c r="O155" i="35"/>
  <c r="N155" i="35"/>
  <c r="L155" i="35"/>
  <c r="K155" i="35"/>
  <c r="I155" i="35"/>
  <c r="H155" i="35"/>
  <c r="F155" i="35"/>
  <c r="E155" i="35"/>
  <c r="O154" i="35"/>
  <c r="N154" i="35"/>
  <c r="L154" i="35"/>
  <c r="K154" i="35"/>
  <c r="I154" i="35"/>
  <c r="H154" i="35"/>
  <c r="F154" i="35"/>
  <c r="E154" i="35"/>
  <c r="O153" i="35"/>
  <c r="N153" i="35"/>
  <c r="L153" i="35"/>
  <c r="K153" i="35"/>
  <c r="I153" i="35"/>
  <c r="H153" i="35"/>
  <c r="F153" i="35"/>
  <c r="E153" i="35"/>
  <c r="O152" i="35"/>
  <c r="O172" i="35" s="1"/>
  <c r="N152" i="35"/>
  <c r="N172" i="35" s="1"/>
  <c r="L152" i="35"/>
  <c r="L172" i="35" s="1"/>
  <c r="K152" i="35"/>
  <c r="K172" i="35" s="1"/>
  <c r="I152" i="35"/>
  <c r="I172" i="35" s="1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O140" i="35"/>
  <c r="N140" i="35"/>
  <c r="L140" i="35"/>
  <c r="K140" i="35"/>
  <c r="I140" i="35"/>
  <c r="H140" i="35"/>
  <c r="F140" i="35"/>
  <c r="E140" i="35"/>
  <c r="O139" i="35"/>
  <c r="N139" i="35"/>
  <c r="L139" i="35"/>
  <c r="K139" i="35"/>
  <c r="I139" i="35"/>
  <c r="H139" i="35"/>
  <c r="F139" i="35"/>
  <c r="E139" i="35"/>
  <c r="O138" i="35"/>
  <c r="N138" i="35"/>
  <c r="L138" i="35"/>
  <c r="K138" i="35"/>
  <c r="I138" i="35"/>
  <c r="H138" i="35"/>
  <c r="F138" i="35"/>
  <c r="E138" i="35"/>
  <c r="O137" i="35"/>
  <c r="N137" i="35"/>
  <c r="L137" i="35"/>
  <c r="K137" i="35"/>
  <c r="I137" i="35"/>
  <c r="H137" i="35"/>
  <c r="F137" i="35"/>
  <c r="E137" i="35"/>
  <c r="O136" i="35"/>
  <c r="N136" i="35"/>
  <c r="L136" i="35"/>
  <c r="K136" i="35"/>
  <c r="I136" i="35"/>
  <c r="H136" i="35"/>
  <c r="F136" i="35"/>
  <c r="E136" i="35"/>
  <c r="O135" i="35"/>
  <c r="N135" i="35"/>
  <c r="L135" i="35"/>
  <c r="K135" i="35"/>
  <c r="I135" i="35"/>
  <c r="H135" i="35"/>
  <c r="F135" i="35"/>
  <c r="E135" i="35"/>
  <c r="O134" i="35"/>
  <c r="N134" i="35"/>
  <c r="L134" i="35"/>
  <c r="K134" i="35"/>
  <c r="I134" i="35"/>
  <c r="H134" i="35"/>
  <c r="F134" i="35"/>
  <c r="E134" i="35"/>
  <c r="O133" i="35"/>
  <c r="N133" i="35"/>
  <c r="L133" i="35"/>
  <c r="K133" i="35"/>
  <c r="I133" i="35"/>
  <c r="H133" i="35"/>
  <c r="F133" i="35"/>
  <c r="E133" i="35"/>
  <c r="O132" i="35"/>
  <c r="N132" i="35"/>
  <c r="L132" i="35"/>
  <c r="K132" i="35"/>
  <c r="I132" i="35"/>
  <c r="H132" i="35"/>
  <c r="F132" i="35"/>
  <c r="E132" i="35"/>
  <c r="O131" i="35"/>
  <c r="N131" i="35"/>
  <c r="L131" i="35"/>
  <c r="K131" i="35"/>
  <c r="I131" i="35"/>
  <c r="H131" i="35"/>
  <c r="F131" i="35"/>
  <c r="E131" i="35"/>
  <c r="O130" i="35"/>
  <c r="N130" i="35"/>
  <c r="L130" i="35"/>
  <c r="K130" i="35"/>
  <c r="I130" i="35"/>
  <c r="H130" i="35"/>
  <c r="F130" i="35"/>
  <c r="E130" i="35"/>
  <c r="O129" i="35"/>
  <c r="N129" i="35"/>
  <c r="L129" i="35"/>
  <c r="K129" i="35"/>
  <c r="I129" i="35"/>
  <c r="H129" i="35"/>
  <c r="F129" i="35"/>
  <c r="E129" i="35"/>
  <c r="O128" i="35"/>
  <c r="N128" i="35"/>
  <c r="L128" i="35"/>
  <c r="K128" i="35"/>
  <c r="I128" i="35"/>
  <c r="H128" i="35"/>
  <c r="F128" i="35"/>
  <c r="E128" i="35"/>
  <c r="O127" i="35"/>
  <c r="N127" i="35"/>
  <c r="L127" i="35"/>
  <c r="K127" i="35"/>
  <c r="I127" i="35"/>
  <c r="H127" i="35"/>
  <c r="F127" i="35"/>
  <c r="E127" i="35"/>
  <c r="O126" i="35"/>
  <c r="N126" i="35"/>
  <c r="L126" i="35"/>
  <c r="K126" i="35"/>
  <c r="I126" i="35"/>
  <c r="H126" i="35"/>
  <c r="F126" i="35"/>
  <c r="E126" i="35"/>
  <c r="O125" i="35"/>
  <c r="O145" i="35" s="1"/>
  <c r="N125" i="35"/>
  <c r="N145" i="35" s="1"/>
  <c r="L125" i="35"/>
  <c r="L145" i="35" s="1"/>
  <c r="K125" i="35"/>
  <c r="K145" i="35" s="1"/>
  <c r="I125" i="35"/>
  <c r="I145" i="35" s="1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E118" i="35"/>
  <c r="B118" i="35"/>
  <c r="O117" i="35"/>
  <c r="N117" i="35"/>
  <c r="L117" i="35"/>
  <c r="K117" i="35"/>
  <c r="I117" i="35"/>
  <c r="H117" i="35"/>
  <c r="F117" i="35"/>
  <c r="E117" i="35"/>
  <c r="O116" i="35"/>
  <c r="N116" i="35"/>
  <c r="L116" i="35"/>
  <c r="K116" i="35"/>
  <c r="I116" i="35"/>
  <c r="H116" i="35"/>
  <c r="F116" i="35"/>
  <c r="E116" i="35"/>
  <c r="O115" i="35"/>
  <c r="N115" i="35"/>
  <c r="L115" i="35"/>
  <c r="K115" i="35"/>
  <c r="I115" i="35"/>
  <c r="H115" i="35"/>
  <c r="F115" i="35"/>
  <c r="E115" i="35"/>
  <c r="O114" i="35"/>
  <c r="N114" i="35"/>
  <c r="L114" i="35"/>
  <c r="K114" i="35"/>
  <c r="I114" i="35"/>
  <c r="H114" i="35"/>
  <c r="F114" i="35"/>
  <c r="E114" i="35"/>
  <c r="O113" i="35"/>
  <c r="N113" i="35"/>
  <c r="L113" i="35"/>
  <c r="K113" i="35"/>
  <c r="I113" i="35"/>
  <c r="H113" i="35"/>
  <c r="F113" i="35"/>
  <c r="E113" i="35"/>
  <c r="O112" i="35"/>
  <c r="N112" i="35"/>
  <c r="L112" i="35"/>
  <c r="K112" i="35"/>
  <c r="I112" i="35"/>
  <c r="H112" i="35"/>
  <c r="F112" i="35"/>
  <c r="E112" i="35"/>
  <c r="O111" i="35"/>
  <c r="N111" i="35"/>
  <c r="L111" i="35"/>
  <c r="K111" i="35"/>
  <c r="I111" i="35"/>
  <c r="H111" i="35"/>
  <c r="F111" i="35"/>
  <c r="E111" i="35"/>
  <c r="O110" i="35"/>
  <c r="N110" i="35"/>
  <c r="L110" i="35"/>
  <c r="K110" i="35"/>
  <c r="I110" i="35"/>
  <c r="H110" i="35"/>
  <c r="F110" i="35"/>
  <c r="E110" i="35"/>
  <c r="O109" i="35"/>
  <c r="N109" i="35"/>
  <c r="L109" i="35"/>
  <c r="K109" i="35"/>
  <c r="I109" i="35"/>
  <c r="H109" i="35"/>
  <c r="F109" i="35"/>
  <c r="E109" i="35"/>
  <c r="O108" i="35"/>
  <c r="N108" i="35"/>
  <c r="L108" i="35"/>
  <c r="K108" i="35"/>
  <c r="I108" i="35"/>
  <c r="H108" i="35"/>
  <c r="F108" i="35"/>
  <c r="E108" i="35"/>
  <c r="O107" i="35"/>
  <c r="N107" i="35"/>
  <c r="L107" i="35"/>
  <c r="K107" i="35"/>
  <c r="I107" i="35"/>
  <c r="H107" i="35"/>
  <c r="F107" i="35"/>
  <c r="E107" i="35"/>
  <c r="O106" i="35"/>
  <c r="N106" i="35"/>
  <c r="L106" i="35"/>
  <c r="K106" i="35"/>
  <c r="I106" i="35"/>
  <c r="H106" i="35"/>
  <c r="F106" i="35"/>
  <c r="E106" i="35"/>
  <c r="O105" i="35"/>
  <c r="N105" i="35"/>
  <c r="L105" i="35"/>
  <c r="K105" i="35"/>
  <c r="I105" i="35"/>
  <c r="H105" i="35"/>
  <c r="F105" i="35"/>
  <c r="E105" i="35"/>
  <c r="O104" i="35"/>
  <c r="N104" i="35"/>
  <c r="L104" i="35"/>
  <c r="K104" i="35"/>
  <c r="I104" i="35"/>
  <c r="H104" i="35"/>
  <c r="F104" i="35"/>
  <c r="E104" i="35"/>
  <c r="O103" i="35"/>
  <c r="N103" i="35"/>
  <c r="L103" i="35"/>
  <c r="K103" i="35"/>
  <c r="I103" i="35"/>
  <c r="H103" i="35"/>
  <c r="F103" i="35"/>
  <c r="E103" i="35"/>
  <c r="O102" i="35"/>
  <c r="N102" i="35"/>
  <c r="L102" i="35"/>
  <c r="K102" i="35"/>
  <c r="I102" i="35"/>
  <c r="H102" i="35"/>
  <c r="F102" i="35"/>
  <c r="E102" i="35"/>
  <c r="O101" i="35"/>
  <c r="N101" i="35"/>
  <c r="L101" i="35"/>
  <c r="K101" i="35"/>
  <c r="I101" i="35"/>
  <c r="H101" i="35"/>
  <c r="F101" i="35"/>
  <c r="E101" i="35"/>
  <c r="O100" i="35"/>
  <c r="N100" i="35"/>
  <c r="L100" i="35"/>
  <c r="K100" i="35"/>
  <c r="I100" i="35"/>
  <c r="H100" i="35"/>
  <c r="F100" i="35"/>
  <c r="E100" i="35"/>
  <c r="O99" i="35"/>
  <c r="N99" i="35"/>
  <c r="L99" i="35"/>
  <c r="K99" i="35"/>
  <c r="I99" i="35"/>
  <c r="H99" i="35"/>
  <c r="F99" i="35"/>
  <c r="E99" i="35"/>
  <c r="O98" i="35"/>
  <c r="O118" i="35" s="1"/>
  <c r="N98" i="35"/>
  <c r="N118" i="35" s="1"/>
  <c r="L98" i="35"/>
  <c r="L118" i="35" s="1"/>
  <c r="K98" i="35"/>
  <c r="K118" i="35" s="1"/>
  <c r="I98" i="35"/>
  <c r="I118" i="35" s="1"/>
  <c r="H98" i="35"/>
  <c r="H118" i="35" s="1"/>
  <c r="F98" i="35"/>
  <c r="F118" i="35" s="1"/>
  <c r="E98" i="35"/>
  <c r="M96" i="35"/>
  <c r="J96" i="35"/>
  <c r="G96" i="35"/>
  <c r="D96" i="35"/>
  <c r="B96" i="35"/>
  <c r="M95" i="35"/>
  <c r="G95" i="35"/>
  <c r="N91" i="35"/>
  <c r="B91" i="35"/>
  <c r="O90" i="35"/>
  <c r="N90" i="35"/>
  <c r="L90" i="35"/>
  <c r="K90" i="35"/>
  <c r="I90" i="35"/>
  <c r="H90" i="35"/>
  <c r="F90" i="35"/>
  <c r="E90" i="35"/>
  <c r="O89" i="35"/>
  <c r="N89" i="35"/>
  <c r="L89" i="35"/>
  <c r="K89" i="35"/>
  <c r="I89" i="35"/>
  <c r="H89" i="35"/>
  <c r="F89" i="35"/>
  <c r="E89" i="35"/>
  <c r="O88" i="35"/>
  <c r="N88" i="35"/>
  <c r="L88" i="35"/>
  <c r="K88" i="35"/>
  <c r="I88" i="35"/>
  <c r="H88" i="35"/>
  <c r="F88" i="35"/>
  <c r="E88" i="35"/>
  <c r="O87" i="35"/>
  <c r="N87" i="35"/>
  <c r="L87" i="35"/>
  <c r="K87" i="35"/>
  <c r="I87" i="35"/>
  <c r="H87" i="35"/>
  <c r="F87" i="35"/>
  <c r="E87" i="35"/>
  <c r="O86" i="35"/>
  <c r="N86" i="35"/>
  <c r="L86" i="35"/>
  <c r="K86" i="35"/>
  <c r="I86" i="35"/>
  <c r="H86" i="35"/>
  <c r="F86" i="35"/>
  <c r="E86" i="35"/>
  <c r="O85" i="35"/>
  <c r="N85" i="35"/>
  <c r="L85" i="35"/>
  <c r="K85" i="35"/>
  <c r="I85" i="35"/>
  <c r="H85" i="35"/>
  <c r="F85" i="35"/>
  <c r="E85" i="35"/>
  <c r="O84" i="35"/>
  <c r="N84" i="35"/>
  <c r="L84" i="35"/>
  <c r="K84" i="35"/>
  <c r="I84" i="35"/>
  <c r="H84" i="35"/>
  <c r="F84" i="35"/>
  <c r="E84" i="35"/>
  <c r="O83" i="35"/>
  <c r="N83" i="35"/>
  <c r="L83" i="35"/>
  <c r="K83" i="35"/>
  <c r="I83" i="35"/>
  <c r="H83" i="35"/>
  <c r="F83" i="35"/>
  <c r="E83" i="35"/>
  <c r="O82" i="35"/>
  <c r="N82" i="35"/>
  <c r="L82" i="35"/>
  <c r="K82" i="35"/>
  <c r="I82" i="35"/>
  <c r="H82" i="35"/>
  <c r="F82" i="35"/>
  <c r="E82" i="35"/>
  <c r="O81" i="35"/>
  <c r="N81" i="35"/>
  <c r="L81" i="35"/>
  <c r="K81" i="35"/>
  <c r="I81" i="35"/>
  <c r="H81" i="35"/>
  <c r="F81" i="35"/>
  <c r="E81" i="35"/>
  <c r="O80" i="35"/>
  <c r="N80" i="35"/>
  <c r="L80" i="35"/>
  <c r="K80" i="35"/>
  <c r="I80" i="35"/>
  <c r="H80" i="35"/>
  <c r="F80" i="35"/>
  <c r="E80" i="35"/>
  <c r="O79" i="35"/>
  <c r="N79" i="35"/>
  <c r="L79" i="35"/>
  <c r="K79" i="35"/>
  <c r="I79" i="35"/>
  <c r="H79" i="35"/>
  <c r="F79" i="35"/>
  <c r="E79" i="35"/>
  <c r="O78" i="35"/>
  <c r="N78" i="35"/>
  <c r="L78" i="35"/>
  <c r="K78" i="35"/>
  <c r="I78" i="35"/>
  <c r="H78" i="35"/>
  <c r="F78" i="35"/>
  <c r="E78" i="35"/>
  <c r="O77" i="35"/>
  <c r="N77" i="35"/>
  <c r="L77" i="35"/>
  <c r="K77" i="35"/>
  <c r="I77" i="35"/>
  <c r="H77" i="35"/>
  <c r="F77" i="35"/>
  <c r="E77" i="35"/>
  <c r="O76" i="35"/>
  <c r="N76" i="35"/>
  <c r="L76" i="35"/>
  <c r="K76" i="35"/>
  <c r="I76" i="35"/>
  <c r="H76" i="35"/>
  <c r="F76" i="35"/>
  <c r="E76" i="35"/>
  <c r="O75" i="35"/>
  <c r="N75" i="35"/>
  <c r="L75" i="35"/>
  <c r="K75" i="35"/>
  <c r="I75" i="35"/>
  <c r="H75" i="35"/>
  <c r="F75" i="35"/>
  <c r="E75" i="35"/>
  <c r="O74" i="35"/>
  <c r="N74" i="35"/>
  <c r="L74" i="35"/>
  <c r="K74" i="35"/>
  <c r="I74" i="35"/>
  <c r="H74" i="35"/>
  <c r="F74" i="35"/>
  <c r="E74" i="35"/>
  <c r="O73" i="35"/>
  <c r="N73" i="35"/>
  <c r="L73" i="35"/>
  <c r="K73" i="35"/>
  <c r="I73" i="35"/>
  <c r="H73" i="35"/>
  <c r="F73" i="35"/>
  <c r="E73" i="35"/>
  <c r="O72" i="35"/>
  <c r="N72" i="35"/>
  <c r="L72" i="35"/>
  <c r="K72" i="35"/>
  <c r="I72" i="35"/>
  <c r="H72" i="35"/>
  <c r="F72" i="35"/>
  <c r="E72" i="35"/>
  <c r="O71" i="35"/>
  <c r="O91" i="35" s="1"/>
  <c r="N71" i="35"/>
  <c r="L71" i="35"/>
  <c r="L91" i="35" s="1"/>
  <c r="K71" i="35"/>
  <c r="K91" i="35" s="1"/>
  <c r="I71" i="35"/>
  <c r="I91" i="35" s="1"/>
  <c r="H71" i="35"/>
  <c r="H91" i="35" s="1"/>
  <c r="F71" i="35"/>
  <c r="F91" i="35" s="1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O61" i="35"/>
  <c r="N61" i="35"/>
  <c r="L61" i="35"/>
  <c r="K61" i="35"/>
  <c r="I61" i="35"/>
  <c r="H61" i="35"/>
  <c r="F61" i="35"/>
  <c r="E61" i="35"/>
  <c r="O60" i="35"/>
  <c r="N60" i="35"/>
  <c r="L60" i="35"/>
  <c r="K60" i="35"/>
  <c r="I60" i="35"/>
  <c r="H60" i="35"/>
  <c r="F60" i="35"/>
  <c r="E60" i="35"/>
  <c r="O59" i="35"/>
  <c r="N59" i="35"/>
  <c r="L59" i="35"/>
  <c r="K59" i="35"/>
  <c r="I59" i="35"/>
  <c r="H59" i="35"/>
  <c r="F59" i="35"/>
  <c r="E59" i="35"/>
  <c r="O58" i="35"/>
  <c r="N58" i="35"/>
  <c r="L58" i="35"/>
  <c r="K58" i="35"/>
  <c r="I58" i="35"/>
  <c r="H58" i="35"/>
  <c r="F58" i="35"/>
  <c r="E58" i="35"/>
  <c r="O57" i="35"/>
  <c r="N57" i="35"/>
  <c r="L57" i="35"/>
  <c r="K57" i="35"/>
  <c r="I57" i="35"/>
  <c r="H57" i="35"/>
  <c r="F57" i="35"/>
  <c r="E57" i="35"/>
  <c r="O56" i="35"/>
  <c r="N56" i="35"/>
  <c r="L56" i="35"/>
  <c r="K56" i="35"/>
  <c r="I56" i="35"/>
  <c r="H56" i="35"/>
  <c r="F56" i="35"/>
  <c r="E56" i="35"/>
  <c r="O55" i="35"/>
  <c r="N55" i="35"/>
  <c r="L55" i="35"/>
  <c r="K55" i="35"/>
  <c r="I55" i="35"/>
  <c r="H55" i="35"/>
  <c r="F55" i="35"/>
  <c r="E55" i="35"/>
  <c r="O54" i="35"/>
  <c r="N54" i="35"/>
  <c r="L54" i="35"/>
  <c r="K54" i="35"/>
  <c r="I54" i="35"/>
  <c r="H54" i="35"/>
  <c r="F54" i="35"/>
  <c r="E54" i="35"/>
  <c r="O53" i="35"/>
  <c r="N53" i="35"/>
  <c r="L53" i="35"/>
  <c r="K53" i="35"/>
  <c r="I53" i="35"/>
  <c r="H53" i="35"/>
  <c r="F53" i="35"/>
  <c r="E53" i="35"/>
  <c r="O52" i="35"/>
  <c r="N52" i="35"/>
  <c r="L52" i="35"/>
  <c r="K52" i="35"/>
  <c r="I52" i="35"/>
  <c r="H52" i="35"/>
  <c r="F52" i="35"/>
  <c r="E52" i="35"/>
  <c r="O51" i="35"/>
  <c r="N51" i="35"/>
  <c r="L51" i="35"/>
  <c r="K51" i="35"/>
  <c r="I51" i="35"/>
  <c r="H51" i="35"/>
  <c r="F51" i="35"/>
  <c r="E51" i="35"/>
  <c r="O50" i="35"/>
  <c r="N50" i="35"/>
  <c r="L50" i="35"/>
  <c r="K50" i="35"/>
  <c r="I50" i="35"/>
  <c r="H50" i="35"/>
  <c r="F50" i="35"/>
  <c r="E50" i="35"/>
  <c r="O49" i="35"/>
  <c r="N49" i="35"/>
  <c r="L49" i="35"/>
  <c r="K49" i="35"/>
  <c r="I49" i="35"/>
  <c r="H49" i="35"/>
  <c r="F49" i="35"/>
  <c r="E49" i="35"/>
  <c r="O48" i="35"/>
  <c r="N48" i="35"/>
  <c r="L48" i="35"/>
  <c r="K48" i="35"/>
  <c r="I48" i="35"/>
  <c r="H48" i="35"/>
  <c r="F48" i="35"/>
  <c r="E48" i="35"/>
  <c r="O47" i="35"/>
  <c r="N47" i="35"/>
  <c r="L47" i="35"/>
  <c r="K47" i="35"/>
  <c r="I47" i="35"/>
  <c r="H47" i="35"/>
  <c r="F47" i="35"/>
  <c r="E47" i="35"/>
  <c r="O46" i="35"/>
  <c r="N46" i="35"/>
  <c r="L46" i="35"/>
  <c r="K46" i="35"/>
  <c r="I46" i="35"/>
  <c r="H46" i="35"/>
  <c r="F46" i="35"/>
  <c r="E46" i="35"/>
  <c r="O45" i="35"/>
  <c r="N45" i="35"/>
  <c r="L45" i="35"/>
  <c r="K45" i="35"/>
  <c r="I45" i="35"/>
  <c r="H45" i="35"/>
  <c r="F45" i="35"/>
  <c r="E45" i="35"/>
  <c r="O44" i="35"/>
  <c r="O64" i="35" s="1"/>
  <c r="N44" i="35"/>
  <c r="N64" i="35" s="1"/>
  <c r="L44" i="35"/>
  <c r="L64" i="35" s="1"/>
  <c r="K44" i="35"/>
  <c r="K64" i="35" s="1"/>
  <c r="I44" i="35"/>
  <c r="I64" i="35" s="1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L198" i="34"/>
  <c r="K198" i="34"/>
  <c r="I198" i="34"/>
  <c r="H198" i="34"/>
  <c r="F198" i="34"/>
  <c r="E198" i="34"/>
  <c r="N197" i="34"/>
  <c r="O197" i="34" s="1"/>
  <c r="L197" i="34"/>
  <c r="K197" i="34"/>
  <c r="I197" i="34"/>
  <c r="H197" i="34"/>
  <c r="F197" i="34"/>
  <c r="E197" i="34"/>
  <c r="N196" i="34"/>
  <c r="O196" i="34" s="1"/>
  <c r="L196" i="34"/>
  <c r="K196" i="34"/>
  <c r="I196" i="34"/>
  <c r="H196" i="34"/>
  <c r="F196" i="34"/>
  <c r="E196" i="34"/>
  <c r="N195" i="34"/>
  <c r="O195" i="34" s="1"/>
  <c r="L195" i="34"/>
  <c r="K195" i="34"/>
  <c r="I195" i="34"/>
  <c r="H195" i="34"/>
  <c r="F195" i="34"/>
  <c r="E195" i="34"/>
  <c r="N194" i="34"/>
  <c r="O194" i="34" s="1"/>
  <c r="L194" i="34"/>
  <c r="K194" i="34"/>
  <c r="I194" i="34"/>
  <c r="H194" i="34"/>
  <c r="F194" i="34"/>
  <c r="E194" i="34"/>
  <c r="N193" i="34"/>
  <c r="O193" i="34" s="1"/>
  <c r="L193" i="34"/>
  <c r="K193" i="34"/>
  <c r="I193" i="34"/>
  <c r="H193" i="34"/>
  <c r="F193" i="34"/>
  <c r="E193" i="34"/>
  <c r="N192" i="34"/>
  <c r="O192" i="34" s="1"/>
  <c r="L192" i="34"/>
  <c r="K192" i="34"/>
  <c r="I192" i="34"/>
  <c r="H192" i="34"/>
  <c r="F192" i="34"/>
  <c r="E192" i="34"/>
  <c r="N191" i="34"/>
  <c r="O191" i="34" s="1"/>
  <c r="L191" i="34"/>
  <c r="K191" i="34"/>
  <c r="I191" i="34"/>
  <c r="H191" i="34"/>
  <c r="F191" i="34"/>
  <c r="E191" i="34"/>
  <c r="N190" i="34"/>
  <c r="O190" i="34" s="1"/>
  <c r="L190" i="34"/>
  <c r="K190" i="34"/>
  <c r="I190" i="34"/>
  <c r="H190" i="34"/>
  <c r="F190" i="34"/>
  <c r="E190" i="34"/>
  <c r="N189" i="34"/>
  <c r="O189" i="34" s="1"/>
  <c r="L189" i="34"/>
  <c r="K189" i="34"/>
  <c r="I189" i="34"/>
  <c r="H189" i="34"/>
  <c r="F189" i="34"/>
  <c r="E189" i="34"/>
  <c r="N188" i="34"/>
  <c r="O188" i="34" s="1"/>
  <c r="L188" i="34"/>
  <c r="K188" i="34"/>
  <c r="I188" i="34"/>
  <c r="H188" i="34"/>
  <c r="F188" i="34"/>
  <c r="E188" i="34"/>
  <c r="N187" i="34"/>
  <c r="O187" i="34" s="1"/>
  <c r="L187" i="34"/>
  <c r="K187" i="34"/>
  <c r="I187" i="34"/>
  <c r="H187" i="34"/>
  <c r="F187" i="34"/>
  <c r="E187" i="34"/>
  <c r="N186" i="34"/>
  <c r="O186" i="34" s="1"/>
  <c r="L186" i="34"/>
  <c r="K186" i="34"/>
  <c r="I186" i="34"/>
  <c r="H186" i="34"/>
  <c r="F186" i="34"/>
  <c r="E186" i="34"/>
  <c r="N185" i="34"/>
  <c r="O185" i="34" s="1"/>
  <c r="L185" i="34"/>
  <c r="K185" i="34"/>
  <c r="I185" i="34"/>
  <c r="H185" i="34"/>
  <c r="F185" i="34"/>
  <c r="E185" i="34"/>
  <c r="N184" i="34"/>
  <c r="O184" i="34" s="1"/>
  <c r="L184" i="34"/>
  <c r="K184" i="34"/>
  <c r="I184" i="34"/>
  <c r="H184" i="34"/>
  <c r="F184" i="34"/>
  <c r="E184" i="34"/>
  <c r="N183" i="34"/>
  <c r="O183" i="34" s="1"/>
  <c r="L183" i="34"/>
  <c r="K183" i="34"/>
  <c r="I183" i="34"/>
  <c r="H183" i="34"/>
  <c r="F183" i="34"/>
  <c r="E183" i="34"/>
  <c r="N182" i="34"/>
  <c r="O182" i="34" s="1"/>
  <c r="L182" i="34"/>
  <c r="K182" i="34"/>
  <c r="I182" i="34"/>
  <c r="H182" i="34"/>
  <c r="F182" i="34"/>
  <c r="E182" i="34"/>
  <c r="N181" i="34"/>
  <c r="O181" i="34" s="1"/>
  <c r="L181" i="34"/>
  <c r="K181" i="34"/>
  <c r="I181" i="34"/>
  <c r="H181" i="34"/>
  <c r="F181" i="34"/>
  <c r="E181" i="34"/>
  <c r="N180" i="34"/>
  <c r="O180" i="34" s="1"/>
  <c r="L180" i="34"/>
  <c r="K180" i="34"/>
  <c r="I180" i="34"/>
  <c r="H180" i="34"/>
  <c r="F180" i="34"/>
  <c r="E180" i="34"/>
  <c r="N179" i="34"/>
  <c r="N199" i="34" s="1"/>
  <c r="L179" i="34"/>
  <c r="L199" i="34" s="1"/>
  <c r="K179" i="34"/>
  <c r="K199" i="34" s="1"/>
  <c r="I179" i="34"/>
  <c r="I199" i="34" s="1"/>
  <c r="H179" i="34"/>
  <c r="H199" i="34" s="1"/>
  <c r="F179" i="34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I171" i="34"/>
  <c r="H171" i="34"/>
  <c r="F171" i="34"/>
  <c r="E171" i="34"/>
  <c r="N170" i="34"/>
  <c r="O170" i="34" s="1"/>
  <c r="L170" i="34"/>
  <c r="K170" i="34"/>
  <c r="I170" i="34"/>
  <c r="H170" i="34"/>
  <c r="F170" i="34"/>
  <c r="E170" i="34"/>
  <c r="N169" i="34"/>
  <c r="O169" i="34" s="1"/>
  <c r="L169" i="34"/>
  <c r="K169" i="34"/>
  <c r="I169" i="34"/>
  <c r="H169" i="34"/>
  <c r="F169" i="34"/>
  <c r="E169" i="34"/>
  <c r="N168" i="34"/>
  <c r="O168" i="34" s="1"/>
  <c r="L168" i="34"/>
  <c r="K168" i="34"/>
  <c r="I168" i="34"/>
  <c r="H168" i="34"/>
  <c r="F168" i="34"/>
  <c r="E168" i="34"/>
  <c r="N167" i="34"/>
  <c r="O167" i="34" s="1"/>
  <c r="L167" i="34"/>
  <c r="K167" i="34"/>
  <c r="I167" i="34"/>
  <c r="H167" i="34"/>
  <c r="F167" i="34"/>
  <c r="E167" i="34"/>
  <c r="N166" i="34"/>
  <c r="O166" i="34" s="1"/>
  <c r="L166" i="34"/>
  <c r="K166" i="34"/>
  <c r="I166" i="34"/>
  <c r="H166" i="34"/>
  <c r="F166" i="34"/>
  <c r="E166" i="34"/>
  <c r="N165" i="34"/>
  <c r="O165" i="34" s="1"/>
  <c r="L165" i="34"/>
  <c r="K165" i="34"/>
  <c r="I165" i="34"/>
  <c r="H165" i="34"/>
  <c r="F165" i="34"/>
  <c r="E165" i="34"/>
  <c r="N164" i="34"/>
  <c r="O164" i="34" s="1"/>
  <c r="L164" i="34"/>
  <c r="K164" i="34"/>
  <c r="I164" i="34"/>
  <c r="H164" i="34"/>
  <c r="F164" i="34"/>
  <c r="E164" i="34"/>
  <c r="N163" i="34"/>
  <c r="O163" i="34" s="1"/>
  <c r="L163" i="34"/>
  <c r="K163" i="34"/>
  <c r="I163" i="34"/>
  <c r="H163" i="34"/>
  <c r="F163" i="34"/>
  <c r="E163" i="34"/>
  <c r="N162" i="34"/>
  <c r="O162" i="34" s="1"/>
  <c r="L162" i="34"/>
  <c r="K162" i="34"/>
  <c r="I162" i="34"/>
  <c r="H162" i="34"/>
  <c r="F162" i="34"/>
  <c r="E162" i="34"/>
  <c r="N161" i="34"/>
  <c r="O161" i="34" s="1"/>
  <c r="L161" i="34"/>
  <c r="K161" i="34"/>
  <c r="I161" i="34"/>
  <c r="H161" i="34"/>
  <c r="F161" i="34"/>
  <c r="E161" i="34"/>
  <c r="N160" i="34"/>
  <c r="O160" i="34" s="1"/>
  <c r="L160" i="34"/>
  <c r="K160" i="34"/>
  <c r="I160" i="34"/>
  <c r="H160" i="34"/>
  <c r="F160" i="34"/>
  <c r="E160" i="34"/>
  <c r="N159" i="34"/>
  <c r="O159" i="34" s="1"/>
  <c r="L159" i="34"/>
  <c r="K159" i="34"/>
  <c r="I159" i="34"/>
  <c r="H159" i="34"/>
  <c r="F159" i="34"/>
  <c r="E159" i="34"/>
  <c r="N158" i="34"/>
  <c r="O158" i="34" s="1"/>
  <c r="L158" i="34"/>
  <c r="K158" i="34"/>
  <c r="I158" i="34"/>
  <c r="H158" i="34"/>
  <c r="F158" i="34"/>
  <c r="E158" i="34"/>
  <c r="N157" i="34"/>
  <c r="O157" i="34" s="1"/>
  <c r="L157" i="34"/>
  <c r="K157" i="34"/>
  <c r="I157" i="34"/>
  <c r="H157" i="34"/>
  <c r="F157" i="34"/>
  <c r="E157" i="34"/>
  <c r="N156" i="34"/>
  <c r="O156" i="34" s="1"/>
  <c r="L156" i="34"/>
  <c r="K156" i="34"/>
  <c r="I156" i="34"/>
  <c r="H156" i="34"/>
  <c r="F156" i="34"/>
  <c r="E156" i="34"/>
  <c r="N155" i="34"/>
  <c r="O155" i="34" s="1"/>
  <c r="L155" i="34"/>
  <c r="K155" i="34"/>
  <c r="I155" i="34"/>
  <c r="H155" i="34"/>
  <c r="F155" i="34"/>
  <c r="E155" i="34"/>
  <c r="N154" i="34"/>
  <c r="O154" i="34" s="1"/>
  <c r="L154" i="34"/>
  <c r="K154" i="34"/>
  <c r="I154" i="34"/>
  <c r="H154" i="34"/>
  <c r="F154" i="34"/>
  <c r="E154" i="34"/>
  <c r="N153" i="34"/>
  <c r="O153" i="34" s="1"/>
  <c r="L153" i="34"/>
  <c r="K153" i="34"/>
  <c r="I153" i="34"/>
  <c r="H153" i="34"/>
  <c r="F153" i="34"/>
  <c r="E153" i="34"/>
  <c r="N152" i="34"/>
  <c r="N172" i="34" s="1"/>
  <c r="L152" i="34"/>
  <c r="L172" i="34" s="1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N144" i="34"/>
  <c r="O144" i="34" s="1"/>
  <c r="L144" i="34"/>
  <c r="K144" i="34"/>
  <c r="I144" i="34"/>
  <c r="H144" i="34"/>
  <c r="E144" i="34"/>
  <c r="F144" i="34" s="1"/>
  <c r="N143" i="34"/>
  <c r="O143" i="34" s="1"/>
  <c r="K143" i="34"/>
  <c r="L143" i="34" s="1"/>
  <c r="I143" i="34"/>
  <c r="H143" i="34"/>
  <c r="E143" i="34"/>
  <c r="F143" i="34" s="1"/>
  <c r="O142" i="34"/>
  <c r="N142" i="34"/>
  <c r="L142" i="34"/>
  <c r="K142" i="34"/>
  <c r="I142" i="34"/>
  <c r="H142" i="34"/>
  <c r="E142" i="34"/>
  <c r="F142" i="34" s="1"/>
  <c r="N141" i="34"/>
  <c r="O141" i="34" s="1"/>
  <c r="L141" i="34"/>
  <c r="K141" i="34"/>
  <c r="I141" i="34"/>
  <c r="H141" i="34"/>
  <c r="E141" i="34"/>
  <c r="F141" i="34" s="1"/>
  <c r="N140" i="34"/>
  <c r="O140" i="34" s="1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N138" i="34"/>
  <c r="O138" i="34" s="1"/>
  <c r="L138" i="34"/>
  <c r="K138" i="34"/>
  <c r="I138" i="34"/>
  <c r="H138" i="34"/>
  <c r="E138" i="34"/>
  <c r="F138" i="34" s="1"/>
  <c r="N137" i="34"/>
  <c r="O137" i="34" s="1"/>
  <c r="L137" i="34"/>
  <c r="K137" i="34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L133" i="34"/>
  <c r="K133" i="34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N130" i="34"/>
  <c r="O130" i="34" s="1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N127" i="34"/>
  <c r="O127" i="34" s="1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L125" i="34"/>
  <c r="K125" i="34"/>
  <c r="I125" i="34"/>
  <c r="I145" i="34" s="1"/>
  <c r="H125" i="34"/>
  <c r="H145" i="34" s="1"/>
  <c r="E125" i="34"/>
  <c r="E145" i="34" s="1"/>
  <c r="M123" i="34"/>
  <c r="J123" i="34"/>
  <c r="G123" i="34"/>
  <c r="D123" i="34"/>
  <c r="B123" i="34"/>
  <c r="M122" i="34"/>
  <c r="G122" i="34"/>
  <c r="B118" i="34"/>
  <c r="N117" i="34"/>
  <c r="O117" i="34" s="1"/>
  <c r="L117" i="34"/>
  <c r="K117" i="34"/>
  <c r="I117" i="34"/>
  <c r="H117" i="34"/>
  <c r="F117" i="34"/>
  <c r="E117" i="34"/>
  <c r="N116" i="34"/>
  <c r="O116" i="34" s="1"/>
  <c r="L116" i="34"/>
  <c r="K116" i="34"/>
  <c r="I116" i="34"/>
  <c r="H116" i="34"/>
  <c r="F116" i="34"/>
  <c r="E116" i="34"/>
  <c r="N115" i="34"/>
  <c r="O115" i="34" s="1"/>
  <c r="L115" i="34"/>
  <c r="K115" i="34"/>
  <c r="I115" i="34"/>
  <c r="H115" i="34"/>
  <c r="F115" i="34"/>
  <c r="E115" i="34"/>
  <c r="N114" i="34"/>
  <c r="O114" i="34" s="1"/>
  <c r="L114" i="34"/>
  <c r="K114" i="34"/>
  <c r="I114" i="34"/>
  <c r="H114" i="34"/>
  <c r="F114" i="34"/>
  <c r="E114" i="34"/>
  <c r="N113" i="34"/>
  <c r="O113" i="34" s="1"/>
  <c r="L113" i="34"/>
  <c r="K113" i="34"/>
  <c r="I113" i="34"/>
  <c r="H113" i="34"/>
  <c r="F113" i="34"/>
  <c r="E113" i="34"/>
  <c r="N112" i="34"/>
  <c r="O112" i="34" s="1"/>
  <c r="L112" i="34"/>
  <c r="K112" i="34"/>
  <c r="I112" i="34"/>
  <c r="H112" i="34"/>
  <c r="F112" i="34"/>
  <c r="E112" i="34"/>
  <c r="N111" i="34"/>
  <c r="O111" i="34" s="1"/>
  <c r="L111" i="34"/>
  <c r="K111" i="34"/>
  <c r="I111" i="34"/>
  <c r="H111" i="34"/>
  <c r="F111" i="34"/>
  <c r="E111" i="34"/>
  <c r="N110" i="34"/>
  <c r="O110" i="34" s="1"/>
  <c r="L110" i="34"/>
  <c r="K110" i="34"/>
  <c r="I110" i="34"/>
  <c r="H110" i="34"/>
  <c r="F110" i="34"/>
  <c r="E110" i="34"/>
  <c r="N109" i="34"/>
  <c r="O109" i="34" s="1"/>
  <c r="L109" i="34"/>
  <c r="K109" i="34"/>
  <c r="I109" i="34"/>
  <c r="H109" i="34"/>
  <c r="F109" i="34"/>
  <c r="E109" i="34"/>
  <c r="N108" i="34"/>
  <c r="O108" i="34" s="1"/>
  <c r="L108" i="34"/>
  <c r="K108" i="34"/>
  <c r="I108" i="34"/>
  <c r="H108" i="34"/>
  <c r="F108" i="34"/>
  <c r="E108" i="34"/>
  <c r="N107" i="34"/>
  <c r="O107" i="34" s="1"/>
  <c r="L107" i="34"/>
  <c r="K107" i="34"/>
  <c r="I107" i="34"/>
  <c r="H107" i="34"/>
  <c r="F107" i="34"/>
  <c r="E107" i="34"/>
  <c r="N106" i="34"/>
  <c r="O106" i="34" s="1"/>
  <c r="L106" i="34"/>
  <c r="K106" i="34"/>
  <c r="I106" i="34"/>
  <c r="H106" i="34"/>
  <c r="F106" i="34"/>
  <c r="E106" i="34"/>
  <c r="N105" i="34"/>
  <c r="O105" i="34" s="1"/>
  <c r="L105" i="34"/>
  <c r="K105" i="34"/>
  <c r="I105" i="34"/>
  <c r="H105" i="34"/>
  <c r="F105" i="34"/>
  <c r="E105" i="34"/>
  <c r="N104" i="34"/>
  <c r="O104" i="34" s="1"/>
  <c r="L104" i="34"/>
  <c r="K104" i="34"/>
  <c r="I104" i="34"/>
  <c r="H104" i="34"/>
  <c r="F104" i="34"/>
  <c r="E104" i="34"/>
  <c r="N103" i="34"/>
  <c r="O103" i="34" s="1"/>
  <c r="L103" i="34"/>
  <c r="K103" i="34"/>
  <c r="I103" i="34"/>
  <c r="H103" i="34"/>
  <c r="F103" i="34"/>
  <c r="E103" i="34"/>
  <c r="N102" i="34"/>
  <c r="O102" i="34" s="1"/>
  <c r="L102" i="34"/>
  <c r="K102" i="34"/>
  <c r="I102" i="34"/>
  <c r="H102" i="34"/>
  <c r="F102" i="34"/>
  <c r="E102" i="34"/>
  <c r="N101" i="34"/>
  <c r="O101" i="34" s="1"/>
  <c r="L101" i="34"/>
  <c r="K101" i="34"/>
  <c r="I101" i="34"/>
  <c r="H101" i="34"/>
  <c r="F101" i="34"/>
  <c r="E101" i="34"/>
  <c r="N100" i="34"/>
  <c r="O100" i="34" s="1"/>
  <c r="L100" i="34"/>
  <c r="K100" i="34"/>
  <c r="I100" i="34"/>
  <c r="H100" i="34"/>
  <c r="F100" i="34"/>
  <c r="E100" i="34"/>
  <c r="N99" i="34"/>
  <c r="O99" i="34" s="1"/>
  <c r="L99" i="34"/>
  <c r="K99" i="34"/>
  <c r="I99" i="34"/>
  <c r="H99" i="34"/>
  <c r="F99" i="34"/>
  <c r="E99" i="34"/>
  <c r="N98" i="34"/>
  <c r="N118" i="34" s="1"/>
  <c r="L98" i="34"/>
  <c r="L118" i="34" s="1"/>
  <c r="K98" i="34"/>
  <c r="K118" i="34" s="1"/>
  <c r="I98" i="34"/>
  <c r="I118" i="34" s="1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N85" i="34"/>
  <c r="L85" i="34"/>
  <c r="K85" i="34"/>
  <c r="I85" i="34"/>
  <c r="H85" i="34"/>
  <c r="F85" i="34"/>
  <c r="E85" i="34"/>
  <c r="O84" i="34"/>
  <c r="N84" i="34"/>
  <c r="L84" i="34"/>
  <c r="K84" i="34"/>
  <c r="I84" i="34"/>
  <c r="H84" i="34"/>
  <c r="F84" i="34"/>
  <c r="E84" i="34"/>
  <c r="O83" i="34"/>
  <c r="N83" i="34"/>
  <c r="L83" i="34"/>
  <c r="K83" i="34"/>
  <c r="I83" i="34"/>
  <c r="H83" i="34"/>
  <c r="F83" i="34"/>
  <c r="E83" i="34"/>
  <c r="O82" i="34"/>
  <c r="N82" i="34"/>
  <c r="L82" i="34"/>
  <c r="K82" i="34"/>
  <c r="I82" i="34"/>
  <c r="H82" i="34"/>
  <c r="F82" i="34"/>
  <c r="E82" i="34"/>
  <c r="O81" i="34"/>
  <c r="N81" i="34"/>
  <c r="L81" i="34"/>
  <c r="K81" i="34"/>
  <c r="I81" i="34"/>
  <c r="H81" i="34"/>
  <c r="F81" i="34"/>
  <c r="E81" i="34"/>
  <c r="O80" i="34"/>
  <c r="N80" i="34"/>
  <c r="L80" i="34"/>
  <c r="K80" i="34"/>
  <c r="I80" i="34"/>
  <c r="H80" i="34"/>
  <c r="F80" i="34"/>
  <c r="E80" i="34"/>
  <c r="O79" i="34"/>
  <c r="N79" i="34"/>
  <c r="L79" i="34"/>
  <c r="K79" i="34"/>
  <c r="I79" i="34"/>
  <c r="H79" i="34"/>
  <c r="F79" i="34"/>
  <c r="E79" i="34"/>
  <c r="O78" i="34"/>
  <c r="N78" i="34"/>
  <c r="L78" i="34"/>
  <c r="K78" i="34"/>
  <c r="I78" i="34"/>
  <c r="H78" i="34"/>
  <c r="F78" i="34"/>
  <c r="E78" i="34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O91" i="34" s="1"/>
  <c r="N71" i="34"/>
  <c r="N91" i="34" s="1"/>
  <c r="L71" i="34"/>
  <c r="L91" i="34" s="1"/>
  <c r="K71" i="34"/>
  <c r="K91" i="34" s="1"/>
  <c r="I71" i="34"/>
  <c r="I91" i="34" s="1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N63" i="34"/>
  <c r="O63" i="34" s="1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N51" i="34"/>
  <c r="L51" i="34"/>
  <c r="K51" i="34"/>
  <c r="I51" i="34"/>
  <c r="H51" i="34"/>
  <c r="F51" i="34"/>
  <c r="E51" i="34"/>
  <c r="O50" i="34"/>
  <c r="N50" i="34"/>
  <c r="L50" i="34"/>
  <c r="K50" i="34"/>
  <c r="I50" i="34"/>
  <c r="H50" i="34"/>
  <c r="F50" i="34"/>
  <c r="E50" i="34"/>
  <c r="O49" i="34"/>
  <c r="N49" i="34"/>
  <c r="L49" i="34"/>
  <c r="K49" i="34"/>
  <c r="I49" i="34"/>
  <c r="H49" i="34"/>
  <c r="F49" i="34"/>
  <c r="E49" i="34"/>
  <c r="O48" i="34"/>
  <c r="N48" i="34"/>
  <c r="L48" i="34"/>
  <c r="K48" i="34"/>
  <c r="I48" i="34"/>
  <c r="H48" i="34"/>
  <c r="F48" i="34"/>
  <c r="E48" i="34"/>
  <c r="O47" i="34"/>
  <c r="N47" i="34"/>
  <c r="L47" i="34"/>
  <c r="K47" i="34"/>
  <c r="I47" i="34"/>
  <c r="H47" i="34"/>
  <c r="F47" i="34"/>
  <c r="E47" i="34"/>
  <c r="O46" i="34"/>
  <c r="N46" i="34"/>
  <c r="L46" i="34"/>
  <c r="K46" i="34"/>
  <c r="I46" i="34"/>
  <c r="H46" i="34"/>
  <c r="F46" i="34"/>
  <c r="E46" i="34"/>
  <c r="O45" i="34"/>
  <c r="N45" i="34"/>
  <c r="L45" i="34"/>
  <c r="K45" i="34"/>
  <c r="I45" i="34"/>
  <c r="H45" i="34"/>
  <c r="F45" i="34"/>
  <c r="E45" i="34"/>
  <c r="O44" i="34"/>
  <c r="N44" i="34"/>
  <c r="N64" i="34" s="1"/>
  <c r="L44" i="34"/>
  <c r="L64" i="34" s="1"/>
  <c r="K44" i="34"/>
  <c r="K64" i="34" s="1"/>
  <c r="I44" i="34"/>
  <c r="I64" i="34" s="1"/>
  <c r="H44" i="34"/>
  <c r="H64" i="34" s="1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K194" i="33"/>
  <c r="L194" i="33" s="1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K186" i="33"/>
  <c r="L186" i="33" s="1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K182" i="33"/>
  <c r="L182" i="33" s="1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K179" i="33"/>
  <c r="L179" i="33" s="1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I171" i="33"/>
  <c r="H171" i="33"/>
  <c r="F171" i="33"/>
  <c r="E171" i="33"/>
  <c r="N170" i="33"/>
  <c r="O170" i="33" s="1"/>
  <c r="L170" i="33"/>
  <c r="K170" i="33"/>
  <c r="I170" i="33"/>
  <c r="H170" i="33"/>
  <c r="F170" i="33"/>
  <c r="E170" i="33"/>
  <c r="N169" i="33"/>
  <c r="O169" i="33" s="1"/>
  <c r="L169" i="33"/>
  <c r="K169" i="33"/>
  <c r="I169" i="33"/>
  <c r="H169" i="33"/>
  <c r="F169" i="33"/>
  <c r="E169" i="33"/>
  <c r="N168" i="33"/>
  <c r="O168" i="33" s="1"/>
  <c r="L168" i="33"/>
  <c r="K168" i="33"/>
  <c r="I168" i="33"/>
  <c r="H168" i="33"/>
  <c r="F168" i="33"/>
  <c r="E168" i="33"/>
  <c r="N167" i="33"/>
  <c r="O167" i="33" s="1"/>
  <c r="L167" i="33"/>
  <c r="K167" i="33"/>
  <c r="I167" i="33"/>
  <c r="H167" i="33"/>
  <c r="F167" i="33"/>
  <c r="E167" i="33"/>
  <c r="N166" i="33"/>
  <c r="O166" i="33" s="1"/>
  <c r="L166" i="33"/>
  <c r="K166" i="33"/>
  <c r="I166" i="33"/>
  <c r="H166" i="33"/>
  <c r="F166" i="33"/>
  <c r="E166" i="33"/>
  <c r="N165" i="33"/>
  <c r="O165" i="33" s="1"/>
  <c r="L165" i="33"/>
  <c r="K165" i="33"/>
  <c r="I165" i="33"/>
  <c r="H165" i="33"/>
  <c r="F165" i="33"/>
  <c r="E165" i="33"/>
  <c r="N164" i="33"/>
  <c r="O164" i="33" s="1"/>
  <c r="L164" i="33"/>
  <c r="K164" i="33"/>
  <c r="I164" i="33"/>
  <c r="H164" i="33"/>
  <c r="F164" i="33"/>
  <c r="E164" i="33"/>
  <c r="N163" i="33"/>
  <c r="O163" i="33" s="1"/>
  <c r="L163" i="33"/>
  <c r="K163" i="33"/>
  <c r="I163" i="33"/>
  <c r="H163" i="33"/>
  <c r="F163" i="33"/>
  <c r="E163" i="33"/>
  <c r="N162" i="33"/>
  <c r="O162" i="33" s="1"/>
  <c r="L162" i="33"/>
  <c r="K162" i="33"/>
  <c r="I162" i="33"/>
  <c r="H162" i="33"/>
  <c r="F162" i="33"/>
  <c r="E162" i="33"/>
  <c r="N161" i="33"/>
  <c r="O161" i="33" s="1"/>
  <c r="L161" i="33"/>
  <c r="K161" i="33"/>
  <c r="I161" i="33"/>
  <c r="H161" i="33"/>
  <c r="F161" i="33"/>
  <c r="E161" i="33"/>
  <c r="N160" i="33"/>
  <c r="O160" i="33" s="1"/>
  <c r="L160" i="33"/>
  <c r="K160" i="33"/>
  <c r="I160" i="33"/>
  <c r="H160" i="33"/>
  <c r="F160" i="33"/>
  <c r="E160" i="33"/>
  <c r="N159" i="33"/>
  <c r="O159" i="33" s="1"/>
  <c r="L159" i="33"/>
  <c r="K159" i="33"/>
  <c r="I159" i="33"/>
  <c r="H159" i="33"/>
  <c r="F159" i="33"/>
  <c r="E159" i="33"/>
  <c r="N158" i="33"/>
  <c r="O158" i="33" s="1"/>
  <c r="L158" i="33"/>
  <c r="K158" i="33"/>
  <c r="I158" i="33"/>
  <c r="H158" i="33"/>
  <c r="F158" i="33"/>
  <c r="E158" i="33"/>
  <c r="N157" i="33"/>
  <c r="O157" i="33" s="1"/>
  <c r="L157" i="33"/>
  <c r="K157" i="33"/>
  <c r="I157" i="33"/>
  <c r="H157" i="33"/>
  <c r="F157" i="33"/>
  <c r="E157" i="33"/>
  <c r="N156" i="33"/>
  <c r="O156" i="33" s="1"/>
  <c r="L156" i="33"/>
  <c r="K156" i="33"/>
  <c r="I156" i="33"/>
  <c r="H156" i="33"/>
  <c r="F156" i="33"/>
  <c r="E156" i="33"/>
  <c r="N155" i="33"/>
  <c r="O155" i="33" s="1"/>
  <c r="L155" i="33"/>
  <c r="K155" i="33"/>
  <c r="I155" i="33"/>
  <c r="H155" i="33"/>
  <c r="F155" i="33"/>
  <c r="E155" i="33"/>
  <c r="N154" i="33"/>
  <c r="O154" i="33" s="1"/>
  <c r="L154" i="33"/>
  <c r="K154" i="33"/>
  <c r="I154" i="33"/>
  <c r="H154" i="33"/>
  <c r="F154" i="33"/>
  <c r="E154" i="33"/>
  <c r="N153" i="33"/>
  <c r="O153" i="33" s="1"/>
  <c r="L153" i="33"/>
  <c r="K153" i="33"/>
  <c r="I153" i="33"/>
  <c r="H153" i="33"/>
  <c r="F153" i="33"/>
  <c r="E153" i="33"/>
  <c r="N152" i="33"/>
  <c r="N172" i="33" s="1"/>
  <c r="L152" i="33"/>
  <c r="L172" i="33" s="1"/>
  <c r="K152" i="33"/>
  <c r="K172" i="33" s="1"/>
  <c r="I152" i="33"/>
  <c r="I172" i="33" s="1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N144" i="33"/>
  <c r="O144" i="33" s="1"/>
  <c r="K144" i="33"/>
  <c r="L144" i="33" s="1"/>
  <c r="H144" i="33"/>
  <c r="I144" i="33" s="1"/>
  <c r="E144" i="33"/>
  <c r="F144" i="33" s="1"/>
  <c r="O143" i="33"/>
  <c r="N143" i="33"/>
  <c r="K143" i="33"/>
  <c r="L143" i="33" s="1"/>
  <c r="H143" i="33"/>
  <c r="I143" i="33" s="1"/>
  <c r="E143" i="33"/>
  <c r="F143" i="33" s="1"/>
  <c r="N142" i="33"/>
  <c r="O142" i="33" s="1"/>
  <c r="K142" i="33"/>
  <c r="L142" i="33" s="1"/>
  <c r="H142" i="33"/>
  <c r="I142" i="33" s="1"/>
  <c r="E142" i="33"/>
  <c r="F142" i="33" s="1"/>
  <c r="N141" i="33"/>
  <c r="O141" i="33" s="1"/>
  <c r="K141" i="33"/>
  <c r="L141" i="33" s="1"/>
  <c r="I141" i="33"/>
  <c r="H141" i="33"/>
  <c r="E141" i="33"/>
  <c r="F141" i="33" s="1"/>
  <c r="O140" i="33"/>
  <c r="N140" i="33"/>
  <c r="K140" i="33"/>
  <c r="L140" i="33" s="1"/>
  <c r="H140" i="33"/>
  <c r="I140" i="33" s="1"/>
  <c r="E140" i="33"/>
  <c r="F140" i="33" s="1"/>
  <c r="N139" i="33"/>
  <c r="O139" i="33" s="1"/>
  <c r="K139" i="33"/>
  <c r="L139" i="33" s="1"/>
  <c r="H139" i="33"/>
  <c r="I139" i="33" s="1"/>
  <c r="E139" i="33"/>
  <c r="F139" i="33" s="1"/>
  <c r="N138" i="33"/>
  <c r="O138" i="33" s="1"/>
  <c r="K138" i="33"/>
  <c r="L138" i="33" s="1"/>
  <c r="H138" i="33"/>
  <c r="I138" i="33" s="1"/>
  <c r="E138" i="33"/>
  <c r="F138" i="33" s="1"/>
  <c r="N137" i="33"/>
  <c r="O137" i="33" s="1"/>
  <c r="K137" i="33"/>
  <c r="L137" i="33" s="1"/>
  <c r="I137" i="33"/>
  <c r="H137" i="33"/>
  <c r="E137" i="33"/>
  <c r="F137" i="33" s="1"/>
  <c r="N136" i="33"/>
  <c r="O136" i="33" s="1"/>
  <c r="K136" i="33"/>
  <c r="L136" i="33" s="1"/>
  <c r="H136" i="33"/>
  <c r="I136" i="33" s="1"/>
  <c r="E136" i="33"/>
  <c r="F136" i="33" s="1"/>
  <c r="N135" i="33"/>
  <c r="O135" i="33" s="1"/>
  <c r="K135" i="33"/>
  <c r="L135" i="33" s="1"/>
  <c r="H135" i="33"/>
  <c r="I135" i="33" s="1"/>
  <c r="E135" i="33"/>
  <c r="F135" i="33" s="1"/>
  <c r="N134" i="33"/>
  <c r="O134" i="33" s="1"/>
  <c r="K134" i="33"/>
  <c r="L134" i="33" s="1"/>
  <c r="H134" i="33"/>
  <c r="I134" i="33" s="1"/>
  <c r="E134" i="33"/>
  <c r="F134" i="33" s="1"/>
  <c r="O133" i="33"/>
  <c r="N133" i="33"/>
  <c r="K133" i="33"/>
  <c r="L133" i="33" s="1"/>
  <c r="I133" i="33"/>
  <c r="H133" i="33"/>
  <c r="E133" i="33"/>
  <c r="F133" i="33" s="1"/>
  <c r="N132" i="33"/>
  <c r="O132" i="33" s="1"/>
  <c r="K132" i="33"/>
  <c r="L132" i="33" s="1"/>
  <c r="H132" i="33"/>
  <c r="I132" i="33" s="1"/>
  <c r="E132" i="33"/>
  <c r="F132" i="33" s="1"/>
  <c r="N131" i="33"/>
  <c r="O131" i="33" s="1"/>
  <c r="K131" i="33"/>
  <c r="L131" i="33" s="1"/>
  <c r="H131" i="33"/>
  <c r="I131" i="33" s="1"/>
  <c r="E131" i="33"/>
  <c r="F131" i="33" s="1"/>
  <c r="O130" i="33"/>
  <c r="N130" i="33"/>
  <c r="K130" i="33"/>
  <c r="L130" i="33" s="1"/>
  <c r="H130" i="33"/>
  <c r="I130" i="33" s="1"/>
  <c r="E130" i="33"/>
  <c r="F130" i="33" s="1"/>
  <c r="N129" i="33"/>
  <c r="O129" i="33" s="1"/>
  <c r="K129" i="33"/>
  <c r="L129" i="33" s="1"/>
  <c r="I129" i="33"/>
  <c r="H129" i="33"/>
  <c r="E129" i="33"/>
  <c r="F129" i="33" s="1"/>
  <c r="N128" i="33"/>
  <c r="O128" i="33" s="1"/>
  <c r="K128" i="33"/>
  <c r="L128" i="33" s="1"/>
  <c r="H128" i="33"/>
  <c r="I128" i="33" s="1"/>
  <c r="E128" i="33"/>
  <c r="F128" i="33" s="1"/>
  <c r="O127" i="33"/>
  <c r="N127" i="33"/>
  <c r="K127" i="33"/>
  <c r="L127" i="33" s="1"/>
  <c r="H127" i="33"/>
  <c r="I127" i="33" s="1"/>
  <c r="E127" i="33"/>
  <c r="F127" i="33" s="1"/>
  <c r="N126" i="33"/>
  <c r="O126" i="33" s="1"/>
  <c r="K126" i="33"/>
  <c r="L126" i="33" s="1"/>
  <c r="H126" i="33"/>
  <c r="I126" i="33" s="1"/>
  <c r="E126" i="33"/>
  <c r="F126" i="33" s="1"/>
  <c r="N125" i="33"/>
  <c r="K125" i="33"/>
  <c r="L125" i="33" s="1"/>
  <c r="I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K117" i="33"/>
  <c r="L117" i="33" s="1"/>
  <c r="H117" i="33"/>
  <c r="I117" i="33" s="1"/>
  <c r="E117" i="33"/>
  <c r="F117" i="33" s="1"/>
  <c r="N116" i="33"/>
  <c r="O116" i="33" s="1"/>
  <c r="K116" i="33"/>
  <c r="L116" i="33" s="1"/>
  <c r="H116" i="33"/>
  <c r="I116" i="33" s="1"/>
  <c r="E116" i="33"/>
  <c r="F116" i="33" s="1"/>
  <c r="O115" i="33"/>
  <c r="N115" i="33"/>
  <c r="K115" i="33"/>
  <c r="L115" i="33" s="1"/>
  <c r="H115" i="33"/>
  <c r="I115" i="33" s="1"/>
  <c r="E115" i="33"/>
  <c r="F115" i="33" s="1"/>
  <c r="N114" i="33"/>
  <c r="O114" i="33" s="1"/>
  <c r="K114" i="33"/>
  <c r="L114" i="33" s="1"/>
  <c r="I114" i="33"/>
  <c r="H114" i="33"/>
  <c r="E114" i="33"/>
  <c r="F114" i="33" s="1"/>
  <c r="N113" i="33"/>
  <c r="O113" i="33" s="1"/>
  <c r="K113" i="33"/>
  <c r="L113" i="33" s="1"/>
  <c r="H113" i="33"/>
  <c r="I113" i="33" s="1"/>
  <c r="E113" i="33"/>
  <c r="F113" i="33" s="1"/>
  <c r="O112" i="33"/>
  <c r="N112" i="33"/>
  <c r="L112" i="33"/>
  <c r="K112" i="33"/>
  <c r="H112" i="33"/>
  <c r="I112" i="33" s="1"/>
  <c r="E112" i="33"/>
  <c r="F112" i="33" s="1"/>
  <c r="O111" i="33"/>
  <c r="N111" i="33"/>
  <c r="K111" i="33"/>
  <c r="L111" i="33" s="1"/>
  <c r="H111" i="33"/>
  <c r="I111" i="33" s="1"/>
  <c r="E111" i="33"/>
  <c r="F111" i="33" s="1"/>
  <c r="N110" i="33"/>
  <c r="O110" i="33" s="1"/>
  <c r="K110" i="33"/>
  <c r="L110" i="33" s="1"/>
  <c r="I110" i="33"/>
  <c r="H110" i="33"/>
  <c r="E110" i="33"/>
  <c r="F110" i="33" s="1"/>
  <c r="N109" i="33"/>
  <c r="O109" i="33" s="1"/>
  <c r="K109" i="33"/>
  <c r="L109" i="33" s="1"/>
  <c r="H109" i="33"/>
  <c r="I109" i="33" s="1"/>
  <c r="E109" i="33"/>
  <c r="F109" i="33" s="1"/>
  <c r="O108" i="33"/>
  <c r="N108" i="33"/>
  <c r="K108" i="33"/>
  <c r="L108" i="33" s="1"/>
  <c r="H108" i="33"/>
  <c r="I108" i="33" s="1"/>
  <c r="E108" i="33"/>
  <c r="F108" i="33" s="1"/>
  <c r="N107" i="33"/>
  <c r="O107" i="33" s="1"/>
  <c r="K107" i="33"/>
  <c r="L107" i="33" s="1"/>
  <c r="H107" i="33"/>
  <c r="I107" i="33" s="1"/>
  <c r="E107" i="33"/>
  <c r="F107" i="33" s="1"/>
  <c r="O106" i="33"/>
  <c r="N106" i="33"/>
  <c r="K106" i="33"/>
  <c r="L106" i="33" s="1"/>
  <c r="I106" i="33"/>
  <c r="H106" i="33"/>
  <c r="E106" i="33"/>
  <c r="F106" i="33" s="1"/>
  <c r="O105" i="33"/>
  <c r="N105" i="33"/>
  <c r="L105" i="33"/>
  <c r="K105" i="33"/>
  <c r="H105" i="33"/>
  <c r="I105" i="33" s="1"/>
  <c r="E105" i="33"/>
  <c r="F105" i="33" s="1"/>
  <c r="O104" i="33"/>
  <c r="N104" i="33"/>
  <c r="K104" i="33"/>
  <c r="L104" i="33" s="1"/>
  <c r="H104" i="33"/>
  <c r="I104" i="33" s="1"/>
  <c r="E104" i="33"/>
  <c r="F104" i="33" s="1"/>
  <c r="N103" i="33"/>
  <c r="O103" i="33" s="1"/>
  <c r="K103" i="33"/>
  <c r="L103" i="33" s="1"/>
  <c r="H103" i="33"/>
  <c r="I103" i="33" s="1"/>
  <c r="E103" i="33"/>
  <c r="F103" i="33" s="1"/>
  <c r="O102" i="33"/>
  <c r="N102" i="33"/>
  <c r="K102" i="33"/>
  <c r="L102" i="33" s="1"/>
  <c r="I102" i="33"/>
  <c r="H102" i="33"/>
  <c r="E102" i="33"/>
  <c r="F102" i="33" s="1"/>
  <c r="O101" i="33"/>
  <c r="N101" i="33"/>
  <c r="K101" i="33"/>
  <c r="L101" i="33" s="1"/>
  <c r="H101" i="33"/>
  <c r="I101" i="33" s="1"/>
  <c r="E101" i="33"/>
  <c r="F101" i="33" s="1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E99" i="33"/>
  <c r="F99" i="33" s="1"/>
  <c r="N98" i="33"/>
  <c r="K98" i="33"/>
  <c r="I98" i="33"/>
  <c r="H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O89" i="33"/>
  <c r="N89" i="33"/>
  <c r="K89" i="33"/>
  <c r="L89" i="33" s="1"/>
  <c r="I89" i="33"/>
  <c r="H89" i="33"/>
  <c r="E89" i="33"/>
  <c r="F89" i="33" s="1"/>
  <c r="N88" i="33"/>
  <c r="O88" i="33" s="1"/>
  <c r="K88" i="33"/>
  <c r="L88" i="33" s="1"/>
  <c r="H88" i="33"/>
  <c r="I88" i="33" s="1"/>
  <c r="E88" i="33"/>
  <c r="F88" i="33" s="1"/>
  <c r="N87" i="33"/>
  <c r="O87" i="33" s="1"/>
  <c r="K87" i="33"/>
  <c r="L87" i="33" s="1"/>
  <c r="I87" i="33"/>
  <c r="H87" i="33"/>
  <c r="E87" i="33"/>
  <c r="F87" i="33" s="1"/>
  <c r="N86" i="33"/>
  <c r="O86" i="33" s="1"/>
  <c r="L86" i="33"/>
  <c r="K86" i="33"/>
  <c r="H86" i="33"/>
  <c r="I86" i="33" s="1"/>
  <c r="E86" i="33"/>
  <c r="F86" i="33" s="1"/>
  <c r="N85" i="33"/>
  <c r="O85" i="33" s="1"/>
  <c r="K85" i="33"/>
  <c r="L85" i="33" s="1"/>
  <c r="I85" i="33"/>
  <c r="H85" i="33"/>
  <c r="E85" i="33"/>
  <c r="F85" i="33" s="1"/>
  <c r="N84" i="33"/>
  <c r="O84" i="33" s="1"/>
  <c r="K84" i="33"/>
  <c r="L84" i="33" s="1"/>
  <c r="H84" i="33"/>
  <c r="I84" i="33" s="1"/>
  <c r="E84" i="33"/>
  <c r="F84" i="33" s="1"/>
  <c r="N83" i="33"/>
  <c r="O83" i="33" s="1"/>
  <c r="K83" i="33"/>
  <c r="L83" i="33" s="1"/>
  <c r="I83" i="33"/>
  <c r="H83" i="33"/>
  <c r="E83" i="33"/>
  <c r="F83" i="33" s="1"/>
  <c r="O82" i="33"/>
  <c r="N82" i="33"/>
  <c r="K82" i="33"/>
  <c r="L82" i="33" s="1"/>
  <c r="H82" i="33"/>
  <c r="I82" i="33" s="1"/>
  <c r="E82" i="33"/>
  <c r="F82" i="33" s="1"/>
  <c r="N81" i="33"/>
  <c r="O81" i="33" s="1"/>
  <c r="L81" i="33"/>
  <c r="K81" i="33"/>
  <c r="I81" i="33"/>
  <c r="H81" i="33"/>
  <c r="E81" i="33"/>
  <c r="F81" i="33" s="1"/>
  <c r="O80" i="33"/>
  <c r="N80" i="33"/>
  <c r="K80" i="33"/>
  <c r="L80" i="33" s="1"/>
  <c r="H80" i="33"/>
  <c r="I80" i="33" s="1"/>
  <c r="E80" i="33"/>
  <c r="F80" i="33" s="1"/>
  <c r="N79" i="33"/>
  <c r="O79" i="33" s="1"/>
  <c r="K79" i="33"/>
  <c r="L79" i="33" s="1"/>
  <c r="I79" i="33"/>
  <c r="H79" i="33"/>
  <c r="E79" i="33"/>
  <c r="F79" i="33" s="1"/>
  <c r="N78" i="33"/>
  <c r="O78" i="33" s="1"/>
  <c r="K78" i="33"/>
  <c r="L78" i="33" s="1"/>
  <c r="H78" i="33"/>
  <c r="I78" i="33" s="1"/>
  <c r="E78" i="33"/>
  <c r="F78" i="33" s="1"/>
  <c r="O77" i="33"/>
  <c r="N77" i="33"/>
  <c r="K77" i="33"/>
  <c r="L77" i="33" s="1"/>
  <c r="I77" i="33"/>
  <c r="H77" i="33"/>
  <c r="E77" i="33"/>
  <c r="F77" i="33" s="1"/>
  <c r="N76" i="33"/>
  <c r="O76" i="33" s="1"/>
  <c r="K76" i="33"/>
  <c r="L76" i="33" s="1"/>
  <c r="H76" i="33"/>
  <c r="I76" i="33" s="1"/>
  <c r="E76" i="33"/>
  <c r="F76" i="33" s="1"/>
  <c r="N75" i="33"/>
  <c r="O75" i="33" s="1"/>
  <c r="K75" i="33"/>
  <c r="L75" i="33" s="1"/>
  <c r="I75" i="33"/>
  <c r="H75" i="33"/>
  <c r="F75" i="33"/>
  <c r="E75" i="33"/>
  <c r="N74" i="33"/>
  <c r="O74" i="33" s="1"/>
  <c r="K74" i="33"/>
  <c r="L74" i="33" s="1"/>
  <c r="I74" i="33"/>
  <c r="H74" i="33"/>
  <c r="F74" i="33"/>
  <c r="E74" i="33"/>
  <c r="N73" i="33"/>
  <c r="O73" i="33" s="1"/>
  <c r="K73" i="33"/>
  <c r="L73" i="33" s="1"/>
  <c r="I73" i="33"/>
  <c r="H73" i="33"/>
  <c r="F73" i="33"/>
  <c r="E73" i="33"/>
  <c r="O72" i="33"/>
  <c r="N72" i="33"/>
  <c r="K72" i="33"/>
  <c r="L72" i="33" s="1"/>
  <c r="I72" i="33"/>
  <c r="H72" i="33"/>
  <c r="F72" i="33"/>
  <c r="E72" i="33"/>
  <c r="N71" i="33"/>
  <c r="N91" i="33" s="1"/>
  <c r="K71" i="33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N63" i="33"/>
  <c r="O63" i="33" s="1"/>
  <c r="K63" i="33"/>
  <c r="L63" i="33" s="1"/>
  <c r="H63" i="33"/>
  <c r="I63" i="33" s="1"/>
  <c r="E63" i="33"/>
  <c r="F63" i="33" s="1"/>
  <c r="O62" i="33"/>
  <c r="N62" i="33"/>
  <c r="K62" i="33"/>
  <c r="L62" i="33" s="1"/>
  <c r="H62" i="33"/>
  <c r="I62" i="33" s="1"/>
  <c r="E62" i="33"/>
  <c r="F62" i="33" s="1"/>
  <c r="N61" i="33"/>
  <c r="O61" i="33" s="1"/>
  <c r="K61" i="33"/>
  <c r="L61" i="33" s="1"/>
  <c r="H61" i="33"/>
  <c r="I61" i="33" s="1"/>
  <c r="E61" i="33"/>
  <c r="F61" i="33" s="1"/>
  <c r="O60" i="33"/>
  <c r="N60" i="33"/>
  <c r="K60" i="33"/>
  <c r="L60" i="33" s="1"/>
  <c r="I60" i="33"/>
  <c r="H60" i="33"/>
  <c r="E60" i="33"/>
  <c r="F60" i="33" s="1"/>
  <c r="O59" i="33"/>
  <c r="N59" i="33"/>
  <c r="K59" i="33"/>
  <c r="L59" i="33" s="1"/>
  <c r="H59" i="33"/>
  <c r="I59" i="33" s="1"/>
  <c r="E59" i="33"/>
  <c r="F59" i="33" s="1"/>
  <c r="N58" i="33"/>
  <c r="O58" i="33" s="1"/>
  <c r="K58" i="33"/>
  <c r="L58" i="33" s="1"/>
  <c r="I58" i="33"/>
  <c r="H58" i="33"/>
  <c r="E58" i="33"/>
  <c r="F58" i="33" s="1"/>
  <c r="N57" i="33"/>
  <c r="O57" i="33" s="1"/>
  <c r="K57" i="33"/>
  <c r="L57" i="33" s="1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O55" i="33"/>
  <c r="N55" i="33"/>
  <c r="K55" i="33"/>
  <c r="L55" i="33" s="1"/>
  <c r="H55" i="33"/>
  <c r="I55" i="33" s="1"/>
  <c r="E55" i="33"/>
  <c r="F55" i="33" s="1"/>
  <c r="N54" i="33"/>
  <c r="O54" i="33" s="1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O52" i="33"/>
  <c r="N52" i="33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O50" i="33"/>
  <c r="N50" i="33"/>
  <c r="L50" i="33"/>
  <c r="K50" i="33"/>
  <c r="I50" i="33"/>
  <c r="H50" i="33"/>
  <c r="E50" i="33"/>
  <c r="F50" i="33" s="1"/>
  <c r="N49" i="33"/>
  <c r="O49" i="33" s="1"/>
  <c r="K49" i="33"/>
  <c r="L49" i="33" s="1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O47" i="33"/>
  <c r="N47" i="33"/>
  <c r="K47" i="33"/>
  <c r="L47" i="33" s="1"/>
  <c r="H47" i="33"/>
  <c r="I47" i="33" s="1"/>
  <c r="E47" i="33"/>
  <c r="F47" i="33" s="1"/>
  <c r="N46" i="33"/>
  <c r="O46" i="33" s="1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O44" i="33"/>
  <c r="N44" i="33"/>
  <c r="K44" i="33"/>
  <c r="L44" i="33" s="1"/>
  <c r="I44" i="33"/>
  <c r="H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L168" i="32"/>
  <c r="K168" i="32"/>
  <c r="H168" i="32"/>
  <c r="I168" i="32" s="1"/>
  <c r="F168" i="32"/>
  <c r="E168" i="32"/>
  <c r="N167" i="32"/>
  <c r="O167" i="32" s="1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O164" i="32"/>
  <c r="N164" i="32"/>
  <c r="L164" i="32"/>
  <c r="K164" i="32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N160" i="32"/>
  <c r="O160" i="32" s="1"/>
  <c r="L160" i="32"/>
  <c r="K160" i="32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N153" i="32"/>
  <c r="O153" i="32" s="1"/>
  <c r="K153" i="32"/>
  <c r="L153" i="32" s="1"/>
  <c r="H153" i="32"/>
  <c r="I153" i="32" s="1"/>
  <c r="F153" i="32"/>
  <c r="E153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E144" i="32"/>
  <c r="F144" i="32" s="1"/>
  <c r="N143" i="32"/>
  <c r="O143" i="32" s="1"/>
  <c r="L143" i="32"/>
  <c r="K143" i="32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N141" i="32"/>
  <c r="O141" i="32" s="1"/>
  <c r="L141" i="32"/>
  <c r="K141" i="32"/>
  <c r="I141" i="32"/>
  <c r="H141" i="32"/>
  <c r="E141" i="32"/>
  <c r="F141" i="32" s="1"/>
  <c r="N140" i="32"/>
  <c r="O140" i="32" s="1"/>
  <c r="K140" i="32"/>
  <c r="L140" i="32" s="1"/>
  <c r="I140" i="32"/>
  <c r="H140" i="32"/>
  <c r="E140" i="32"/>
  <c r="F140" i="32" s="1"/>
  <c r="N139" i="32"/>
  <c r="O139" i="32" s="1"/>
  <c r="K139" i="32"/>
  <c r="L139" i="32" s="1"/>
  <c r="H139" i="32"/>
  <c r="I139" i="32" s="1"/>
  <c r="E139" i="32"/>
  <c r="F139" i="32" s="1"/>
  <c r="O138" i="32"/>
  <c r="N138" i="32"/>
  <c r="L138" i="32"/>
  <c r="K138" i="32"/>
  <c r="H138" i="32"/>
  <c r="I138" i="32" s="1"/>
  <c r="E138" i="32"/>
  <c r="F138" i="32" s="1"/>
  <c r="N137" i="32"/>
  <c r="O137" i="32" s="1"/>
  <c r="K137" i="32"/>
  <c r="L137" i="32" s="1"/>
  <c r="H137" i="32"/>
  <c r="I137" i="32" s="1"/>
  <c r="E137" i="32"/>
  <c r="F137" i="32" s="1"/>
  <c r="N136" i="32"/>
  <c r="O136" i="32" s="1"/>
  <c r="L136" i="32"/>
  <c r="K136" i="32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N134" i="32"/>
  <c r="O134" i="32" s="1"/>
  <c r="L134" i="32"/>
  <c r="K134" i="32"/>
  <c r="H134" i="32"/>
  <c r="I134" i="32" s="1"/>
  <c r="E134" i="32"/>
  <c r="F134" i="32" s="1"/>
  <c r="N133" i="32"/>
  <c r="O133" i="32" s="1"/>
  <c r="K133" i="32"/>
  <c r="L133" i="32" s="1"/>
  <c r="I133" i="32"/>
  <c r="H133" i="32"/>
  <c r="E133" i="32"/>
  <c r="F133" i="32" s="1"/>
  <c r="N132" i="32"/>
  <c r="O132" i="32" s="1"/>
  <c r="K132" i="32"/>
  <c r="L132" i="32" s="1"/>
  <c r="I132" i="32"/>
  <c r="H132" i="32"/>
  <c r="E132" i="32"/>
  <c r="F132" i="32" s="1"/>
  <c r="N131" i="32"/>
  <c r="O131" i="32" s="1"/>
  <c r="L131" i="32"/>
  <c r="K131" i="32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L129" i="32"/>
  <c r="K129" i="32"/>
  <c r="H129" i="32"/>
  <c r="I129" i="32" s="1"/>
  <c r="E129" i="32"/>
  <c r="F129" i="32" s="1"/>
  <c r="N128" i="32"/>
  <c r="O128" i="32" s="1"/>
  <c r="K128" i="32"/>
  <c r="L128" i="32" s="1"/>
  <c r="I128" i="32"/>
  <c r="H128" i="32"/>
  <c r="E128" i="32"/>
  <c r="F128" i="32" s="1"/>
  <c r="O127" i="32"/>
  <c r="N127" i="32"/>
  <c r="K127" i="32"/>
  <c r="L127" i="32" s="1"/>
  <c r="H127" i="32"/>
  <c r="I127" i="32" s="1"/>
  <c r="E127" i="32"/>
  <c r="F127" i="32" s="1"/>
  <c r="N126" i="32"/>
  <c r="O126" i="32" s="1"/>
  <c r="L126" i="32"/>
  <c r="K126" i="32"/>
  <c r="H126" i="32"/>
  <c r="I126" i="32" s="1"/>
  <c r="E126" i="32"/>
  <c r="F126" i="32" s="1"/>
  <c r="N125" i="32"/>
  <c r="N145" i="32" s="1"/>
  <c r="K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K117" i="32"/>
  <c r="L117" i="32" s="1"/>
  <c r="H117" i="32"/>
  <c r="I117" i="32" s="1"/>
  <c r="E117" i="32"/>
  <c r="F117" i="32" s="1"/>
  <c r="O116" i="32"/>
  <c r="N116" i="32"/>
  <c r="K116" i="32"/>
  <c r="L116" i="32" s="1"/>
  <c r="I116" i="32"/>
  <c r="H116" i="32"/>
  <c r="E116" i="32"/>
  <c r="F116" i="32" s="1"/>
  <c r="N115" i="32"/>
  <c r="O115" i="32" s="1"/>
  <c r="K115" i="32"/>
  <c r="L115" i="32" s="1"/>
  <c r="H115" i="32"/>
  <c r="I115" i="32" s="1"/>
  <c r="E115" i="32"/>
  <c r="F115" i="32" s="1"/>
  <c r="O114" i="32"/>
  <c r="N114" i="32"/>
  <c r="L114" i="32"/>
  <c r="K114" i="32"/>
  <c r="H114" i="32"/>
  <c r="I114" i="32" s="1"/>
  <c r="E114" i="32"/>
  <c r="F114" i="32" s="1"/>
  <c r="N113" i="32"/>
  <c r="O113" i="32" s="1"/>
  <c r="K113" i="32"/>
  <c r="L113" i="32" s="1"/>
  <c r="H113" i="32"/>
  <c r="I113" i="32" s="1"/>
  <c r="E113" i="32"/>
  <c r="F113" i="32" s="1"/>
  <c r="N112" i="32"/>
  <c r="O112" i="32" s="1"/>
  <c r="L112" i="32"/>
  <c r="K112" i="32"/>
  <c r="I112" i="32"/>
  <c r="H112" i="32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L110" i="32"/>
  <c r="K110" i="32"/>
  <c r="H110" i="32"/>
  <c r="I110" i="32" s="1"/>
  <c r="E110" i="32"/>
  <c r="F110" i="32" s="1"/>
  <c r="N109" i="32"/>
  <c r="O109" i="32" s="1"/>
  <c r="K109" i="32"/>
  <c r="L109" i="32" s="1"/>
  <c r="H109" i="32"/>
  <c r="I109" i="32" s="1"/>
  <c r="E109" i="32"/>
  <c r="F109" i="32" s="1"/>
  <c r="N108" i="32"/>
  <c r="O108" i="32" s="1"/>
  <c r="K108" i="32"/>
  <c r="L108" i="32" s="1"/>
  <c r="I108" i="32"/>
  <c r="H108" i="32"/>
  <c r="E108" i="32"/>
  <c r="F108" i="32" s="1"/>
  <c r="O107" i="32"/>
  <c r="N107" i="32"/>
  <c r="L107" i="32"/>
  <c r="K107" i="32"/>
  <c r="H107" i="32"/>
  <c r="I107" i="32" s="1"/>
  <c r="E107" i="32"/>
  <c r="F107" i="32" s="1"/>
  <c r="N106" i="32"/>
  <c r="O106" i="32" s="1"/>
  <c r="K106" i="32"/>
  <c r="L106" i="32" s="1"/>
  <c r="H106" i="32"/>
  <c r="I106" i="32" s="1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I104" i="32"/>
  <c r="H104" i="32"/>
  <c r="E104" i="32"/>
  <c r="F104" i="32" s="1"/>
  <c r="N103" i="32"/>
  <c r="O103" i="32" s="1"/>
  <c r="K103" i="32"/>
  <c r="L103" i="32" s="1"/>
  <c r="H103" i="32"/>
  <c r="I103" i="32" s="1"/>
  <c r="E103" i="32"/>
  <c r="F103" i="32" s="1"/>
  <c r="O102" i="32"/>
  <c r="N102" i="32"/>
  <c r="K102" i="32"/>
  <c r="L102" i="32" s="1"/>
  <c r="H102" i="32"/>
  <c r="I102" i="32" s="1"/>
  <c r="E102" i="32"/>
  <c r="F102" i="32" s="1"/>
  <c r="N101" i="32"/>
  <c r="O101" i="32" s="1"/>
  <c r="K101" i="32"/>
  <c r="L101" i="32" s="1"/>
  <c r="H101" i="32"/>
  <c r="I101" i="32" s="1"/>
  <c r="E101" i="32"/>
  <c r="F101" i="32" s="1"/>
  <c r="N100" i="32"/>
  <c r="O100" i="32" s="1"/>
  <c r="K100" i="32"/>
  <c r="L100" i="32" s="1"/>
  <c r="I100" i="32"/>
  <c r="H100" i="32"/>
  <c r="E100" i="32"/>
  <c r="F100" i="32" s="1"/>
  <c r="O99" i="32"/>
  <c r="N99" i="32"/>
  <c r="K99" i="32"/>
  <c r="L99" i="32" s="1"/>
  <c r="H99" i="32"/>
  <c r="I99" i="32" s="1"/>
  <c r="E99" i="32"/>
  <c r="F99" i="32" s="1"/>
  <c r="O98" i="32"/>
  <c r="N98" i="32"/>
  <c r="L98" i="32"/>
  <c r="K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E90" i="32"/>
  <c r="F90" i="32" s="1"/>
  <c r="O89" i="32"/>
  <c r="N89" i="32"/>
  <c r="K89" i="32"/>
  <c r="L89" i="32" s="1"/>
  <c r="H89" i="32"/>
  <c r="I89" i="32" s="1"/>
  <c r="E89" i="32"/>
  <c r="F89" i="32" s="1"/>
  <c r="N88" i="32"/>
  <c r="O88" i="32" s="1"/>
  <c r="L88" i="32"/>
  <c r="K88" i="32"/>
  <c r="H88" i="32"/>
  <c r="I88" i="32" s="1"/>
  <c r="E88" i="32"/>
  <c r="F88" i="32" s="1"/>
  <c r="O87" i="32"/>
  <c r="N87" i="32"/>
  <c r="K87" i="32"/>
  <c r="L87" i="32" s="1"/>
  <c r="I87" i="32"/>
  <c r="H87" i="32"/>
  <c r="E87" i="32"/>
  <c r="F87" i="32" s="1"/>
  <c r="N86" i="32"/>
  <c r="O86" i="32" s="1"/>
  <c r="K86" i="32"/>
  <c r="L86" i="32" s="1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O84" i="32"/>
  <c r="N84" i="32"/>
  <c r="K84" i="32"/>
  <c r="L84" i="32" s="1"/>
  <c r="H84" i="32"/>
  <c r="I84" i="32" s="1"/>
  <c r="E84" i="32"/>
  <c r="F84" i="32" s="1"/>
  <c r="O83" i="32"/>
  <c r="N83" i="32"/>
  <c r="K83" i="32"/>
  <c r="L83" i="32" s="1"/>
  <c r="I83" i="32"/>
  <c r="H83" i="32"/>
  <c r="E83" i="32"/>
  <c r="F83" i="32" s="1"/>
  <c r="O82" i="32"/>
  <c r="N82" i="32"/>
  <c r="K82" i="32"/>
  <c r="L82" i="32" s="1"/>
  <c r="H82" i="32"/>
  <c r="I82" i="32" s="1"/>
  <c r="E82" i="32"/>
  <c r="F82" i="32" s="1"/>
  <c r="O81" i="32"/>
  <c r="N81" i="32"/>
  <c r="L81" i="32"/>
  <c r="K81" i="32"/>
  <c r="H81" i="32"/>
  <c r="I81" i="32" s="1"/>
  <c r="E81" i="32"/>
  <c r="F81" i="32" s="1"/>
  <c r="N80" i="32"/>
  <c r="O80" i="32" s="1"/>
  <c r="K80" i="32"/>
  <c r="L80" i="32" s="1"/>
  <c r="H80" i="32"/>
  <c r="I80" i="32" s="1"/>
  <c r="E80" i="32"/>
  <c r="F80" i="32" s="1"/>
  <c r="O79" i="32"/>
  <c r="N79" i="32"/>
  <c r="L79" i="32"/>
  <c r="K79" i="32"/>
  <c r="I79" i="32"/>
  <c r="H79" i="32"/>
  <c r="E79" i="32"/>
  <c r="F79" i="32" s="1"/>
  <c r="N78" i="32"/>
  <c r="O78" i="32" s="1"/>
  <c r="K78" i="32"/>
  <c r="L78" i="32" s="1"/>
  <c r="H78" i="32"/>
  <c r="I78" i="32" s="1"/>
  <c r="E78" i="32"/>
  <c r="F78" i="32" s="1"/>
  <c r="O77" i="32"/>
  <c r="N77" i="32"/>
  <c r="K77" i="32"/>
  <c r="L77" i="32" s="1"/>
  <c r="H77" i="32"/>
  <c r="I77" i="32" s="1"/>
  <c r="E77" i="32"/>
  <c r="F77" i="32" s="1"/>
  <c r="O76" i="32"/>
  <c r="N76" i="32"/>
  <c r="K76" i="32"/>
  <c r="L76" i="32" s="1"/>
  <c r="H76" i="32"/>
  <c r="I76" i="32" s="1"/>
  <c r="E76" i="32"/>
  <c r="F76" i="32" s="1"/>
  <c r="O75" i="32"/>
  <c r="N75" i="32"/>
  <c r="K75" i="32"/>
  <c r="L75" i="32" s="1"/>
  <c r="I75" i="32"/>
  <c r="H75" i="32"/>
  <c r="E75" i="32"/>
  <c r="F75" i="32" s="1"/>
  <c r="O74" i="32"/>
  <c r="N74" i="32"/>
  <c r="L74" i="32"/>
  <c r="K74" i="32"/>
  <c r="H74" i="32"/>
  <c r="I74" i="32" s="1"/>
  <c r="E74" i="32"/>
  <c r="F74" i="32" s="1"/>
  <c r="O73" i="32"/>
  <c r="N73" i="32"/>
  <c r="K73" i="32"/>
  <c r="L73" i="32" s="1"/>
  <c r="H73" i="32"/>
  <c r="I73" i="32" s="1"/>
  <c r="E73" i="32"/>
  <c r="F73" i="32" s="1"/>
  <c r="N72" i="32"/>
  <c r="O72" i="32" s="1"/>
  <c r="L72" i="32"/>
  <c r="K72" i="32"/>
  <c r="H72" i="32"/>
  <c r="I72" i="32" s="1"/>
  <c r="E72" i="32"/>
  <c r="F72" i="32" s="1"/>
  <c r="O71" i="32"/>
  <c r="N71" i="32"/>
  <c r="N91" i="32" s="1"/>
  <c r="K71" i="32"/>
  <c r="L71" i="32" s="1"/>
  <c r="L91" i="32" s="1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L63" i="32"/>
  <c r="K63" i="32"/>
  <c r="H63" i="32"/>
  <c r="I63" i="32" s="1"/>
  <c r="E63" i="32"/>
  <c r="F63" i="32" s="1"/>
  <c r="O62" i="32"/>
  <c r="N62" i="32"/>
  <c r="K62" i="32"/>
  <c r="L62" i="32" s="1"/>
  <c r="H62" i="32"/>
  <c r="I62" i="32" s="1"/>
  <c r="E62" i="32"/>
  <c r="F62" i="32" s="1"/>
  <c r="N61" i="32"/>
  <c r="O61" i="32" s="1"/>
  <c r="L61" i="32"/>
  <c r="K61" i="32"/>
  <c r="H61" i="32"/>
  <c r="I61" i="32" s="1"/>
  <c r="E61" i="32"/>
  <c r="F61" i="32" s="1"/>
  <c r="O60" i="32"/>
  <c r="N60" i="32"/>
  <c r="K60" i="32"/>
  <c r="L60" i="32" s="1"/>
  <c r="I60" i="32"/>
  <c r="H60" i="32"/>
  <c r="E60" i="32"/>
  <c r="F60" i="32" s="1"/>
  <c r="N59" i="32"/>
  <c r="O59" i="32" s="1"/>
  <c r="K59" i="32"/>
  <c r="L59" i="32" s="1"/>
  <c r="H59" i="32"/>
  <c r="I59" i="32" s="1"/>
  <c r="E59" i="32"/>
  <c r="F59" i="32" s="1"/>
  <c r="N58" i="32"/>
  <c r="O58" i="32" s="1"/>
  <c r="L58" i="32"/>
  <c r="K58" i="32"/>
  <c r="H58" i="32"/>
  <c r="I58" i="32" s="1"/>
  <c r="E58" i="32"/>
  <c r="F58" i="32" s="1"/>
  <c r="O57" i="32"/>
  <c r="N57" i="32"/>
  <c r="K57" i="32"/>
  <c r="L57" i="32" s="1"/>
  <c r="H57" i="32"/>
  <c r="I57" i="32" s="1"/>
  <c r="E57" i="32"/>
  <c r="F57" i="32" s="1"/>
  <c r="N56" i="32"/>
  <c r="O56" i="32" s="1"/>
  <c r="L56" i="32"/>
  <c r="K56" i="32"/>
  <c r="I56" i="32"/>
  <c r="H56" i="32"/>
  <c r="E56" i="32"/>
  <c r="F56" i="32" s="1"/>
  <c r="O55" i="32"/>
  <c r="N55" i="32"/>
  <c r="K55" i="32"/>
  <c r="L55" i="32" s="1"/>
  <c r="H55" i="32"/>
  <c r="I55" i="32" s="1"/>
  <c r="E55" i="32"/>
  <c r="F55" i="32" s="1"/>
  <c r="N54" i="32"/>
  <c r="O54" i="32" s="1"/>
  <c r="L54" i="32"/>
  <c r="K54" i="32"/>
  <c r="H54" i="32"/>
  <c r="I54" i="32" s="1"/>
  <c r="E54" i="32"/>
  <c r="F54" i="32" s="1"/>
  <c r="O53" i="32"/>
  <c r="N53" i="32"/>
  <c r="K53" i="32"/>
  <c r="L53" i="32" s="1"/>
  <c r="H53" i="32"/>
  <c r="I53" i="32" s="1"/>
  <c r="E53" i="32"/>
  <c r="F53" i="32" s="1"/>
  <c r="O52" i="32"/>
  <c r="N52" i="32"/>
  <c r="L52" i="32"/>
  <c r="K52" i="32"/>
  <c r="I52" i="32"/>
  <c r="H52" i="32"/>
  <c r="E52" i="32"/>
  <c r="F52" i="32" s="1"/>
  <c r="O51" i="32"/>
  <c r="N51" i="32"/>
  <c r="L51" i="32"/>
  <c r="K51" i="32"/>
  <c r="H51" i="32"/>
  <c r="I51" i="32" s="1"/>
  <c r="E51" i="32"/>
  <c r="F51" i="32" s="1"/>
  <c r="N50" i="32"/>
  <c r="O50" i="32" s="1"/>
  <c r="K50" i="32"/>
  <c r="L50" i="32" s="1"/>
  <c r="H50" i="32"/>
  <c r="I50" i="32" s="1"/>
  <c r="E50" i="32"/>
  <c r="F50" i="32" s="1"/>
  <c r="N49" i="32"/>
  <c r="O49" i="32" s="1"/>
  <c r="L49" i="32"/>
  <c r="K49" i="32"/>
  <c r="H49" i="32"/>
  <c r="I49" i="32" s="1"/>
  <c r="E49" i="32"/>
  <c r="F49" i="32" s="1"/>
  <c r="O48" i="32"/>
  <c r="N48" i="32"/>
  <c r="K48" i="32"/>
  <c r="L48" i="32" s="1"/>
  <c r="I48" i="32"/>
  <c r="H48" i="32"/>
  <c r="E48" i="32"/>
  <c r="F48" i="32" s="1"/>
  <c r="N47" i="32"/>
  <c r="O47" i="32" s="1"/>
  <c r="L47" i="32"/>
  <c r="K47" i="32"/>
  <c r="H47" i="32"/>
  <c r="I47" i="32" s="1"/>
  <c r="E47" i="32"/>
  <c r="F47" i="32" s="1"/>
  <c r="O46" i="32"/>
  <c r="N46" i="32"/>
  <c r="K46" i="32"/>
  <c r="L46" i="32" s="1"/>
  <c r="H46" i="32"/>
  <c r="I46" i="32" s="1"/>
  <c r="E46" i="32"/>
  <c r="F46" i="32" s="1"/>
  <c r="N45" i="32"/>
  <c r="O45" i="32" s="1"/>
  <c r="L45" i="32"/>
  <c r="K45" i="32"/>
  <c r="H45" i="32"/>
  <c r="I45" i="32" s="1"/>
  <c r="E45" i="32"/>
  <c r="F45" i="32" s="1"/>
  <c r="O44" i="32"/>
  <c r="N44" i="32"/>
  <c r="K44" i="32"/>
  <c r="K64" i="32" s="1"/>
  <c r="I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O198" i="31"/>
  <c r="N198" i="3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N196" i="31"/>
  <c r="O196" i="31" s="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K191" i="31"/>
  <c r="L191" i="31" s="1"/>
  <c r="H191" i="31"/>
  <c r="I191" i="31" s="1"/>
  <c r="F191" i="31"/>
  <c r="E191" i="31"/>
  <c r="O190" i="31"/>
  <c r="N190" i="31"/>
  <c r="L190" i="31"/>
  <c r="K190" i="31"/>
  <c r="H190" i="31"/>
  <c r="I190" i="31" s="1"/>
  <c r="F190" i="31"/>
  <c r="E190" i="31"/>
  <c r="N189" i="31"/>
  <c r="O189" i="31" s="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N187" i="31"/>
  <c r="O187" i="31" s="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K183" i="31"/>
  <c r="L183" i="31" s="1"/>
  <c r="H183" i="31"/>
  <c r="I183" i="31" s="1"/>
  <c r="F183" i="31"/>
  <c r="E183" i="31"/>
  <c r="O182" i="31"/>
  <c r="N182" i="3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N180" i="31"/>
  <c r="O180" i="31" s="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O160" i="31"/>
  <c r="N160" i="3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H144" i="31"/>
  <c r="I144" i="31" s="1"/>
  <c r="F144" i="31"/>
  <c r="E144" i="31"/>
  <c r="N143" i="31"/>
  <c r="O143" i="31" s="1"/>
  <c r="L143" i="31"/>
  <c r="K143" i="31"/>
  <c r="H143" i="31"/>
  <c r="I143" i="31" s="1"/>
  <c r="F143" i="31"/>
  <c r="E143" i="31"/>
  <c r="N142" i="31"/>
  <c r="O142" i="31" s="1"/>
  <c r="K142" i="31"/>
  <c r="L142" i="31" s="1"/>
  <c r="H142" i="31"/>
  <c r="I142" i="31" s="1"/>
  <c r="F142" i="31"/>
  <c r="E142" i="31"/>
  <c r="O141" i="31"/>
  <c r="N141" i="3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F140" i="31"/>
  <c r="E140" i="31"/>
  <c r="O139" i="31"/>
  <c r="N139" i="31"/>
  <c r="L139" i="31"/>
  <c r="K139" i="3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K137" i="31"/>
  <c r="L137" i="31" s="1"/>
  <c r="H137" i="31"/>
  <c r="I137" i="31" s="1"/>
  <c r="F137" i="31"/>
  <c r="E137" i="31"/>
  <c r="O136" i="31"/>
  <c r="N136" i="31"/>
  <c r="L136" i="31"/>
  <c r="K136" i="31"/>
  <c r="H136" i="31"/>
  <c r="I136" i="31" s="1"/>
  <c r="F136" i="31"/>
  <c r="E136" i="31"/>
  <c r="N135" i="31"/>
  <c r="O135" i="31" s="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N145" i="31" s="1"/>
  <c r="K125" i="31"/>
  <c r="K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E117" i="31"/>
  <c r="F117" i="31" s="1"/>
  <c r="N116" i="31"/>
  <c r="O116" i="31" s="1"/>
  <c r="K116" i="31"/>
  <c r="L116" i="31" s="1"/>
  <c r="H116" i="31"/>
  <c r="I116" i="31" s="1"/>
  <c r="E116" i="31"/>
  <c r="F116" i="31" s="1"/>
  <c r="N115" i="31"/>
  <c r="O115" i="31" s="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L112" i="31"/>
  <c r="K112" i="31"/>
  <c r="H112" i="31"/>
  <c r="I112" i="31" s="1"/>
  <c r="E112" i="31"/>
  <c r="F112" i="31" s="1"/>
  <c r="N111" i="31"/>
  <c r="O111" i="31" s="1"/>
  <c r="K111" i="31"/>
  <c r="L111" i="31" s="1"/>
  <c r="H111" i="31"/>
  <c r="I111" i="31" s="1"/>
  <c r="E111" i="31"/>
  <c r="F111" i="31" s="1"/>
  <c r="N110" i="31"/>
  <c r="O110" i="31" s="1"/>
  <c r="L110" i="31"/>
  <c r="K110" i="31"/>
  <c r="I110" i="31"/>
  <c r="H110" i="31"/>
  <c r="E110" i="31"/>
  <c r="F110" i="31" s="1"/>
  <c r="N109" i="31"/>
  <c r="O109" i="31" s="1"/>
  <c r="K109" i="31"/>
  <c r="L109" i="31" s="1"/>
  <c r="H109" i="31"/>
  <c r="I109" i="31" s="1"/>
  <c r="E109" i="31"/>
  <c r="F109" i="31" s="1"/>
  <c r="N108" i="31"/>
  <c r="O108" i="31" s="1"/>
  <c r="K108" i="31"/>
  <c r="L108" i="31" s="1"/>
  <c r="H108" i="31"/>
  <c r="I108" i="31" s="1"/>
  <c r="E108" i="31"/>
  <c r="F108" i="31" s="1"/>
  <c r="N107" i="31"/>
  <c r="O107" i="31" s="1"/>
  <c r="K107" i="31"/>
  <c r="L107" i="31" s="1"/>
  <c r="H107" i="31"/>
  <c r="I107" i="31" s="1"/>
  <c r="E107" i="31"/>
  <c r="F107" i="31" s="1"/>
  <c r="O106" i="31"/>
  <c r="N106" i="31"/>
  <c r="K106" i="31"/>
  <c r="L106" i="31" s="1"/>
  <c r="I106" i="31"/>
  <c r="H106" i="31"/>
  <c r="E106" i="31"/>
  <c r="F106" i="31" s="1"/>
  <c r="N105" i="31"/>
  <c r="O105" i="31" s="1"/>
  <c r="L105" i="31"/>
  <c r="K105" i="31"/>
  <c r="H105" i="31"/>
  <c r="I105" i="31" s="1"/>
  <c r="E105" i="31"/>
  <c r="F105" i="31" s="1"/>
  <c r="O104" i="31"/>
  <c r="N104" i="31"/>
  <c r="L104" i="31"/>
  <c r="K104" i="31"/>
  <c r="H104" i="31"/>
  <c r="I104" i="31" s="1"/>
  <c r="E104" i="31"/>
  <c r="F104" i="31" s="1"/>
  <c r="N103" i="31"/>
  <c r="O103" i="31" s="1"/>
  <c r="L103" i="31"/>
  <c r="K103" i="31"/>
  <c r="H103" i="31"/>
  <c r="I103" i="31" s="1"/>
  <c r="E103" i="31"/>
  <c r="F103" i="31" s="1"/>
  <c r="O102" i="31"/>
  <c r="N102" i="31"/>
  <c r="K102" i="31"/>
  <c r="L102" i="31" s="1"/>
  <c r="I102" i="31"/>
  <c r="H102" i="31"/>
  <c r="E102" i="31"/>
  <c r="F102" i="31" s="1"/>
  <c r="N101" i="31"/>
  <c r="O101" i="31" s="1"/>
  <c r="K101" i="31"/>
  <c r="L101" i="31" s="1"/>
  <c r="H101" i="31"/>
  <c r="I101" i="31" s="1"/>
  <c r="E101" i="31"/>
  <c r="F101" i="31" s="1"/>
  <c r="N100" i="31"/>
  <c r="O100" i="31" s="1"/>
  <c r="K100" i="31"/>
  <c r="L100" i="31" s="1"/>
  <c r="H100" i="31"/>
  <c r="I100" i="31" s="1"/>
  <c r="E100" i="31"/>
  <c r="F100" i="31" s="1"/>
  <c r="O99" i="31"/>
  <c r="N99" i="31"/>
  <c r="K99" i="31"/>
  <c r="L99" i="31" s="1"/>
  <c r="H99" i="31"/>
  <c r="I99" i="31" s="1"/>
  <c r="E99" i="31"/>
  <c r="F99" i="31" s="1"/>
  <c r="N98" i="31"/>
  <c r="K98" i="31"/>
  <c r="K118" i="31" s="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L89" i="31"/>
  <c r="K89" i="3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N87" i="31"/>
  <c r="O87" i="31" s="1"/>
  <c r="L87" i="31"/>
  <c r="K87" i="31"/>
  <c r="I87" i="31"/>
  <c r="H87" i="31"/>
  <c r="E87" i="31"/>
  <c r="F87" i="31" s="1"/>
  <c r="N86" i="31"/>
  <c r="O86" i="31" s="1"/>
  <c r="K86" i="31"/>
  <c r="L86" i="31" s="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O84" i="31"/>
  <c r="N84" i="31"/>
  <c r="K84" i="31"/>
  <c r="L84" i="31" s="1"/>
  <c r="H84" i="31"/>
  <c r="I84" i="31" s="1"/>
  <c r="E84" i="31"/>
  <c r="F84" i="31" s="1"/>
  <c r="N83" i="31"/>
  <c r="O83" i="31" s="1"/>
  <c r="K83" i="31"/>
  <c r="L83" i="31" s="1"/>
  <c r="I83" i="31"/>
  <c r="H83" i="31"/>
  <c r="E83" i="31"/>
  <c r="F83" i="31" s="1"/>
  <c r="N82" i="31"/>
  <c r="O82" i="31" s="1"/>
  <c r="L82" i="31"/>
  <c r="K82" i="31"/>
  <c r="H82" i="31"/>
  <c r="I82" i="31" s="1"/>
  <c r="E82" i="31"/>
  <c r="F82" i="31" s="1"/>
  <c r="N81" i="31"/>
  <c r="O81" i="31" s="1"/>
  <c r="K81" i="31"/>
  <c r="L81" i="31" s="1"/>
  <c r="H81" i="31"/>
  <c r="I81" i="31" s="1"/>
  <c r="E81" i="31"/>
  <c r="F81" i="31" s="1"/>
  <c r="N80" i="31"/>
  <c r="O80" i="31" s="1"/>
  <c r="L80" i="31"/>
  <c r="K80" i="3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N78" i="31"/>
  <c r="O78" i="31" s="1"/>
  <c r="K78" i="31"/>
  <c r="L78" i="31" s="1"/>
  <c r="H78" i="31"/>
  <c r="I78" i="31" s="1"/>
  <c r="E78" i="31"/>
  <c r="F78" i="31" s="1"/>
  <c r="N77" i="31"/>
  <c r="O77" i="31" s="1"/>
  <c r="K77" i="31"/>
  <c r="L77" i="31" s="1"/>
  <c r="H77" i="31"/>
  <c r="I77" i="31" s="1"/>
  <c r="E77" i="31"/>
  <c r="F77" i="31" s="1"/>
  <c r="O76" i="31"/>
  <c r="N76" i="31"/>
  <c r="K76" i="31"/>
  <c r="L76" i="31" s="1"/>
  <c r="H76" i="31"/>
  <c r="I76" i="31" s="1"/>
  <c r="E76" i="31"/>
  <c r="F76" i="31" s="1"/>
  <c r="O75" i="31"/>
  <c r="N75" i="31"/>
  <c r="K75" i="31"/>
  <c r="L75" i="31" s="1"/>
  <c r="I75" i="31"/>
  <c r="H75" i="3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L73" i="31"/>
  <c r="K73" i="31"/>
  <c r="H73" i="31"/>
  <c r="I73" i="31" s="1"/>
  <c r="E73" i="31"/>
  <c r="F73" i="31" s="1"/>
  <c r="N72" i="31"/>
  <c r="O72" i="31" s="1"/>
  <c r="K72" i="31"/>
  <c r="L72" i="31" s="1"/>
  <c r="H72" i="31"/>
  <c r="I72" i="31" s="1"/>
  <c r="E72" i="31"/>
  <c r="F72" i="31" s="1"/>
  <c r="N71" i="31"/>
  <c r="N91" i="31" s="1"/>
  <c r="L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K63" i="31"/>
  <c r="L63" i="31" s="1"/>
  <c r="H63" i="31"/>
  <c r="I63" i="31" s="1"/>
  <c r="F63" i="31"/>
  <c r="E63" i="31"/>
  <c r="O62" i="31"/>
  <c r="N62" i="31"/>
  <c r="L62" i="31"/>
  <c r="K62" i="31"/>
  <c r="H62" i="31"/>
  <c r="I62" i="31" s="1"/>
  <c r="F62" i="31"/>
  <c r="E62" i="31"/>
  <c r="N61" i="31"/>
  <c r="O61" i="31" s="1"/>
  <c r="K61" i="31"/>
  <c r="L61" i="31" s="1"/>
  <c r="H61" i="31"/>
  <c r="I61" i="31" s="1"/>
  <c r="F61" i="31"/>
  <c r="E61" i="31"/>
  <c r="N60" i="31"/>
  <c r="O60" i="31" s="1"/>
  <c r="L60" i="31"/>
  <c r="K60" i="31"/>
  <c r="H60" i="31"/>
  <c r="I60" i="31" s="1"/>
  <c r="F60" i="31"/>
  <c r="E60" i="31"/>
  <c r="O59" i="31"/>
  <c r="N59" i="31"/>
  <c r="K59" i="31"/>
  <c r="L59" i="31" s="1"/>
  <c r="H59" i="31"/>
  <c r="I59" i="31" s="1"/>
  <c r="F59" i="31"/>
  <c r="E59" i="31"/>
  <c r="O58" i="31"/>
  <c r="N58" i="31"/>
  <c r="L58" i="31"/>
  <c r="K58" i="31"/>
  <c r="H58" i="31"/>
  <c r="I58" i="31" s="1"/>
  <c r="F58" i="31"/>
  <c r="E58" i="31"/>
  <c r="N57" i="31"/>
  <c r="O57" i="31" s="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O55" i="31"/>
  <c r="N55" i="31"/>
  <c r="K55" i="31"/>
  <c r="L55" i="31" s="1"/>
  <c r="H55" i="31"/>
  <c r="I55" i="31" s="1"/>
  <c r="F55" i="31"/>
  <c r="E55" i="31"/>
  <c r="O54" i="31"/>
  <c r="N54" i="3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N52" i="31"/>
  <c r="O52" i="31" s="1"/>
  <c r="L52" i="31"/>
  <c r="K52" i="31"/>
  <c r="H52" i="31"/>
  <c r="I52" i="31" s="1"/>
  <c r="F52" i="31"/>
  <c r="E52" i="31"/>
  <c r="O51" i="31"/>
  <c r="N51" i="31"/>
  <c r="K51" i="31"/>
  <c r="L51" i="31" s="1"/>
  <c r="H51" i="31"/>
  <c r="I51" i="31" s="1"/>
  <c r="F51" i="31"/>
  <c r="E51" i="31"/>
  <c r="O50" i="31"/>
  <c r="N50" i="31"/>
  <c r="L50" i="31"/>
  <c r="K50" i="31"/>
  <c r="H50" i="31"/>
  <c r="I50" i="31" s="1"/>
  <c r="F50" i="31"/>
  <c r="E50" i="31"/>
  <c r="N49" i="31"/>
  <c r="O49" i="31" s="1"/>
  <c r="L49" i="31"/>
  <c r="K49" i="31"/>
  <c r="H49" i="31"/>
  <c r="I49" i="31" s="1"/>
  <c r="F49" i="31"/>
  <c r="E49" i="31"/>
  <c r="O48" i="31"/>
  <c r="N48" i="31"/>
  <c r="L48" i="31"/>
  <c r="K48" i="31"/>
  <c r="H48" i="31"/>
  <c r="I48" i="31" s="1"/>
  <c r="F48" i="31"/>
  <c r="E48" i="31"/>
  <c r="N47" i="31"/>
  <c r="O47" i="31" s="1"/>
  <c r="K47" i="31"/>
  <c r="L47" i="31" s="1"/>
  <c r="H47" i="31"/>
  <c r="I47" i="31" s="1"/>
  <c r="F47" i="31"/>
  <c r="E47" i="31"/>
  <c r="N46" i="31"/>
  <c r="O46" i="31" s="1"/>
  <c r="L46" i="31"/>
  <c r="K46" i="3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N44" i="31"/>
  <c r="N64" i="31" s="1"/>
  <c r="L44" i="31"/>
  <c r="K44" i="31"/>
  <c r="H44" i="31"/>
  <c r="H64" i="31" s="1"/>
  <c r="F44" i="31"/>
  <c r="F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L197" i="30"/>
  <c r="K197" i="30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N195" i="30"/>
  <c r="O195" i="30" s="1"/>
  <c r="L195" i="30"/>
  <c r="K195" i="30"/>
  <c r="I195" i="30"/>
  <c r="H195" i="30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L193" i="30"/>
  <c r="K193" i="30"/>
  <c r="H193" i="30"/>
  <c r="I193" i="30" s="1"/>
  <c r="F193" i="30"/>
  <c r="E193" i="30"/>
  <c r="N192" i="30"/>
  <c r="O192" i="30" s="1"/>
  <c r="L192" i="30"/>
  <c r="K192" i="30"/>
  <c r="I192" i="30"/>
  <c r="H192" i="30"/>
  <c r="F192" i="30"/>
  <c r="E192" i="30"/>
  <c r="N191" i="30"/>
  <c r="O191" i="30" s="1"/>
  <c r="L191" i="30"/>
  <c r="K191" i="30"/>
  <c r="I191" i="30"/>
  <c r="H191" i="30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L189" i="30"/>
  <c r="K189" i="30"/>
  <c r="I189" i="30"/>
  <c r="H189" i="30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L185" i="30"/>
  <c r="K185" i="30"/>
  <c r="H185" i="30"/>
  <c r="I185" i="30" s="1"/>
  <c r="F185" i="30"/>
  <c r="E185" i="30"/>
  <c r="N184" i="30"/>
  <c r="O184" i="30" s="1"/>
  <c r="L184" i="30"/>
  <c r="K184" i="30"/>
  <c r="I184" i="30"/>
  <c r="H184" i="30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L181" i="30"/>
  <c r="K181" i="30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N199" i="30" s="1"/>
  <c r="L179" i="30"/>
  <c r="L199" i="30" s="1"/>
  <c r="K179" i="30"/>
  <c r="K199" i="30" s="1"/>
  <c r="H179" i="30"/>
  <c r="I17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E171" i="30"/>
  <c r="F171" i="30" s="1"/>
  <c r="N170" i="30"/>
  <c r="O170" i="30" s="1"/>
  <c r="K170" i="30"/>
  <c r="L170" i="30" s="1"/>
  <c r="H170" i="30"/>
  <c r="I170" i="30" s="1"/>
  <c r="E170" i="30"/>
  <c r="F170" i="30" s="1"/>
  <c r="O169" i="30"/>
  <c r="N169" i="30"/>
  <c r="K169" i="30"/>
  <c r="L169" i="30" s="1"/>
  <c r="H169" i="30"/>
  <c r="I169" i="30" s="1"/>
  <c r="E169" i="30"/>
  <c r="F169" i="30" s="1"/>
  <c r="N168" i="30"/>
  <c r="O168" i="30" s="1"/>
  <c r="K168" i="30"/>
  <c r="L168" i="30" s="1"/>
  <c r="H168" i="30"/>
  <c r="I168" i="30" s="1"/>
  <c r="E168" i="30"/>
  <c r="F168" i="30" s="1"/>
  <c r="O167" i="30"/>
  <c r="N167" i="30"/>
  <c r="L167" i="30"/>
  <c r="K167" i="30"/>
  <c r="H167" i="30"/>
  <c r="I167" i="30" s="1"/>
  <c r="E167" i="30"/>
  <c r="F167" i="30" s="1"/>
  <c r="N166" i="30"/>
  <c r="O166" i="30" s="1"/>
  <c r="K166" i="30"/>
  <c r="L166" i="30" s="1"/>
  <c r="H166" i="30"/>
  <c r="I166" i="30" s="1"/>
  <c r="E166" i="30"/>
  <c r="F166" i="30" s="1"/>
  <c r="N165" i="30"/>
  <c r="O165" i="30" s="1"/>
  <c r="K165" i="30"/>
  <c r="L165" i="30" s="1"/>
  <c r="I165" i="30"/>
  <c r="H165" i="30"/>
  <c r="E165" i="30"/>
  <c r="F165" i="30" s="1"/>
  <c r="N164" i="30"/>
  <c r="O164" i="30" s="1"/>
  <c r="L164" i="30"/>
  <c r="K164" i="30"/>
  <c r="H164" i="30"/>
  <c r="I164" i="30" s="1"/>
  <c r="E164" i="30"/>
  <c r="F164" i="30" s="1"/>
  <c r="N163" i="30"/>
  <c r="O163" i="30" s="1"/>
  <c r="L163" i="30"/>
  <c r="K163" i="30"/>
  <c r="I163" i="30"/>
  <c r="H163" i="30"/>
  <c r="E163" i="30"/>
  <c r="F163" i="30" s="1"/>
  <c r="N162" i="30"/>
  <c r="O162" i="30" s="1"/>
  <c r="K162" i="30"/>
  <c r="L162" i="30" s="1"/>
  <c r="H162" i="30"/>
  <c r="I162" i="30" s="1"/>
  <c r="E162" i="30"/>
  <c r="F162" i="30" s="1"/>
  <c r="N161" i="30"/>
  <c r="O161" i="30" s="1"/>
  <c r="K161" i="30"/>
  <c r="L161" i="30" s="1"/>
  <c r="H161" i="30"/>
  <c r="I161" i="30" s="1"/>
  <c r="E161" i="30"/>
  <c r="F161" i="30" s="1"/>
  <c r="N160" i="30"/>
  <c r="O160" i="30" s="1"/>
  <c r="L160" i="30"/>
  <c r="K160" i="30"/>
  <c r="H160" i="30"/>
  <c r="I160" i="30" s="1"/>
  <c r="E160" i="30"/>
  <c r="F160" i="30" s="1"/>
  <c r="O159" i="30"/>
  <c r="N159" i="30"/>
  <c r="L159" i="30"/>
  <c r="K159" i="30"/>
  <c r="H159" i="30"/>
  <c r="I159" i="30" s="1"/>
  <c r="E159" i="30"/>
  <c r="F159" i="30" s="1"/>
  <c r="N158" i="30"/>
  <c r="O158" i="30" s="1"/>
  <c r="K158" i="30"/>
  <c r="L158" i="30" s="1"/>
  <c r="H158" i="30"/>
  <c r="I158" i="30" s="1"/>
  <c r="E158" i="30"/>
  <c r="F158" i="30" s="1"/>
  <c r="O157" i="30"/>
  <c r="N157" i="30"/>
  <c r="K157" i="30"/>
  <c r="L157" i="30" s="1"/>
  <c r="H157" i="30"/>
  <c r="I157" i="30" s="1"/>
  <c r="E157" i="30"/>
  <c r="F157" i="30" s="1"/>
  <c r="N156" i="30"/>
  <c r="O156" i="30" s="1"/>
  <c r="K156" i="30"/>
  <c r="L156" i="30" s="1"/>
  <c r="H156" i="30"/>
  <c r="I156" i="30" s="1"/>
  <c r="E156" i="30"/>
  <c r="F156" i="30" s="1"/>
  <c r="N155" i="30"/>
  <c r="O155" i="30" s="1"/>
  <c r="L155" i="30"/>
  <c r="K155" i="30"/>
  <c r="H155" i="30"/>
  <c r="I155" i="30" s="1"/>
  <c r="E155" i="30"/>
  <c r="F155" i="30" s="1"/>
  <c r="O154" i="30"/>
  <c r="N154" i="30"/>
  <c r="K154" i="30"/>
  <c r="L154" i="30" s="1"/>
  <c r="H154" i="30"/>
  <c r="I154" i="30" s="1"/>
  <c r="E154" i="30"/>
  <c r="F154" i="30" s="1"/>
  <c r="O153" i="30"/>
  <c r="N153" i="30"/>
  <c r="K153" i="30"/>
  <c r="L153" i="30" s="1"/>
  <c r="I153" i="30"/>
  <c r="H153" i="30"/>
  <c r="E153" i="30"/>
  <c r="F153" i="30" s="1"/>
  <c r="O152" i="30"/>
  <c r="N152" i="30"/>
  <c r="K152" i="30"/>
  <c r="H152" i="30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I144" i="30"/>
  <c r="H144" i="30"/>
  <c r="E144" i="30"/>
  <c r="F144" i="30" s="1"/>
  <c r="N143" i="30"/>
  <c r="O143" i="30" s="1"/>
  <c r="K143" i="30"/>
  <c r="L143" i="30" s="1"/>
  <c r="H143" i="30"/>
  <c r="I143" i="30" s="1"/>
  <c r="E143" i="30"/>
  <c r="F143" i="30" s="1"/>
  <c r="N142" i="30"/>
  <c r="O142" i="30" s="1"/>
  <c r="K142" i="30"/>
  <c r="L142" i="30" s="1"/>
  <c r="H142" i="30"/>
  <c r="I142" i="30" s="1"/>
  <c r="E142" i="30"/>
  <c r="F142" i="30" s="1"/>
  <c r="N141" i="30"/>
  <c r="O141" i="30" s="1"/>
  <c r="L141" i="30"/>
  <c r="K141" i="30"/>
  <c r="I141" i="30"/>
  <c r="H141" i="30"/>
  <c r="E141" i="30"/>
  <c r="F141" i="30" s="1"/>
  <c r="O140" i="30"/>
  <c r="N140" i="30"/>
  <c r="L140" i="30"/>
  <c r="K140" i="30"/>
  <c r="H140" i="30"/>
  <c r="I140" i="30" s="1"/>
  <c r="E140" i="30"/>
  <c r="F140" i="30" s="1"/>
  <c r="N139" i="30"/>
  <c r="O139" i="30" s="1"/>
  <c r="K139" i="30"/>
  <c r="L139" i="30" s="1"/>
  <c r="H139" i="30"/>
  <c r="I139" i="30" s="1"/>
  <c r="E139" i="30"/>
  <c r="F139" i="30" s="1"/>
  <c r="N138" i="30"/>
  <c r="O138" i="30" s="1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K135" i="30"/>
  <c r="L135" i="30" s="1"/>
  <c r="I135" i="30"/>
  <c r="H135" i="30"/>
  <c r="E135" i="30"/>
  <c r="F135" i="30" s="1"/>
  <c r="N134" i="30"/>
  <c r="O134" i="30" s="1"/>
  <c r="K134" i="30"/>
  <c r="L134" i="30" s="1"/>
  <c r="H134" i="30"/>
  <c r="I134" i="30" s="1"/>
  <c r="E134" i="30"/>
  <c r="F134" i="30" s="1"/>
  <c r="N133" i="30"/>
  <c r="O133" i="30" s="1"/>
  <c r="L133" i="30"/>
  <c r="K133" i="30"/>
  <c r="I133" i="30"/>
  <c r="H133" i="30"/>
  <c r="E133" i="30"/>
  <c r="F133" i="30" s="1"/>
  <c r="O132" i="30"/>
  <c r="N132" i="30"/>
  <c r="L132" i="30"/>
  <c r="K132" i="30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N130" i="30"/>
  <c r="O130" i="30" s="1"/>
  <c r="K130" i="30"/>
  <c r="L130" i="30" s="1"/>
  <c r="I130" i="30"/>
  <c r="H130" i="30"/>
  <c r="E130" i="30"/>
  <c r="F130" i="30" s="1"/>
  <c r="N129" i="30"/>
  <c r="O129" i="30" s="1"/>
  <c r="L129" i="30"/>
  <c r="K129" i="30"/>
  <c r="H129" i="30"/>
  <c r="I129" i="30" s="1"/>
  <c r="E129" i="30"/>
  <c r="F129" i="30" s="1"/>
  <c r="O128" i="30"/>
  <c r="N128" i="30"/>
  <c r="L128" i="30"/>
  <c r="K128" i="30"/>
  <c r="H128" i="30"/>
  <c r="I128" i="30" s="1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O116" i="30" s="1"/>
  <c r="K116" i="30"/>
  <c r="L116" i="30" s="1"/>
  <c r="I116" i="30"/>
  <c r="H116" i="30"/>
  <c r="E116" i="30"/>
  <c r="F116" i="30" s="1"/>
  <c r="O115" i="30"/>
  <c r="N115" i="30"/>
  <c r="K115" i="30"/>
  <c r="L115" i="30" s="1"/>
  <c r="H115" i="30"/>
  <c r="I115" i="30" s="1"/>
  <c r="E115" i="30"/>
  <c r="F115" i="30" s="1"/>
  <c r="N114" i="30"/>
  <c r="O114" i="30" s="1"/>
  <c r="L114" i="30"/>
  <c r="K114" i="30"/>
  <c r="H114" i="30"/>
  <c r="I114" i="30" s="1"/>
  <c r="E114" i="30"/>
  <c r="F114" i="30" s="1"/>
  <c r="N113" i="30"/>
  <c r="O113" i="30" s="1"/>
  <c r="L113" i="30"/>
  <c r="K113" i="30"/>
  <c r="I113" i="30"/>
  <c r="H113" i="30"/>
  <c r="E113" i="30"/>
  <c r="F113" i="30" s="1"/>
  <c r="N112" i="30"/>
  <c r="O112" i="30" s="1"/>
  <c r="K112" i="30"/>
  <c r="L112" i="30" s="1"/>
  <c r="H112" i="30"/>
  <c r="I112" i="30" s="1"/>
  <c r="E112" i="30"/>
  <c r="F112" i="30" s="1"/>
  <c r="N111" i="30"/>
  <c r="O111" i="30" s="1"/>
  <c r="K111" i="30"/>
  <c r="L111" i="30" s="1"/>
  <c r="H111" i="30"/>
  <c r="I111" i="30" s="1"/>
  <c r="E111" i="30"/>
  <c r="F111" i="30" s="1"/>
  <c r="N110" i="30"/>
  <c r="O110" i="30" s="1"/>
  <c r="L110" i="30"/>
  <c r="K110" i="30"/>
  <c r="H110" i="30"/>
  <c r="I110" i="30" s="1"/>
  <c r="E110" i="30"/>
  <c r="F110" i="30" s="1"/>
  <c r="O109" i="30"/>
  <c r="N109" i="30"/>
  <c r="L109" i="30"/>
  <c r="K109" i="30"/>
  <c r="H109" i="30"/>
  <c r="I109" i="30" s="1"/>
  <c r="E109" i="30"/>
  <c r="F109" i="30" s="1"/>
  <c r="N108" i="30"/>
  <c r="O108" i="30" s="1"/>
  <c r="K108" i="30"/>
  <c r="L108" i="30" s="1"/>
  <c r="H108" i="30"/>
  <c r="I108" i="30" s="1"/>
  <c r="E108" i="30"/>
  <c r="F108" i="30" s="1"/>
  <c r="O107" i="30"/>
  <c r="N107" i="30"/>
  <c r="K107" i="30"/>
  <c r="L107" i="30" s="1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N105" i="30"/>
  <c r="L105" i="30"/>
  <c r="K105" i="30"/>
  <c r="H105" i="30"/>
  <c r="I105" i="30" s="1"/>
  <c r="E105" i="30"/>
  <c r="F105" i="30" s="1"/>
  <c r="N104" i="30"/>
  <c r="O104" i="30" s="1"/>
  <c r="K104" i="30"/>
  <c r="L104" i="30" s="1"/>
  <c r="H104" i="30"/>
  <c r="I104" i="30" s="1"/>
  <c r="E104" i="30"/>
  <c r="F104" i="30" s="1"/>
  <c r="N103" i="30"/>
  <c r="O103" i="30" s="1"/>
  <c r="K103" i="30"/>
  <c r="L103" i="30" s="1"/>
  <c r="H103" i="30"/>
  <c r="I103" i="30" s="1"/>
  <c r="E103" i="30"/>
  <c r="F103" i="30" s="1"/>
  <c r="N102" i="30"/>
  <c r="O102" i="30" s="1"/>
  <c r="L102" i="30"/>
  <c r="K102" i="30"/>
  <c r="H102" i="30"/>
  <c r="I102" i="30" s="1"/>
  <c r="E102" i="30"/>
  <c r="F102" i="30" s="1"/>
  <c r="O101" i="30"/>
  <c r="N101" i="30"/>
  <c r="L101" i="30"/>
  <c r="K101" i="30"/>
  <c r="H101" i="30"/>
  <c r="I101" i="30" s="1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K99" i="30"/>
  <c r="L99" i="30" s="1"/>
  <c r="I99" i="30"/>
  <c r="H99" i="30"/>
  <c r="E99" i="30"/>
  <c r="F99" i="30" s="1"/>
  <c r="N98" i="30"/>
  <c r="N118" i="30" s="1"/>
  <c r="L98" i="30"/>
  <c r="K98" i="30"/>
  <c r="H98" i="30"/>
  <c r="I9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N89" i="30"/>
  <c r="O89" i="30" s="1"/>
  <c r="K89" i="30"/>
  <c r="L89" i="30" s="1"/>
  <c r="H89" i="30"/>
  <c r="I89" i="30" s="1"/>
  <c r="E89" i="30"/>
  <c r="F89" i="30" s="1"/>
  <c r="N88" i="30"/>
  <c r="O88" i="30" s="1"/>
  <c r="K88" i="30"/>
  <c r="L88" i="30" s="1"/>
  <c r="I88" i="30"/>
  <c r="H88" i="30"/>
  <c r="E88" i="30"/>
  <c r="F88" i="30" s="1"/>
  <c r="N87" i="30"/>
  <c r="O87" i="30" s="1"/>
  <c r="L87" i="30"/>
  <c r="K87" i="30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N84" i="30"/>
  <c r="O84" i="30" s="1"/>
  <c r="K84" i="30"/>
  <c r="L84" i="30" s="1"/>
  <c r="H84" i="30"/>
  <c r="I84" i="30" s="1"/>
  <c r="E84" i="30"/>
  <c r="F84" i="30" s="1"/>
  <c r="N83" i="30"/>
  <c r="O83" i="30" s="1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N79" i="30"/>
  <c r="O79" i="30" s="1"/>
  <c r="L79" i="30"/>
  <c r="K79" i="30"/>
  <c r="I79" i="30"/>
  <c r="H79" i="30"/>
  <c r="E79" i="30"/>
  <c r="F79" i="30" s="1"/>
  <c r="O78" i="30"/>
  <c r="N78" i="30"/>
  <c r="L78" i="30"/>
  <c r="K78" i="30"/>
  <c r="H78" i="30"/>
  <c r="I78" i="30" s="1"/>
  <c r="E78" i="30"/>
  <c r="F78" i="30" s="1"/>
  <c r="N77" i="30"/>
  <c r="O77" i="30" s="1"/>
  <c r="K77" i="30"/>
  <c r="L77" i="30" s="1"/>
  <c r="H77" i="30"/>
  <c r="I77" i="30" s="1"/>
  <c r="E77" i="30"/>
  <c r="F77" i="30" s="1"/>
  <c r="N76" i="30"/>
  <c r="O76" i="30" s="1"/>
  <c r="K76" i="30"/>
  <c r="L76" i="30" s="1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N74" i="30"/>
  <c r="O74" i="30" s="1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N72" i="30"/>
  <c r="O72" i="30" s="1"/>
  <c r="K72" i="30"/>
  <c r="L72" i="30" s="1"/>
  <c r="H72" i="30"/>
  <c r="I72" i="30" s="1"/>
  <c r="E72" i="30"/>
  <c r="F72" i="30" s="1"/>
  <c r="N71" i="30"/>
  <c r="L71" i="30"/>
  <c r="K71" i="30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N62" i="30"/>
  <c r="O62" i="30" s="1"/>
  <c r="K62" i="30"/>
  <c r="L62" i="30" s="1"/>
  <c r="I62" i="30"/>
  <c r="H62" i="30"/>
  <c r="E62" i="30"/>
  <c r="F62" i="30" s="1"/>
  <c r="O61" i="30"/>
  <c r="N61" i="30"/>
  <c r="L61" i="30"/>
  <c r="K61" i="30"/>
  <c r="H61" i="30"/>
  <c r="I61" i="30" s="1"/>
  <c r="E61" i="30"/>
  <c r="F61" i="30" s="1"/>
  <c r="N60" i="30"/>
  <c r="O60" i="30" s="1"/>
  <c r="K60" i="30"/>
  <c r="L60" i="30" s="1"/>
  <c r="I60" i="30"/>
  <c r="H60" i="30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K58" i="30"/>
  <c r="L58" i="30" s="1"/>
  <c r="H58" i="30"/>
  <c r="I58" i="30" s="1"/>
  <c r="E58" i="30"/>
  <c r="F58" i="30" s="1"/>
  <c r="N57" i="30"/>
  <c r="O57" i="30" s="1"/>
  <c r="L57" i="30"/>
  <c r="K57" i="30"/>
  <c r="I57" i="30"/>
  <c r="H57" i="30"/>
  <c r="E57" i="30"/>
  <c r="F57" i="30" s="1"/>
  <c r="O56" i="30"/>
  <c r="N56" i="30"/>
  <c r="K56" i="30"/>
  <c r="L56" i="30" s="1"/>
  <c r="H56" i="30"/>
  <c r="I56" i="30" s="1"/>
  <c r="E56" i="30"/>
  <c r="F56" i="30" s="1"/>
  <c r="N55" i="30"/>
  <c r="O55" i="30" s="1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L53" i="30"/>
  <c r="K53" i="30"/>
  <c r="H53" i="30"/>
  <c r="I53" i="30" s="1"/>
  <c r="E53" i="30"/>
  <c r="F53" i="30" s="1"/>
  <c r="N52" i="30"/>
  <c r="O52" i="30" s="1"/>
  <c r="K52" i="30"/>
  <c r="L52" i="30" s="1"/>
  <c r="H52" i="30"/>
  <c r="I52" i="30" s="1"/>
  <c r="E52" i="30"/>
  <c r="F52" i="30" s="1"/>
  <c r="N51" i="30"/>
  <c r="O51" i="30" s="1"/>
  <c r="K51" i="30"/>
  <c r="L51" i="30" s="1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N49" i="30"/>
  <c r="O49" i="30" s="1"/>
  <c r="L49" i="30"/>
  <c r="K49" i="30"/>
  <c r="H49" i="30"/>
  <c r="I49" i="30" s="1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N46" i="30"/>
  <c r="O46" i="30" s="1"/>
  <c r="K46" i="30"/>
  <c r="L46" i="30" s="1"/>
  <c r="H46" i="30"/>
  <c r="I46" i="30" s="1"/>
  <c r="E46" i="30"/>
  <c r="F46" i="30" s="1"/>
  <c r="O45" i="30"/>
  <c r="N45" i="30"/>
  <c r="L45" i="30"/>
  <c r="K45" i="30"/>
  <c r="H45" i="30"/>
  <c r="I45" i="30" s="1"/>
  <c r="E45" i="30"/>
  <c r="F45" i="30" s="1"/>
  <c r="N44" i="30"/>
  <c r="N64" i="30" s="1"/>
  <c r="K44" i="30"/>
  <c r="K64" i="30" s="1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O197" i="29"/>
  <c r="N197" i="29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O195" i="29"/>
  <c r="N195" i="29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O188" i="29"/>
  <c r="N188" i="29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O186" i="29"/>
  <c r="N186" i="29"/>
  <c r="L186" i="29"/>
  <c r="K186" i="29"/>
  <c r="H186" i="29"/>
  <c r="I186" i="29" s="1"/>
  <c r="F186" i="29"/>
  <c r="E186" i="29"/>
  <c r="O185" i="29"/>
  <c r="N185" i="29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O181" i="29"/>
  <c r="N181" i="29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O179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O170" i="29"/>
  <c r="N170" i="29"/>
  <c r="K170" i="29"/>
  <c r="L170" i="29" s="1"/>
  <c r="H170" i="29"/>
  <c r="I170" i="29" s="1"/>
  <c r="F170" i="29"/>
  <c r="E170" i="29"/>
  <c r="O169" i="29"/>
  <c r="N169" i="29"/>
  <c r="K169" i="29"/>
  <c r="L169" i="29" s="1"/>
  <c r="H169" i="29"/>
  <c r="I169" i="29" s="1"/>
  <c r="F169" i="29"/>
  <c r="E169" i="29"/>
  <c r="N168" i="29"/>
  <c r="O168" i="29" s="1"/>
  <c r="L168" i="29"/>
  <c r="K168" i="29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O165" i="29"/>
  <c r="N165" i="29"/>
  <c r="K165" i="29"/>
  <c r="L165" i="29" s="1"/>
  <c r="H165" i="29"/>
  <c r="I165" i="29" s="1"/>
  <c r="F165" i="29"/>
  <c r="E165" i="29"/>
  <c r="O164" i="29"/>
  <c r="N164" i="29"/>
  <c r="L164" i="29"/>
  <c r="K164" i="29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K161" i="29"/>
  <c r="L161" i="29" s="1"/>
  <c r="H161" i="29"/>
  <c r="I161" i="29" s="1"/>
  <c r="F161" i="29"/>
  <c r="E161" i="29"/>
  <c r="O160" i="29"/>
  <c r="N160" i="29"/>
  <c r="L160" i="29"/>
  <c r="K160" i="29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H144" i="29"/>
  <c r="I144" i="29" s="1"/>
  <c r="F144" i="29"/>
  <c r="E144" i="29"/>
  <c r="N143" i="29"/>
  <c r="O143" i="29" s="1"/>
  <c r="K143" i="29"/>
  <c r="L143" i="29" s="1"/>
  <c r="H143" i="29"/>
  <c r="I143" i="29" s="1"/>
  <c r="F143" i="29"/>
  <c r="E143" i="29"/>
  <c r="N142" i="29"/>
  <c r="O142" i="29" s="1"/>
  <c r="K142" i="29"/>
  <c r="L142" i="29" s="1"/>
  <c r="H142" i="29"/>
  <c r="I142" i="29" s="1"/>
  <c r="F142" i="29"/>
  <c r="E142" i="29"/>
  <c r="N141" i="29"/>
  <c r="O141" i="29" s="1"/>
  <c r="L141" i="29"/>
  <c r="K141" i="29"/>
  <c r="H141" i="29"/>
  <c r="I141" i="29" s="1"/>
  <c r="F141" i="29"/>
  <c r="E141" i="29"/>
  <c r="O140" i="29"/>
  <c r="N140" i="29"/>
  <c r="L140" i="29"/>
  <c r="K140" i="29"/>
  <c r="H140" i="29"/>
  <c r="I140" i="29" s="1"/>
  <c r="F140" i="29"/>
  <c r="E140" i="29"/>
  <c r="N139" i="29"/>
  <c r="O139" i="29" s="1"/>
  <c r="K139" i="29"/>
  <c r="L139" i="29" s="1"/>
  <c r="H139" i="29"/>
  <c r="I139" i="29" s="1"/>
  <c r="E139" i="29"/>
  <c r="F139" i="29" s="1"/>
  <c r="O138" i="29"/>
  <c r="N138" i="29"/>
  <c r="L138" i="29"/>
  <c r="K138" i="29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O136" i="29"/>
  <c r="N136" i="29"/>
  <c r="K136" i="29"/>
  <c r="L136" i="29" s="1"/>
  <c r="H136" i="29"/>
  <c r="I136" i="29" s="1"/>
  <c r="E136" i="29"/>
  <c r="F136" i="29" s="1"/>
  <c r="N135" i="29"/>
  <c r="O135" i="29" s="1"/>
  <c r="L135" i="29"/>
  <c r="K135" i="29"/>
  <c r="H135" i="29"/>
  <c r="I135" i="29" s="1"/>
  <c r="E135" i="29"/>
  <c r="F135" i="29" s="1"/>
  <c r="N134" i="29"/>
  <c r="O134" i="29" s="1"/>
  <c r="K134" i="29"/>
  <c r="L134" i="29" s="1"/>
  <c r="H134" i="29"/>
  <c r="I134" i="29" s="1"/>
  <c r="E134" i="29"/>
  <c r="F134" i="29" s="1"/>
  <c r="O133" i="29"/>
  <c r="N133" i="29"/>
  <c r="L133" i="29"/>
  <c r="K133" i="29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L131" i="29"/>
  <c r="K131" i="29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L129" i="29"/>
  <c r="K129" i="29"/>
  <c r="H129" i="29"/>
  <c r="I129" i="29" s="1"/>
  <c r="E129" i="29"/>
  <c r="F129" i="29" s="1"/>
  <c r="O128" i="29"/>
  <c r="N128" i="29"/>
  <c r="L128" i="29"/>
  <c r="K128" i="29"/>
  <c r="H128" i="29"/>
  <c r="I128" i="29" s="1"/>
  <c r="E128" i="29"/>
  <c r="F128" i="29" s="1"/>
  <c r="O127" i="29"/>
  <c r="N127" i="29"/>
  <c r="K127" i="29"/>
  <c r="L127" i="29" s="1"/>
  <c r="H127" i="29"/>
  <c r="I127" i="29" s="1"/>
  <c r="E127" i="29"/>
  <c r="F127" i="29" s="1"/>
  <c r="N126" i="29"/>
  <c r="O126" i="29" s="1"/>
  <c r="L126" i="29"/>
  <c r="K126" i="29"/>
  <c r="H126" i="29"/>
  <c r="I126" i="29" s="1"/>
  <c r="E126" i="29"/>
  <c r="F126" i="29" s="1"/>
  <c r="N125" i="29"/>
  <c r="K125" i="29"/>
  <c r="H125" i="29"/>
  <c r="I125" i="29" s="1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H115" i="29"/>
  <c r="I115" i="29" s="1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H111" i="29"/>
  <c r="I111" i="29" s="1"/>
  <c r="E111" i="29"/>
  <c r="F111" i="29" s="1"/>
  <c r="O110" i="29"/>
  <c r="N110" i="29"/>
  <c r="K110" i="29"/>
  <c r="L110" i="29" s="1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K108" i="29"/>
  <c r="L108" i="29" s="1"/>
  <c r="H108" i="29"/>
  <c r="I108" i="29" s="1"/>
  <c r="E108" i="29"/>
  <c r="F108" i="29" s="1"/>
  <c r="N107" i="29"/>
  <c r="O107" i="29" s="1"/>
  <c r="K107" i="29"/>
  <c r="L107" i="29" s="1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I105" i="29"/>
  <c r="H105" i="29"/>
  <c r="E105" i="29"/>
  <c r="F105" i="29" s="1"/>
  <c r="N104" i="29"/>
  <c r="O104" i="29" s="1"/>
  <c r="L104" i="29"/>
  <c r="K104" i="29"/>
  <c r="H104" i="29"/>
  <c r="I104" i="29" s="1"/>
  <c r="E104" i="29"/>
  <c r="F104" i="29" s="1"/>
  <c r="N103" i="29"/>
  <c r="O103" i="29" s="1"/>
  <c r="K103" i="29"/>
  <c r="L103" i="29" s="1"/>
  <c r="H103" i="29"/>
  <c r="I103" i="29" s="1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O99" i="29"/>
  <c r="N99" i="29"/>
  <c r="K99" i="29"/>
  <c r="L99" i="29" s="1"/>
  <c r="H99" i="29"/>
  <c r="I99" i="29" s="1"/>
  <c r="E99" i="29"/>
  <c r="F99" i="29" s="1"/>
  <c r="N98" i="29"/>
  <c r="N118" i="29" s="1"/>
  <c r="K98" i="29"/>
  <c r="L98" i="29" s="1"/>
  <c r="H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I90" i="29"/>
  <c r="H90" i="29"/>
  <c r="E90" i="29"/>
  <c r="F90" i="29" s="1"/>
  <c r="N89" i="29"/>
  <c r="O89" i="29" s="1"/>
  <c r="K89" i="29"/>
  <c r="L89" i="29" s="1"/>
  <c r="H89" i="29"/>
  <c r="I89" i="29" s="1"/>
  <c r="F89" i="29"/>
  <c r="E89" i="29"/>
  <c r="O88" i="29"/>
  <c r="N88" i="29"/>
  <c r="K88" i="29"/>
  <c r="L88" i="29" s="1"/>
  <c r="H88" i="29"/>
  <c r="I88" i="29" s="1"/>
  <c r="F88" i="29"/>
  <c r="E88" i="29"/>
  <c r="N87" i="29"/>
  <c r="O87" i="29" s="1"/>
  <c r="L87" i="29"/>
  <c r="K87" i="29"/>
  <c r="H87" i="29"/>
  <c r="I87" i="29" s="1"/>
  <c r="F87" i="29"/>
  <c r="E87" i="29"/>
  <c r="O86" i="29"/>
  <c r="N86" i="29"/>
  <c r="K86" i="29"/>
  <c r="L86" i="29" s="1"/>
  <c r="H86" i="29"/>
  <c r="I86" i="29" s="1"/>
  <c r="F86" i="29"/>
  <c r="E86" i="29"/>
  <c r="O85" i="29"/>
  <c r="N85" i="29"/>
  <c r="K85" i="29"/>
  <c r="L85" i="29" s="1"/>
  <c r="H85" i="29"/>
  <c r="I85" i="29" s="1"/>
  <c r="F85" i="29"/>
  <c r="E85" i="29"/>
  <c r="N84" i="29"/>
  <c r="O84" i="29" s="1"/>
  <c r="K84" i="29"/>
  <c r="L84" i="29" s="1"/>
  <c r="H84" i="29"/>
  <c r="I84" i="29" s="1"/>
  <c r="F84" i="29"/>
  <c r="E84" i="29"/>
  <c r="N83" i="29"/>
  <c r="O83" i="29" s="1"/>
  <c r="L83" i="29"/>
  <c r="K83" i="29"/>
  <c r="H83" i="29"/>
  <c r="I83" i="29" s="1"/>
  <c r="F83" i="29"/>
  <c r="E83" i="29"/>
  <c r="N82" i="29"/>
  <c r="O82" i="29" s="1"/>
  <c r="K82" i="29"/>
  <c r="L82" i="29" s="1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O80" i="29"/>
  <c r="N80" i="29"/>
  <c r="K80" i="29"/>
  <c r="L80" i="29" s="1"/>
  <c r="H80" i="29"/>
  <c r="I80" i="29" s="1"/>
  <c r="F80" i="29"/>
  <c r="E80" i="29"/>
  <c r="O79" i="29"/>
  <c r="N79" i="29"/>
  <c r="L79" i="29"/>
  <c r="K79" i="29"/>
  <c r="H79" i="29"/>
  <c r="I79" i="29" s="1"/>
  <c r="F79" i="29"/>
  <c r="E79" i="29"/>
  <c r="N78" i="29"/>
  <c r="O78" i="29" s="1"/>
  <c r="K78" i="29"/>
  <c r="L78" i="29" s="1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O76" i="29"/>
  <c r="N76" i="29"/>
  <c r="K76" i="29"/>
  <c r="L76" i="29" s="1"/>
  <c r="H76" i="29"/>
  <c r="I76" i="29" s="1"/>
  <c r="F76" i="29"/>
  <c r="E76" i="29"/>
  <c r="N75" i="29"/>
  <c r="O75" i="29" s="1"/>
  <c r="L75" i="29"/>
  <c r="K75" i="29"/>
  <c r="H75" i="29"/>
  <c r="I75" i="29" s="1"/>
  <c r="F75" i="29"/>
  <c r="E75" i="29"/>
  <c r="O74" i="29"/>
  <c r="N74" i="29"/>
  <c r="K74" i="29"/>
  <c r="L74" i="29" s="1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L71" i="29"/>
  <c r="K71" i="29"/>
  <c r="H71" i="29"/>
  <c r="F71" i="29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K63" i="29"/>
  <c r="L63" i="29" s="1"/>
  <c r="H63" i="29"/>
  <c r="I63" i="29" s="1"/>
  <c r="E63" i="29"/>
  <c r="F63" i="29" s="1"/>
  <c r="N62" i="29"/>
  <c r="O62" i="29" s="1"/>
  <c r="K62" i="29"/>
  <c r="L62" i="29" s="1"/>
  <c r="H62" i="29"/>
  <c r="I62" i="29" s="1"/>
  <c r="E62" i="29"/>
  <c r="F62" i="29" s="1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L59" i="29"/>
  <c r="K59" i="29"/>
  <c r="H59" i="29"/>
  <c r="I59" i="29" s="1"/>
  <c r="E59" i="29"/>
  <c r="F59" i="29" s="1"/>
  <c r="O58" i="29"/>
  <c r="N58" i="29"/>
  <c r="K58" i="29"/>
  <c r="L58" i="29" s="1"/>
  <c r="H58" i="29"/>
  <c r="I58" i="29" s="1"/>
  <c r="E58" i="29"/>
  <c r="F58" i="29" s="1"/>
  <c r="O57" i="29"/>
  <c r="N57" i="29"/>
  <c r="L57" i="29"/>
  <c r="K57" i="29"/>
  <c r="H57" i="29"/>
  <c r="I57" i="29" s="1"/>
  <c r="E57" i="29"/>
  <c r="F57" i="29" s="1"/>
  <c r="N56" i="29"/>
  <c r="O56" i="29" s="1"/>
  <c r="K56" i="29"/>
  <c r="L56" i="29" s="1"/>
  <c r="I56" i="29"/>
  <c r="H56" i="29"/>
  <c r="E56" i="29"/>
  <c r="F56" i="29" s="1"/>
  <c r="O55" i="29"/>
  <c r="N55" i="29"/>
  <c r="K55" i="29"/>
  <c r="L55" i="29" s="1"/>
  <c r="H55" i="29"/>
  <c r="I55" i="29" s="1"/>
  <c r="E55" i="29"/>
  <c r="F55" i="29" s="1"/>
  <c r="O54" i="29"/>
  <c r="N54" i="29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O51" i="29"/>
  <c r="N51" i="29"/>
  <c r="K51" i="29"/>
  <c r="L51" i="29" s="1"/>
  <c r="H51" i="29"/>
  <c r="I51" i="29" s="1"/>
  <c r="E51" i="29"/>
  <c r="F51" i="29" s="1"/>
  <c r="N50" i="29"/>
  <c r="O50" i="29" s="1"/>
  <c r="L50" i="29"/>
  <c r="K50" i="29"/>
  <c r="H50" i="29"/>
  <c r="I50" i="29" s="1"/>
  <c r="E50" i="29"/>
  <c r="F50" i="29" s="1"/>
  <c r="O49" i="29"/>
  <c r="N49" i="29"/>
  <c r="K49" i="29"/>
  <c r="L49" i="29" s="1"/>
  <c r="H49" i="29"/>
  <c r="I49" i="29" s="1"/>
  <c r="E49" i="29"/>
  <c r="F49" i="29" s="1"/>
  <c r="O48" i="29"/>
  <c r="N48" i="29"/>
  <c r="L48" i="29"/>
  <c r="K48" i="29"/>
  <c r="H48" i="29"/>
  <c r="I48" i="29" s="1"/>
  <c r="E48" i="29"/>
  <c r="F48" i="29" s="1"/>
  <c r="O47" i="29"/>
  <c r="N47" i="29"/>
  <c r="K47" i="29"/>
  <c r="L47" i="29" s="1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L45" i="29" s="1"/>
  <c r="H45" i="29"/>
  <c r="I45" i="29" s="1"/>
  <c r="E45" i="29"/>
  <c r="F45" i="29" s="1"/>
  <c r="O44" i="29"/>
  <c r="N44" i="29"/>
  <c r="K44" i="29"/>
  <c r="H44" i="29"/>
  <c r="I4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L195" i="28"/>
  <c r="K195" i="28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O191" i="28"/>
  <c r="N191" i="28"/>
  <c r="L191" i="28"/>
  <c r="K191" i="28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O189" i="28"/>
  <c r="N189" i="28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O187" i="28"/>
  <c r="N187" i="28"/>
  <c r="L187" i="28"/>
  <c r="K187" i="28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K184" i="28"/>
  <c r="L184" i="28" s="1"/>
  <c r="H184" i="28"/>
  <c r="I184" i="28" s="1"/>
  <c r="F184" i="28"/>
  <c r="E184" i="28"/>
  <c r="O183" i="28"/>
  <c r="N183" i="28"/>
  <c r="L183" i="28"/>
  <c r="K183" i="28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O180" i="28"/>
  <c r="N180" i="28"/>
  <c r="K180" i="28"/>
  <c r="L180" i="28" s="1"/>
  <c r="H180" i="28"/>
  <c r="I180" i="28" s="1"/>
  <c r="F180" i="28"/>
  <c r="E180" i="28"/>
  <c r="O179" i="28"/>
  <c r="N179" i="28"/>
  <c r="L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N169" i="28"/>
  <c r="O169" i="28" s="1"/>
  <c r="L169" i="28"/>
  <c r="K169" i="28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N159" i="28"/>
  <c r="O159" i="28" s="1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O157" i="28"/>
  <c r="N157" i="28"/>
  <c r="L157" i="28"/>
  <c r="K157" i="28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N143" i="28"/>
  <c r="O143" i="28" s="1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N141" i="28"/>
  <c r="O141" i="28" s="1"/>
  <c r="K141" i="28"/>
  <c r="L141" i="28" s="1"/>
  <c r="H141" i="28"/>
  <c r="I141" i="28" s="1"/>
  <c r="F141" i="28"/>
  <c r="E141" i="28"/>
  <c r="O140" i="28"/>
  <c r="N140" i="28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O133" i="28"/>
  <c r="N133" i="28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O129" i="28"/>
  <c r="N129" i="28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N125" i="28"/>
  <c r="N145" i="28" s="1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O116" i="28"/>
  <c r="N116" i="28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O114" i="28"/>
  <c r="N114" i="28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L111" i="28"/>
  <c r="K111" i="28"/>
  <c r="I111" i="28"/>
  <c r="H111" i="28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L109" i="28"/>
  <c r="K109" i="28"/>
  <c r="H109" i="28"/>
  <c r="I109" i="28" s="1"/>
  <c r="E109" i="28"/>
  <c r="F109" i="28" s="1"/>
  <c r="N108" i="28"/>
  <c r="O108" i="28" s="1"/>
  <c r="K108" i="28"/>
  <c r="L108" i="28" s="1"/>
  <c r="H108" i="28"/>
  <c r="I108" i="28" s="1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L106" i="28"/>
  <c r="K106" i="28"/>
  <c r="H106" i="28"/>
  <c r="I106" i="28" s="1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I103" i="28"/>
  <c r="H103" i="28"/>
  <c r="E103" i="28"/>
  <c r="F103" i="28" s="1"/>
  <c r="O102" i="28"/>
  <c r="N102" i="28"/>
  <c r="K102" i="28"/>
  <c r="L102" i="28" s="1"/>
  <c r="H102" i="28"/>
  <c r="I102" i="28" s="1"/>
  <c r="E102" i="28"/>
  <c r="F102" i="28" s="1"/>
  <c r="N101" i="28"/>
  <c r="O101" i="28" s="1"/>
  <c r="L101" i="28"/>
  <c r="K101" i="28"/>
  <c r="I101" i="28"/>
  <c r="H101" i="28"/>
  <c r="E101" i="28"/>
  <c r="F101" i="28" s="1"/>
  <c r="O100" i="28"/>
  <c r="N100" i="28"/>
  <c r="K100" i="28"/>
  <c r="L100" i="28" s="1"/>
  <c r="H100" i="28"/>
  <c r="I100" i="28" s="1"/>
  <c r="E100" i="28"/>
  <c r="F100" i="28" s="1"/>
  <c r="N99" i="28"/>
  <c r="O99" i="28" s="1"/>
  <c r="K99" i="28"/>
  <c r="L99" i="28" s="1"/>
  <c r="I99" i="28"/>
  <c r="H99" i="28"/>
  <c r="E99" i="28"/>
  <c r="F99" i="28" s="1"/>
  <c r="N98" i="28"/>
  <c r="L98" i="28"/>
  <c r="K98" i="28"/>
  <c r="H98" i="28"/>
  <c r="H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N88" i="28"/>
  <c r="O88" i="28" s="1"/>
  <c r="K88" i="28"/>
  <c r="L88" i="28" s="1"/>
  <c r="I88" i="28"/>
  <c r="H88" i="28"/>
  <c r="E88" i="28"/>
  <c r="F88" i="28" s="1"/>
  <c r="O87" i="28"/>
  <c r="N87" i="28"/>
  <c r="K87" i="28"/>
  <c r="L87" i="28" s="1"/>
  <c r="H87" i="28"/>
  <c r="I87" i="28" s="1"/>
  <c r="E87" i="28"/>
  <c r="F87" i="28" s="1"/>
  <c r="N86" i="28"/>
  <c r="O86" i="28" s="1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N84" i="28"/>
  <c r="O84" i="28" s="1"/>
  <c r="K84" i="28"/>
  <c r="L84" i="28" s="1"/>
  <c r="I84" i="28"/>
  <c r="H84" i="28"/>
  <c r="E84" i="28"/>
  <c r="F84" i="28" s="1"/>
  <c r="N83" i="28"/>
  <c r="O83" i="28" s="1"/>
  <c r="K83" i="28"/>
  <c r="L83" i="28" s="1"/>
  <c r="H83" i="28"/>
  <c r="I83" i="28" s="1"/>
  <c r="E83" i="28"/>
  <c r="F83" i="28" s="1"/>
  <c r="O82" i="28"/>
  <c r="N82" i="28"/>
  <c r="L82" i="28"/>
  <c r="K82" i="28"/>
  <c r="H82" i="28"/>
  <c r="I82" i="28" s="1"/>
  <c r="E82" i="28"/>
  <c r="F82" i="28" s="1"/>
  <c r="O81" i="28"/>
  <c r="N81" i="28"/>
  <c r="K81" i="28"/>
  <c r="L81" i="28" s="1"/>
  <c r="H81" i="28"/>
  <c r="I81" i="28" s="1"/>
  <c r="E81" i="28"/>
  <c r="F81" i="28" s="1"/>
  <c r="N80" i="28"/>
  <c r="O80" i="28" s="1"/>
  <c r="L80" i="28"/>
  <c r="K80" i="28"/>
  <c r="I80" i="28"/>
  <c r="H80" i="28"/>
  <c r="E80" i="28"/>
  <c r="F80" i="28" s="1"/>
  <c r="O79" i="28"/>
  <c r="N79" i="28"/>
  <c r="K79" i="28"/>
  <c r="L79" i="28" s="1"/>
  <c r="H79" i="28"/>
  <c r="I79" i="28" s="1"/>
  <c r="E79" i="28"/>
  <c r="F79" i="28" s="1"/>
  <c r="O78" i="28"/>
  <c r="N78" i="28"/>
  <c r="L78" i="28"/>
  <c r="K78" i="28"/>
  <c r="H78" i="28"/>
  <c r="I78" i="28" s="1"/>
  <c r="E78" i="28"/>
  <c r="F78" i="28" s="1"/>
  <c r="N77" i="28"/>
  <c r="O77" i="28" s="1"/>
  <c r="K77" i="28"/>
  <c r="L77" i="28" s="1"/>
  <c r="I77" i="28"/>
  <c r="H77" i="28"/>
  <c r="E77" i="28"/>
  <c r="F77" i="28" s="1"/>
  <c r="O76" i="28"/>
  <c r="N76" i="28"/>
  <c r="K76" i="28"/>
  <c r="L76" i="28" s="1"/>
  <c r="I76" i="28"/>
  <c r="H76" i="28"/>
  <c r="E76" i="28"/>
  <c r="F76" i="28" s="1"/>
  <c r="N75" i="28"/>
  <c r="O75" i="28" s="1"/>
  <c r="K75" i="28"/>
  <c r="L75" i="28" s="1"/>
  <c r="H75" i="28"/>
  <c r="I75" i="28" s="1"/>
  <c r="E75" i="28"/>
  <c r="F75" i="28" s="1"/>
  <c r="O74" i="28"/>
  <c r="N74" i="28"/>
  <c r="K74" i="28"/>
  <c r="L74" i="28" s="1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O72" i="28"/>
  <c r="N72" i="28"/>
  <c r="K72" i="28"/>
  <c r="L72" i="28" s="1"/>
  <c r="I72" i="28"/>
  <c r="H72" i="28"/>
  <c r="E72" i="28"/>
  <c r="F72" i="28" s="1"/>
  <c r="O71" i="28"/>
  <c r="N71" i="28"/>
  <c r="K71" i="28"/>
  <c r="L71" i="28" s="1"/>
  <c r="H71" i="28"/>
  <c r="H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K63" i="28"/>
  <c r="L63" i="28" s="1"/>
  <c r="I63" i="28"/>
  <c r="H63" i="28"/>
  <c r="F63" i="28"/>
  <c r="E63" i="28"/>
  <c r="N62" i="28"/>
  <c r="O62" i="28" s="1"/>
  <c r="K62" i="28"/>
  <c r="L62" i="28" s="1"/>
  <c r="I62" i="28"/>
  <c r="H62" i="28"/>
  <c r="F62" i="28"/>
  <c r="E62" i="28"/>
  <c r="O61" i="28"/>
  <c r="N61" i="28"/>
  <c r="K61" i="28"/>
  <c r="L61" i="28" s="1"/>
  <c r="I61" i="28"/>
  <c r="H61" i="28"/>
  <c r="F61" i="28"/>
  <c r="E61" i="28"/>
  <c r="N60" i="28"/>
  <c r="O60" i="28" s="1"/>
  <c r="K60" i="28"/>
  <c r="L60" i="28" s="1"/>
  <c r="I60" i="28"/>
  <c r="H60" i="28"/>
  <c r="F60" i="28"/>
  <c r="E60" i="28"/>
  <c r="O59" i="28"/>
  <c r="N59" i="28"/>
  <c r="K59" i="28"/>
  <c r="L59" i="28" s="1"/>
  <c r="I59" i="28"/>
  <c r="H59" i="28"/>
  <c r="F59" i="28"/>
  <c r="E59" i="28"/>
  <c r="N58" i="28"/>
  <c r="O58" i="28" s="1"/>
  <c r="K58" i="28"/>
  <c r="L58" i="28" s="1"/>
  <c r="I58" i="28"/>
  <c r="H58" i="28"/>
  <c r="F58" i="28"/>
  <c r="E58" i="28"/>
  <c r="O57" i="28"/>
  <c r="N57" i="28"/>
  <c r="K57" i="28"/>
  <c r="L57" i="28" s="1"/>
  <c r="I57" i="28"/>
  <c r="H57" i="28"/>
  <c r="F57" i="28"/>
  <c r="E57" i="28"/>
  <c r="N56" i="28"/>
  <c r="O56" i="28" s="1"/>
  <c r="K56" i="28"/>
  <c r="L56" i="28" s="1"/>
  <c r="I56" i="28"/>
  <c r="H56" i="28"/>
  <c r="F56" i="28"/>
  <c r="E56" i="28"/>
  <c r="O55" i="28"/>
  <c r="N55" i="28"/>
  <c r="K55" i="28"/>
  <c r="L55" i="28" s="1"/>
  <c r="I55" i="28"/>
  <c r="H55" i="28"/>
  <c r="F55" i="28"/>
  <c r="E55" i="28"/>
  <c r="N54" i="28"/>
  <c r="O54" i="28" s="1"/>
  <c r="K54" i="28"/>
  <c r="L54" i="28" s="1"/>
  <c r="I54" i="28"/>
  <c r="H54" i="28"/>
  <c r="F54" i="28"/>
  <c r="E54" i="28"/>
  <c r="O53" i="28"/>
  <c r="N53" i="28"/>
  <c r="K53" i="28"/>
  <c r="L53" i="28" s="1"/>
  <c r="I53" i="28"/>
  <c r="H53" i="28"/>
  <c r="F53" i="28"/>
  <c r="E53" i="28"/>
  <c r="N52" i="28"/>
  <c r="O52" i="28" s="1"/>
  <c r="K52" i="28"/>
  <c r="L52" i="28" s="1"/>
  <c r="I52" i="28"/>
  <c r="H52" i="28"/>
  <c r="F52" i="28"/>
  <c r="E52" i="28"/>
  <c r="O51" i="28"/>
  <c r="N51" i="28"/>
  <c r="K51" i="28"/>
  <c r="L51" i="28" s="1"/>
  <c r="I51" i="28"/>
  <c r="H51" i="28"/>
  <c r="F51" i="28"/>
  <c r="E51" i="28"/>
  <c r="N50" i="28"/>
  <c r="O50" i="28" s="1"/>
  <c r="K50" i="28"/>
  <c r="L50" i="28" s="1"/>
  <c r="I50" i="28"/>
  <c r="H50" i="28"/>
  <c r="F50" i="28"/>
  <c r="E50" i="28"/>
  <c r="O49" i="28"/>
  <c r="N49" i="28"/>
  <c r="K49" i="28"/>
  <c r="L49" i="28" s="1"/>
  <c r="I49" i="28"/>
  <c r="H49" i="28"/>
  <c r="F49" i="28"/>
  <c r="E49" i="28"/>
  <c r="N48" i="28"/>
  <c r="O48" i="28" s="1"/>
  <c r="K48" i="28"/>
  <c r="L48" i="28" s="1"/>
  <c r="I48" i="28"/>
  <c r="H48" i="28"/>
  <c r="F48" i="28"/>
  <c r="E48" i="28"/>
  <c r="O47" i="28"/>
  <c r="N47" i="28"/>
  <c r="K47" i="28"/>
  <c r="L47" i="28" s="1"/>
  <c r="I47" i="28"/>
  <c r="H47" i="28"/>
  <c r="F47" i="28"/>
  <c r="E47" i="28"/>
  <c r="N46" i="28"/>
  <c r="O46" i="28" s="1"/>
  <c r="K46" i="28"/>
  <c r="L46" i="28" s="1"/>
  <c r="I46" i="28"/>
  <c r="H46" i="28"/>
  <c r="F46" i="28"/>
  <c r="E46" i="28"/>
  <c r="O45" i="28"/>
  <c r="N45" i="28"/>
  <c r="K45" i="28"/>
  <c r="L45" i="28" s="1"/>
  <c r="I45" i="28"/>
  <c r="H45" i="28"/>
  <c r="F45" i="28"/>
  <c r="E45" i="28"/>
  <c r="N44" i="28"/>
  <c r="N64" i="28" s="1"/>
  <c r="K44" i="28"/>
  <c r="K64" i="28" s="1"/>
  <c r="I44" i="28"/>
  <c r="I64" i="28" s="1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O195" i="27"/>
  <c r="N195" i="27"/>
  <c r="L195" i="27"/>
  <c r="K195" i="27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L191" i="27"/>
  <c r="K191" i="27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N187" i="27"/>
  <c r="O187" i="27" s="1"/>
  <c r="L187" i="27"/>
  <c r="K187" i="27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K184" i="27"/>
  <c r="L184" i="27" s="1"/>
  <c r="H184" i="27"/>
  <c r="I184" i="27" s="1"/>
  <c r="F184" i="27"/>
  <c r="E184" i="27"/>
  <c r="O183" i="27"/>
  <c r="N183" i="27"/>
  <c r="L183" i="27"/>
  <c r="K183" i="27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F180" i="27"/>
  <c r="E180" i="27"/>
  <c r="O179" i="27"/>
  <c r="N179" i="27"/>
  <c r="L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I171" i="27"/>
  <c r="H171" i="27"/>
  <c r="F171" i="27"/>
  <c r="E171" i="27"/>
  <c r="N170" i="27"/>
  <c r="O170" i="27" s="1"/>
  <c r="L170" i="27"/>
  <c r="K170" i="27"/>
  <c r="I170" i="27"/>
  <c r="H170" i="27"/>
  <c r="F170" i="27"/>
  <c r="E170" i="27"/>
  <c r="N169" i="27"/>
  <c r="O169" i="27" s="1"/>
  <c r="L169" i="27"/>
  <c r="K169" i="27"/>
  <c r="I169" i="27"/>
  <c r="H169" i="27"/>
  <c r="F169" i="27"/>
  <c r="E169" i="27"/>
  <c r="N168" i="27"/>
  <c r="O168" i="27" s="1"/>
  <c r="L168" i="27"/>
  <c r="K168" i="27"/>
  <c r="I168" i="27"/>
  <c r="H168" i="27"/>
  <c r="F168" i="27"/>
  <c r="E168" i="27"/>
  <c r="N167" i="27"/>
  <c r="O167" i="27" s="1"/>
  <c r="L167" i="27"/>
  <c r="K167" i="27"/>
  <c r="I167" i="27"/>
  <c r="H167" i="27"/>
  <c r="F167" i="27"/>
  <c r="E167" i="27"/>
  <c r="N166" i="27"/>
  <c r="O166" i="27" s="1"/>
  <c r="L166" i="27"/>
  <c r="K166" i="27"/>
  <c r="I166" i="27"/>
  <c r="H166" i="27"/>
  <c r="F166" i="27"/>
  <c r="E166" i="27"/>
  <c r="N165" i="27"/>
  <c r="O165" i="27" s="1"/>
  <c r="L165" i="27"/>
  <c r="K165" i="27"/>
  <c r="I165" i="27"/>
  <c r="H165" i="27"/>
  <c r="F165" i="27"/>
  <c r="E165" i="27"/>
  <c r="N164" i="27"/>
  <c r="O164" i="27" s="1"/>
  <c r="L164" i="27"/>
  <c r="K164" i="27"/>
  <c r="I164" i="27"/>
  <c r="H164" i="27"/>
  <c r="F164" i="27"/>
  <c r="E164" i="27"/>
  <c r="N163" i="27"/>
  <c r="O163" i="27" s="1"/>
  <c r="L163" i="27"/>
  <c r="K163" i="27"/>
  <c r="I163" i="27"/>
  <c r="H163" i="27"/>
  <c r="F163" i="27"/>
  <c r="E163" i="27"/>
  <c r="N162" i="27"/>
  <c r="O162" i="27" s="1"/>
  <c r="L162" i="27"/>
  <c r="K162" i="27"/>
  <c r="I162" i="27"/>
  <c r="H162" i="27"/>
  <c r="F162" i="27"/>
  <c r="E162" i="27"/>
  <c r="N161" i="27"/>
  <c r="O161" i="27" s="1"/>
  <c r="L161" i="27"/>
  <c r="K161" i="27"/>
  <c r="I161" i="27"/>
  <c r="H161" i="27"/>
  <c r="F161" i="27"/>
  <c r="E161" i="27"/>
  <c r="N160" i="27"/>
  <c r="O160" i="27" s="1"/>
  <c r="L160" i="27"/>
  <c r="K160" i="27"/>
  <c r="I160" i="27"/>
  <c r="H160" i="27"/>
  <c r="F160" i="27"/>
  <c r="E160" i="27"/>
  <c r="N159" i="27"/>
  <c r="O159" i="27" s="1"/>
  <c r="L159" i="27"/>
  <c r="K159" i="27"/>
  <c r="I159" i="27"/>
  <c r="H159" i="27"/>
  <c r="F159" i="27"/>
  <c r="E159" i="27"/>
  <c r="N158" i="27"/>
  <c r="O158" i="27" s="1"/>
  <c r="L158" i="27"/>
  <c r="K158" i="27"/>
  <c r="I158" i="27"/>
  <c r="H158" i="27"/>
  <c r="F158" i="27"/>
  <c r="E158" i="27"/>
  <c r="N157" i="27"/>
  <c r="O157" i="27" s="1"/>
  <c r="L157" i="27"/>
  <c r="K157" i="27"/>
  <c r="I157" i="27"/>
  <c r="H157" i="27"/>
  <c r="F157" i="27"/>
  <c r="E157" i="27"/>
  <c r="N156" i="27"/>
  <c r="O156" i="27" s="1"/>
  <c r="L156" i="27"/>
  <c r="K156" i="27"/>
  <c r="I156" i="27"/>
  <c r="H156" i="27"/>
  <c r="F156" i="27"/>
  <c r="E156" i="27"/>
  <c r="N155" i="27"/>
  <c r="O155" i="27" s="1"/>
  <c r="L155" i="27"/>
  <c r="K155" i="27"/>
  <c r="I155" i="27"/>
  <c r="H155" i="27"/>
  <c r="F155" i="27"/>
  <c r="E155" i="27"/>
  <c r="N154" i="27"/>
  <c r="O154" i="27" s="1"/>
  <c r="L154" i="27"/>
  <c r="K154" i="27"/>
  <c r="I154" i="27"/>
  <c r="H154" i="27"/>
  <c r="F154" i="27"/>
  <c r="E154" i="27"/>
  <c r="N153" i="27"/>
  <c r="O153" i="27" s="1"/>
  <c r="L153" i="27"/>
  <c r="K153" i="27"/>
  <c r="I153" i="27"/>
  <c r="H153" i="27"/>
  <c r="F153" i="27"/>
  <c r="E153" i="27"/>
  <c r="N152" i="27"/>
  <c r="N172" i="27" s="1"/>
  <c r="L152" i="27"/>
  <c r="L172" i="27" s="1"/>
  <c r="K152" i="27"/>
  <c r="K172" i="27" s="1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E117" i="27"/>
  <c r="F117" i="27" s="1"/>
  <c r="N116" i="27"/>
  <c r="O116" i="27" s="1"/>
  <c r="K116" i="27"/>
  <c r="L116" i="27" s="1"/>
  <c r="H116" i="27"/>
  <c r="I116" i="27" s="1"/>
  <c r="E116" i="27"/>
  <c r="F116" i="27" s="1"/>
  <c r="N115" i="27"/>
  <c r="O115" i="27" s="1"/>
  <c r="K115" i="27"/>
  <c r="L115" i="27" s="1"/>
  <c r="I115" i="27"/>
  <c r="H115" i="27"/>
  <c r="E115" i="27"/>
  <c r="F115" i="27" s="1"/>
  <c r="N114" i="27"/>
  <c r="O114" i="27" s="1"/>
  <c r="L114" i="27"/>
  <c r="K114" i="27"/>
  <c r="H114" i="27"/>
  <c r="I114" i="27" s="1"/>
  <c r="E114" i="27"/>
  <c r="F114" i="27" s="1"/>
  <c r="N113" i="27"/>
  <c r="O113" i="27" s="1"/>
  <c r="L113" i="27"/>
  <c r="K113" i="27"/>
  <c r="I113" i="27"/>
  <c r="H113" i="27"/>
  <c r="E113" i="27"/>
  <c r="F113" i="27" s="1"/>
  <c r="N112" i="27"/>
  <c r="O112" i="27" s="1"/>
  <c r="K112" i="27"/>
  <c r="L112" i="27" s="1"/>
  <c r="H112" i="27"/>
  <c r="I112" i="27" s="1"/>
  <c r="E112" i="27"/>
  <c r="F112" i="27" s="1"/>
  <c r="N111" i="27"/>
  <c r="O111" i="27" s="1"/>
  <c r="K111" i="27"/>
  <c r="L111" i="27" s="1"/>
  <c r="I111" i="27"/>
  <c r="H111" i="27"/>
  <c r="E111" i="27"/>
  <c r="F111" i="27" s="1"/>
  <c r="N110" i="27"/>
  <c r="O110" i="27" s="1"/>
  <c r="L110" i="27"/>
  <c r="K110" i="27"/>
  <c r="H110" i="27"/>
  <c r="I110" i="27" s="1"/>
  <c r="E110" i="27"/>
  <c r="F110" i="27" s="1"/>
  <c r="N109" i="27"/>
  <c r="O109" i="27" s="1"/>
  <c r="L109" i="27"/>
  <c r="K109" i="27"/>
  <c r="I109" i="27"/>
  <c r="H109" i="27"/>
  <c r="E109" i="27"/>
  <c r="F109" i="27" s="1"/>
  <c r="N108" i="27"/>
  <c r="O108" i="27" s="1"/>
  <c r="K108" i="27"/>
  <c r="L108" i="27" s="1"/>
  <c r="H108" i="27"/>
  <c r="I108" i="27" s="1"/>
  <c r="E108" i="27"/>
  <c r="F108" i="27" s="1"/>
  <c r="N107" i="27"/>
  <c r="O107" i="27" s="1"/>
  <c r="K107" i="27"/>
  <c r="L107" i="27" s="1"/>
  <c r="I107" i="27"/>
  <c r="H107" i="27"/>
  <c r="E107" i="27"/>
  <c r="F107" i="27" s="1"/>
  <c r="N106" i="27"/>
  <c r="O106" i="27" s="1"/>
  <c r="L106" i="27"/>
  <c r="K106" i="27"/>
  <c r="H106" i="27"/>
  <c r="I106" i="27" s="1"/>
  <c r="E106" i="27"/>
  <c r="F106" i="27" s="1"/>
  <c r="N105" i="27"/>
  <c r="O105" i="27" s="1"/>
  <c r="L105" i="27"/>
  <c r="K105" i="27"/>
  <c r="I105" i="27"/>
  <c r="H105" i="27"/>
  <c r="E105" i="27"/>
  <c r="F105" i="27" s="1"/>
  <c r="N104" i="27"/>
  <c r="O104" i="27" s="1"/>
  <c r="K104" i="27"/>
  <c r="L104" i="27" s="1"/>
  <c r="H104" i="27"/>
  <c r="I104" i="27" s="1"/>
  <c r="E104" i="27"/>
  <c r="F104" i="27" s="1"/>
  <c r="N103" i="27"/>
  <c r="O103" i="27" s="1"/>
  <c r="K103" i="27"/>
  <c r="L103" i="27" s="1"/>
  <c r="I103" i="27"/>
  <c r="H103" i="27"/>
  <c r="E103" i="27"/>
  <c r="F103" i="27" s="1"/>
  <c r="N102" i="27"/>
  <c r="O102" i="27" s="1"/>
  <c r="L102" i="27"/>
  <c r="K102" i="27"/>
  <c r="H102" i="27"/>
  <c r="I102" i="27" s="1"/>
  <c r="E102" i="27"/>
  <c r="F102" i="27" s="1"/>
  <c r="N101" i="27"/>
  <c r="O101" i="27" s="1"/>
  <c r="L101" i="27"/>
  <c r="K101" i="27"/>
  <c r="I101" i="27"/>
  <c r="H101" i="27"/>
  <c r="E101" i="27"/>
  <c r="F101" i="27" s="1"/>
  <c r="N100" i="27"/>
  <c r="O100" i="27" s="1"/>
  <c r="K100" i="27"/>
  <c r="L100" i="27" s="1"/>
  <c r="H100" i="27"/>
  <c r="I100" i="27" s="1"/>
  <c r="E100" i="27"/>
  <c r="F100" i="27" s="1"/>
  <c r="N99" i="27"/>
  <c r="O99" i="27" s="1"/>
  <c r="K99" i="27"/>
  <c r="L99" i="27" s="1"/>
  <c r="I99" i="27"/>
  <c r="H99" i="27"/>
  <c r="E99" i="27"/>
  <c r="F99" i="27" s="1"/>
  <c r="N98" i="27"/>
  <c r="L98" i="27"/>
  <c r="K98" i="27"/>
  <c r="H98" i="27"/>
  <c r="H118" i="27" s="1"/>
  <c r="E98" i="27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F90" i="27"/>
  <c r="E90" i="27"/>
  <c r="N89" i="27"/>
  <c r="O89" i="27" s="1"/>
  <c r="K89" i="27"/>
  <c r="L89" i="27" s="1"/>
  <c r="H89" i="27"/>
  <c r="I89" i="27" s="1"/>
  <c r="F89" i="27"/>
  <c r="E89" i="27"/>
  <c r="N88" i="27"/>
  <c r="O88" i="27" s="1"/>
  <c r="L88" i="27"/>
  <c r="K88" i="27"/>
  <c r="H88" i="27"/>
  <c r="I88" i="27" s="1"/>
  <c r="F88" i="27"/>
  <c r="E88" i="27"/>
  <c r="N87" i="27"/>
  <c r="O87" i="27" s="1"/>
  <c r="K87" i="27"/>
  <c r="L87" i="27" s="1"/>
  <c r="H87" i="27"/>
  <c r="I87" i="27" s="1"/>
  <c r="F87" i="27"/>
  <c r="E87" i="27"/>
  <c r="N86" i="27"/>
  <c r="O86" i="27" s="1"/>
  <c r="K86" i="27"/>
  <c r="L86" i="27" s="1"/>
  <c r="H86" i="27"/>
  <c r="I86" i="27" s="1"/>
  <c r="F86" i="27"/>
  <c r="E86" i="27"/>
  <c r="N85" i="27"/>
  <c r="O85" i="27" s="1"/>
  <c r="K85" i="27"/>
  <c r="L85" i="27" s="1"/>
  <c r="H85" i="27"/>
  <c r="I85" i="27" s="1"/>
  <c r="F85" i="27"/>
  <c r="E85" i="27"/>
  <c r="N84" i="27"/>
  <c r="O84" i="27" s="1"/>
  <c r="L84" i="27"/>
  <c r="K84" i="27"/>
  <c r="H84" i="27"/>
  <c r="I84" i="27" s="1"/>
  <c r="F84" i="27"/>
  <c r="E84" i="27"/>
  <c r="N83" i="27"/>
  <c r="O83" i="27" s="1"/>
  <c r="K83" i="27"/>
  <c r="L83" i="27" s="1"/>
  <c r="H83" i="27"/>
  <c r="I83" i="27" s="1"/>
  <c r="F83" i="27"/>
  <c r="E83" i="27"/>
  <c r="O82" i="27"/>
  <c r="N82" i="27"/>
  <c r="K82" i="27"/>
  <c r="L82" i="27" s="1"/>
  <c r="H82" i="27"/>
  <c r="I82" i="27" s="1"/>
  <c r="F82" i="27"/>
  <c r="E82" i="27"/>
  <c r="O81" i="27"/>
  <c r="N81" i="27"/>
  <c r="K81" i="27"/>
  <c r="L81" i="27" s="1"/>
  <c r="H81" i="27"/>
  <c r="I81" i="27" s="1"/>
  <c r="F81" i="27"/>
  <c r="E81" i="27"/>
  <c r="N80" i="27"/>
  <c r="O80" i="27" s="1"/>
  <c r="L80" i="27"/>
  <c r="K80" i="27"/>
  <c r="H80" i="27"/>
  <c r="I80" i="27" s="1"/>
  <c r="F80" i="27"/>
  <c r="E80" i="27"/>
  <c r="N79" i="27"/>
  <c r="O79" i="27" s="1"/>
  <c r="K79" i="27"/>
  <c r="L79" i="27" s="1"/>
  <c r="H79" i="27"/>
  <c r="I79" i="27" s="1"/>
  <c r="F79" i="27"/>
  <c r="E79" i="27"/>
  <c r="N78" i="27"/>
  <c r="O78" i="27" s="1"/>
  <c r="K78" i="27"/>
  <c r="L78" i="27" s="1"/>
  <c r="H78" i="27"/>
  <c r="I78" i="27" s="1"/>
  <c r="F78" i="27"/>
  <c r="E78" i="27"/>
  <c r="N77" i="27"/>
  <c r="O77" i="27" s="1"/>
  <c r="K77" i="27"/>
  <c r="L77" i="27" s="1"/>
  <c r="H77" i="27"/>
  <c r="I77" i="27" s="1"/>
  <c r="F77" i="27"/>
  <c r="E77" i="27"/>
  <c r="N76" i="27"/>
  <c r="O76" i="27" s="1"/>
  <c r="L76" i="27"/>
  <c r="K76" i="27"/>
  <c r="H76" i="27"/>
  <c r="I76" i="27" s="1"/>
  <c r="F76" i="27"/>
  <c r="E76" i="27"/>
  <c r="N75" i="27"/>
  <c r="O75" i="27" s="1"/>
  <c r="K75" i="27"/>
  <c r="L75" i="27" s="1"/>
  <c r="H75" i="27"/>
  <c r="I75" i="27" s="1"/>
  <c r="F75" i="27"/>
  <c r="E75" i="27"/>
  <c r="O74" i="27"/>
  <c r="N74" i="27"/>
  <c r="K74" i="27"/>
  <c r="L74" i="27" s="1"/>
  <c r="H74" i="27"/>
  <c r="I74" i="27" s="1"/>
  <c r="F74" i="27"/>
  <c r="E74" i="27"/>
  <c r="O73" i="27"/>
  <c r="N73" i="27"/>
  <c r="K73" i="27"/>
  <c r="L73" i="27" s="1"/>
  <c r="H73" i="27"/>
  <c r="I73" i="27" s="1"/>
  <c r="F73" i="27"/>
  <c r="E73" i="27"/>
  <c r="O72" i="27"/>
  <c r="N72" i="27"/>
  <c r="L72" i="27"/>
  <c r="K72" i="27"/>
  <c r="H72" i="27"/>
  <c r="I72" i="27" s="1"/>
  <c r="F72" i="27"/>
  <c r="E72" i="27"/>
  <c r="N71" i="27"/>
  <c r="N91" i="27" s="1"/>
  <c r="K71" i="27"/>
  <c r="K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K63" i="27"/>
  <c r="L63" i="27" s="1"/>
  <c r="H63" i="27"/>
  <c r="I63" i="27" s="1"/>
  <c r="E63" i="27"/>
  <c r="F63" i="27" s="1"/>
  <c r="N62" i="27"/>
  <c r="O62" i="27" s="1"/>
  <c r="L62" i="27"/>
  <c r="K62" i="27"/>
  <c r="H62" i="27"/>
  <c r="I62" i="27" s="1"/>
  <c r="E62" i="27"/>
  <c r="F62" i="27" s="1"/>
  <c r="N61" i="27"/>
  <c r="O61" i="27" s="1"/>
  <c r="K61" i="27"/>
  <c r="L61" i="27" s="1"/>
  <c r="I61" i="27"/>
  <c r="H61" i="27"/>
  <c r="F61" i="27"/>
  <c r="E61" i="27"/>
  <c r="N60" i="27"/>
  <c r="O60" i="27" s="1"/>
  <c r="K60" i="27"/>
  <c r="L60" i="27" s="1"/>
  <c r="I60" i="27"/>
  <c r="H60" i="27"/>
  <c r="F60" i="27"/>
  <c r="E60" i="27"/>
  <c r="O59" i="27"/>
  <c r="N59" i="27"/>
  <c r="K59" i="27"/>
  <c r="L59" i="27" s="1"/>
  <c r="I59" i="27"/>
  <c r="H59" i="27"/>
  <c r="F59" i="27"/>
  <c r="E59" i="27"/>
  <c r="N58" i="27"/>
  <c r="O58" i="27" s="1"/>
  <c r="K58" i="27"/>
  <c r="L58" i="27" s="1"/>
  <c r="I58" i="27"/>
  <c r="H58" i="27"/>
  <c r="F58" i="27"/>
  <c r="E58" i="27"/>
  <c r="N57" i="27"/>
  <c r="O57" i="27" s="1"/>
  <c r="K57" i="27"/>
  <c r="L57" i="27" s="1"/>
  <c r="I57" i="27"/>
  <c r="H57" i="27"/>
  <c r="E57" i="27"/>
  <c r="F57" i="27" s="1"/>
  <c r="N56" i="27"/>
  <c r="O56" i="27" s="1"/>
  <c r="K56" i="27"/>
  <c r="L56" i="27" s="1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N54" i="27"/>
  <c r="O54" i="27" s="1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E53" i="27"/>
  <c r="F53" i="27" s="1"/>
  <c r="N52" i="27"/>
  <c r="O52" i="27" s="1"/>
  <c r="L52" i="27"/>
  <c r="K52" i="27"/>
  <c r="H52" i="27"/>
  <c r="I52" i="27" s="1"/>
  <c r="E52" i="27"/>
  <c r="F52" i="27" s="1"/>
  <c r="N51" i="27"/>
  <c r="O51" i="27" s="1"/>
  <c r="K51" i="27"/>
  <c r="L51" i="27" s="1"/>
  <c r="I51" i="27"/>
  <c r="H51" i="27"/>
  <c r="E51" i="27"/>
  <c r="F51" i="27" s="1"/>
  <c r="O50" i="27"/>
  <c r="N50" i="27"/>
  <c r="K50" i="27"/>
  <c r="L50" i="27" s="1"/>
  <c r="I50" i="27"/>
  <c r="H50" i="27"/>
  <c r="F50" i="27"/>
  <c r="E50" i="27"/>
  <c r="N49" i="27"/>
  <c r="O49" i="27" s="1"/>
  <c r="K49" i="27"/>
  <c r="L49" i="27" s="1"/>
  <c r="I49" i="27"/>
  <c r="H49" i="27"/>
  <c r="E49" i="27"/>
  <c r="F49" i="27" s="1"/>
  <c r="O48" i="27"/>
  <c r="N48" i="27"/>
  <c r="L48" i="27"/>
  <c r="K48" i="27"/>
  <c r="H48" i="27"/>
  <c r="I48" i="27" s="1"/>
  <c r="F48" i="27"/>
  <c r="E48" i="27"/>
  <c r="N47" i="27"/>
  <c r="O47" i="27" s="1"/>
  <c r="K47" i="27"/>
  <c r="L47" i="27" s="1"/>
  <c r="H47" i="27"/>
  <c r="I47" i="27" s="1"/>
  <c r="F47" i="27"/>
  <c r="E47" i="27"/>
  <c r="N46" i="27"/>
  <c r="O46" i="27" s="1"/>
  <c r="K46" i="27"/>
  <c r="L46" i="27" s="1"/>
  <c r="H46" i="27"/>
  <c r="I46" i="27" s="1"/>
  <c r="F46" i="27"/>
  <c r="E46" i="27"/>
  <c r="O45" i="27"/>
  <c r="N45" i="27"/>
  <c r="K45" i="27"/>
  <c r="L45" i="27" s="1"/>
  <c r="H45" i="27"/>
  <c r="I45" i="27" s="1"/>
  <c r="F45" i="27"/>
  <c r="E45" i="27"/>
  <c r="N44" i="27"/>
  <c r="L44" i="27"/>
  <c r="K44" i="27"/>
  <c r="H44" i="27"/>
  <c r="H64" i="27" s="1"/>
  <c r="F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I198" i="26"/>
  <c r="H198" i="26"/>
  <c r="F198" i="26"/>
  <c r="E198" i="26"/>
  <c r="N197" i="26"/>
  <c r="O197" i="26" s="1"/>
  <c r="L197" i="26"/>
  <c r="K197" i="26"/>
  <c r="H197" i="26"/>
  <c r="I197" i="26" s="1"/>
  <c r="F197" i="26"/>
  <c r="E197" i="26"/>
  <c r="O196" i="26"/>
  <c r="N196" i="26"/>
  <c r="K196" i="26"/>
  <c r="L196" i="26" s="1"/>
  <c r="I196" i="26"/>
  <c r="H196" i="26"/>
  <c r="F196" i="26"/>
  <c r="E196" i="26"/>
  <c r="N195" i="26"/>
  <c r="O195" i="26" s="1"/>
  <c r="K195" i="26"/>
  <c r="L195" i="26" s="1"/>
  <c r="I195" i="26"/>
  <c r="H195" i="26"/>
  <c r="F195" i="26"/>
  <c r="E195" i="26"/>
  <c r="O194" i="26"/>
  <c r="N194" i="26"/>
  <c r="K194" i="26"/>
  <c r="L194" i="26" s="1"/>
  <c r="I194" i="26"/>
  <c r="H194" i="26"/>
  <c r="F194" i="26"/>
  <c r="E194" i="26"/>
  <c r="N193" i="26"/>
  <c r="O193" i="26" s="1"/>
  <c r="K193" i="26"/>
  <c r="L193" i="26" s="1"/>
  <c r="I193" i="26"/>
  <c r="H193" i="26"/>
  <c r="F193" i="26"/>
  <c r="E193" i="26"/>
  <c r="O192" i="26"/>
  <c r="N192" i="26"/>
  <c r="K192" i="26"/>
  <c r="L192" i="26" s="1"/>
  <c r="H192" i="26"/>
  <c r="I192" i="26" s="1"/>
  <c r="F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K190" i="26"/>
  <c r="L190" i="26" s="1"/>
  <c r="H190" i="26"/>
  <c r="I190" i="26" s="1"/>
  <c r="F190" i="26"/>
  <c r="E190" i="26"/>
  <c r="O189" i="26"/>
  <c r="N189" i="26"/>
  <c r="L189" i="26"/>
  <c r="K189" i="26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L187" i="26"/>
  <c r="K187" i="26"/>
  <c r="H187" i="26"/>
  <c r="I187" i="26" s="1"/>
  <c r="F187" i="26"/>
  <c r="E187" i="26"/>
  <c r="O186" i="26"/>
  <c r="N186" i="26"/>
  <c r="K186" i="26"/>
  <c r="L186" i="26" s="1"/>
  <c r="H186" i="26"/>
  <c r="I186" i="26" s="1"/>
  <c r="F186" i="26"/>
  <c r="E186" i="26"/>
  <c r="O185" i="26"/>
  <c r="N185" i="26"/>
  <c r="L185" i="26"/>
  <c r="K185" i="26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O182" i="26"/>
  <c r="N182" i="26"/>
  <c r="K182" i="26"/>
  <c r="L182" i="26" s="1"/>
  <c r="H182" i="26"/>
  <c r="I182" i="26" s="1"/>
  <c r="F182" i="26"/>
  <c r="E182" i="26"/>
  <c r="O181" i="26"/>
  <c r="N181" i="26"/>
  <c r="L181" i="26"/>
  <c r="K181" i="26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N199" i="26" s="1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N170" i="26"/>
  <c r="O170" i="26" s="1"/>
  <c r="K170" i="26"/>
  <c r="L170" i="26" s="1"/>
  <c r="H170" i="26"/>
  <c r="I170" i="26" s="1"/>
  <c r="F170" i="26"/>
  <c r="E170" i="26"/>
  <c r="O169" i="26"/>
  <c r="N169" i="26"/>
  <c r="L169" i="26"/>
  <c r="K169" i="26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N167" i="26"/>
  <c r="O167" i="26" s="1"/>
  <c r="K167" i="26"/>
  <c r="L167" i="26" s="1"/>
  <c r="H167" i="26"/>
  <c r="I167" i="26" s="1"/>
  <c r="F167" i="26"/>
  <c r="E167" i="26"/>
  <c r="N166" i="26"/>
  <c r="O166" i="26" s="1"/>
  <c r="L166" i="26"/>
  <c r="K166" i="26"/>
  <c r="H166" i="26"/>
  <c r="I166" i="26" s="1"/>
  <c r="F166" i="26"/>
  <c r="E166" i="26"/>
  <c r="N165" i="26"/>
  <c r="O165" i="26" s="1"/>
  <c r="L165" i="26"/>
  <c r="K165" i="26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N161" i="26"/>
  <c r="O161" i="26" s="1"/>
  <c r="L161" i="26"/>
  <c r="K161" i="26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L157" i="26"/>
  <c r="K157" i="26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N153" i="26"/>
  <c r="O153" i="26" s="1"/>
  <c r="L153" i="26"/>
  <c r="K153" i="26"/>
  <c r="H153" i="26"/>
  <c r="I153" i="26" s="1"/>
  <c r="F153" i="26"/>
  <c r="E153" i="26"/>
  <c r="O152" i="26"/>
  <c r="N152" i="26"/>
  <c r="K152" i="26"/>
  <c r="K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I144" i="26"/>
  <c r="H144" i="26"/>
  <c r="F144" i="26"/>
  <c r="E144" i="26"/>
  <c r="N143" i="26"/>
  <c r="O143" i="26" s="1"/>
  <c r="K143" i="26"/>
  <c r="L143" i="26" s="1"/>
  <c r="I143" i="26"/>
  <c r="H143" i="26"/>
  <c r="F143" i="26"/>
  <c r="E143" i="26"/>
  <c r="O142" i="26"/>
  <c r="N142" i="26"/>
  <c r="K142" i="26"/>
  <c r="L142" i="26" s="1"/>
  <c r="I142" i="26"/>
  <c r="H142" i="26"/>
  <c r="F142" i="26"/>
  <c r="E142" i="26"/>
  <c r="N141" i="26"/>
  <c r="O141" i="26" s="1"/>
  <c r="K141" i="26"/>
  <c r="L141" i="26" s="1"/>
  <c r="I141" i="26"/>
  <c r="H141" i="26"/>
  <c r="F141" i="26"/>
  <c r="E141" i="26"/>
  <c r="O140" i="26"/>
  <c r="N140" i="26"/>
  <c r="K140" i="26"/>
  <c r="L140" i="26" s="1"/>
  <c r="I140" i="26"/>
  <c r="H140" i="26"/>
  <c r="F140" i="26"/>
  <c r="E140" i="26"/>
  <c r="N139" i="26"/>
  <c r="O139" i="26" s="1"/>
  <c r="K139" i="26"/>
  <c r="L139" i="26" s="1"/>
  <c r="I139" i="26"/>
  <c r="H139" i="26"/>
  <c r="F139" i="26"/>
  <c r="E139" i="26"/>
  <c r="O138" i="26"/>
  <c r="N138" i="26"/>
  <c r="K138" i="26"/>
  <c r="L138" i="26" s="1"/>
  <c r="I138" i="26"/>
  <c r="H138" i="26"/>
  <c r="F138" i="26"/>
  <c r="E138" i="26"/>
  <c r="N137" i="26"/>
  <c r="O137" i="26" s="1"/>
  <c r="K137" i="26"/>
  <c r="L137" i="26" s="1"/>
  <c r="I137" i="26"/>
  <c r="H137" i="26"/>
  <c r="F137" i="26"/>
  <c r="E137" i="26"/>
  <c r="O136" i="26"/>
  <c r="N136" i="26"/>
  <c r="K136" i="26"/>
  <c r="L136" i="26" s="1"/>
  <c r="I136" i="26"/>
  <c r="H136" i="26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N133" i="26"/>
  <c r="O133" i="26" s="1"/>
  <c r="K133" i="26"/>
  <c r="L133" i="26" s="1"/>
  <c r="I133" i="26"/>
  <c r="H133" i="26"/>
  <c r="F133" i="26"/>
  <c r="E133" i="26"/>
  <c r="O132" i="26"/>
  <c r="N132" i="26"/>
  <c r="K132" i="26"/>
  <c r="L132" i="26" s="1"/>
  <c r="I132" i="26"/>
  <c r="H132" i="26"/>
  <c r="F132" i="26"/>
  <c r="E132" i="26"/>
  <c r="N131" i="26"/>
  <c r="O131" i="26" s="1"/>
  <c r="K131" i="26"/>
  <c r="L131" i="26" s="1"/>
  <c r="I131" i="26"/>
  <c r="H131" i="26"/>
  <c r="F131" i="26"/>
  <c r="E131" i="26"/>
  <c r="O130" i="26"/>
  <c r="N130" i="26"/>
  <c r="K130" i="26"/>
  <c r="L130" i="26" s="1"/>
  <c r="I130" i="26"/>
  <c r="H130" i="26"/>
  <c r="F130" i="26"/>
  <c r="E130" i="26"/>
  <c r="N129" i="26"/>
  <c r="O129" i="26" s="1"/>
  <c r="K129" i="26"/>
  <c r="L129" i="26" s="1"/>
  <c r="I129" i="26"/>
  <c r="H129" i="26"/>
  <c r="F129" i="26"/>
  <c r="E129" i="26"/>
  <c r="N128" i="26"/>
  <c r="O128" i="26" s="1"/>
  <c r="K128" i="26"/>
  <c r="L128" i="26" s="1"/>
  <c r="I128" i="26"/>
  <c r="H128" i="26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N125" i="26"/>
  <c r="N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O115" i="26"/>
  <c r="N115" i="26"/>
  <c r="L115" i="26"/>
  <c r="K115" i="26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N111" i="26"/>
  <c r="O111" i="26" s="1"/>
  <c r="L111" i="26"/>
  <c r="K111" i="26"/>
  <c r="H111" i="26"/>
  <c r="I111" i="26" s="1"/>
  <c r="F111" i="26"/>
  <c r="E111" i="26"/>
  <c r="O110" i="26"/>
  <c r="N110" i="26"/>
  <c r="K110" i="26"/>
  <c r="L110" i="26" s="1"/>
  <c r="H110" i="26"/>
  <c r="I110" i="26" s="1"/>
  <c r="F110" i="26"/>
  <c r="E110" i="26"/>
  <c r="O109" i="26"/>
  <c r="N109" i="26"/>
  <c r="K109" i="26"/>
  <c r="L109" i="26" s="1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O107" i="26"/>
  <c r="N107" i="26"/>
  <c r="L107" i="26"/>
  <c r="K107" i="26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L103" i="26"/>
  <c r="K103" i="26"/>
  <c r="H103" i="26"/>
  <c r="I103" i="26" s="1"/>
  <c r="F103" i="26"/>
  <c r="E103" i="26"/>
  <c r="O102" i="26"/>
  <c r="N102" i="26"/>
  <c r="K102" i="26"/>
  <c r="L102" i="26" s="1"/>
  <c r="H102" i="26"/>
  <c r="I102" i="26" s="1"/>
  <c r="F102" i="26"/>
  <c r="E102" i="26"/>
  <c r="O101" i="26"/>
  <c r="N101" i="26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O99" i="26"/>
  <c r="N99" i="26"/>
  <c r="L99" i="26"/>
  <c r="K99" i="26"/>
  <c r="H99" i="26"/>
  <c r="I99" i="26" s="1"/>
  <c r="F99" i="26"/>
  <c r="E99" i="26"/>
  <c r="N98" i="26"/>
  <c r="K98" i="26"/>
  <c r="K118" i="26" s="1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N88" i="26"/>
  <c r="O88" i="26" s="1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L84" i="26"/>
  <c r="K84" i="26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N82" i="26"/>
  <c r="O82" i="26" s="1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N80" i="26"/>
  <c r="O80" i="26" s="1"/>
  <c r="L80" i="26"/>
  <c r="K80" i="26"/>
  <c r="H80" i="26"/>
  <c r="I80" i="26" s="1"/>
  <c r="F80" i="26"/>
  <c r="E80" i="26"/>
  <c r="O79" i="26"/>
  <c r="N79" i="26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O77" i="26"/>
  <c r="N77" i="26"/>
  <c r="L77" i="26"/>
  <c r="K77" i="26"/>
  <c r="H77" i="26"/>
  <c r="I77" i="26" s="1"/>
  <c r="F77" i="26"/>
  <c r="E77" i="26"/>
  <c r="N76" i="26"/>
  <c r="O76" i="26" s="1"/>
  <c r="L76" i="26"/>
  <c r="K76" i="26"/>
  <c r="H76" i="26"/>
  <c r="I76" i="26" s="1"/>
  <c r="F76" i="26"/>
  <c r="E76" i="26"/>
  <c r="N75" i="26"/>
  <c r="O75" i="26" s="1"/>
  <c r="K75" i="26"/>
  <c r="L75" i="26" s="1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N72" i="26"/>
  <c r="O72" i="26" s="1"/>
  <c r="L72" i="26"/>
  <c r="K72" i="26"/>
  <c r="H72" i="26"/>
  <c r="I72" i="26" s="1"/>
  <c r="F72" i="26"/>
  <c r="E72" i="26"/>
  <c r="O71" i="26"/>
  <c r="N71" i="26"/>
  <c r="K71" i="26"/>
  <c r="K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F63" i="26"/>
  <c r="E63" i="26"/>
  <c r="O62" i="26"/>
  <c r="N62" i="26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O60" i="26"/>
  <c r="N60" i="26"/>
  <c r="K60" i="26"/>
  <c r="L60" i="26" s="1"/>
  <c r="H60" i="26"/>
  <c r="I60" i="26" s="1"/>
  <c r="F60" i="26"/>
  <c r="E60" i="26"/>
  <c r="O59" i="26"/>
  <c r="N59" i="26"/>
  <c r="K59" i="26"/>
  <c r="L59" i="26" s="1"/>
  <c r="H59" i="26"/>
  <c r="I59" i="26" s="1"/>
  <c r="F59" i="26"/>
  <c r="E59" i="26"/>
  <c r="O58" i="26"/>
  <c r="N58" i="26"/>
  <c r="L58" i="26"/>
  <c r="K58" i="26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O53" i="26"/>
  <c r="N53" i="26"/>
  <c r="K53" i="26"/>
  <c r="L53" i="26" s="1"/>
  <c r="H53" i="26"/>
  <c r="I53" i="26" s="1"/>
  <c r="F53" i="26"/>
  <c r="E53" i="26"/>
  <c r="O52" i="26"/>
  <c r="N52" i="26"/>
  <c r="K52" i="26"/>
  <c r="L52" i="26" s="1"/>
  <c r="H52" i="26"/>
  <c r="I52" i="26" s="1"/>
  <c r="F52" i="26"/>
  <c r="E52" i="26"/>
  <c r="O51" i="26"/>
  <c r="N51" i="26"/>
  <c r="K51" i="26"/>
  <c r="L51" i="26" s="1"/>
  <c r="H51" i="26"/>
  <c r="I51" i="26" s="1"/>
  <c r="F51" i="26"/>
  <c r="E51" i="26"/>
  <c r="O50" i="26"/>
  <c r="N50" i="26"/>
  <c r="L50" i="26"/>
  <c r="K50" i="26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O45" i="26"/>
  <c r="N45" i="26"/>
  <c r="K45" i="26"/>
  <c r="L45" i="26" s="1"/>
  <c r="H45" i="26"/>
  <c r="I45" i="26" s="1"/>
  <c r="F45" i="26"/>
  <c r="E45" i="26"/>
  <c r="O44" i="26"/>
  <c r="N44" i="26"/>
  <c r="K44" i="26"/>
  <c r="K64" i="26" s="1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N197" i="25"/>
  <c r="O197" i="25" s="1"/>
  <c r="K197" i="25"/>
  <c r="L197" i="25" s="1"/>
  <c r="I197" i="25"/>
  <c r="H197" i="25"/>
  <c r="F197" i="25"/>
  <c r="E197" i="25"/>
  <c r="O196" i="25"/>
  <c r="N196" i="25"/>
  <c r="K196" i="25"/>
  <c r="L196" i="25" s="1"/>
  <c r="I196" i="25"/>
  <c r="H196" i="25"/>
  <c r="F196" i="25"/>
  <c r="E196" i="25"/>
  <c r="N195" i="25"/>
  <c r="O195" i="25" s="1"/>
  <c r="K195" i="25"/>
  <c r="L195" i="25" s="1"/>
  <c r="I195" i="25"/>
  <c r="H195" i="25"/>
  <c r="F195" i="25"/>
  <c r="E195" i="25"/>
  <c r="O194" i="25"/>
  <c r="N194" i="25"/>
  <c r="K194" i="25"/>
  <c r="L194" i="25" s="1"/>
  <c r="I194" i="25"/>
  <c r="H194" i="25"/>
  <c r="F194" i="25"/>
  <c r="E194" i="25"/>
  <c r="N193" i="25"/>
  <c r="O193" i="25" s="1"/>
  <c r="K193" i="25"/>
  <c r="L193" i="25" s="1"/>
  <c r="I193" i="25"/>
  <c r="H193" i="25"/>
  <c r="F193" i="25"/>
  <c r="E193" i="25"/>
  <c r="N192" i="25"/>
  <c r="O192" i="25" s="1"/>
  <c r="K192" i="25"/>
  <c r="L192" i="25" s="1"/>
  <c r="I192" i="25"/>
  <c r="H192" i="25"/>
  <c r="F192" i="25"/>
  <c r="E192" i="25"/>
  <c r="O191" i="25"/>
  <c r="N191" i="25"/>
  <c r="K191" i="25"/>
  <c r="L191" i="25" s="1"/>
  <c r="I191" i="25"/>
  <c r="H191" i="25"/>
  <c r="F191" i="25"/>
  <c r="E191" i="25"/>
  <c r="O190" i="25"/>
  <c r="N190" i="25"/>
  <c r="K190" i="25"/>
  <c r="L190" i="25" s="1"/>
  <c r="I190" i="25"/>
  <c r="H190" i="25"/>
  <c r="F190" i="25"/>
  <c r="E190" i="25"/>
  <c r="N189" i="25"/>
  <c r="O189" i="25" s="1"/>
  <c r="K189" i="25"/>
  <c r="L189" i="25" s="1"/>
  <c r="H189" i="25"/>
  <c r="I189" i="25" s="1"/>
  <c r="F189" i="25"/>
  <c r="E189" i="25"/>
  <c r="N188" i="25"/>
  <c r="O188" i="25" s="1"/>
  <c r="K188" i="25"/>
  <c r="L188" i="25" s="1"/>
  <c r="I188" i="25"/>
  <c r="H188" i="25"/>
  <c r="F188" i="25"/>
  <c r="E188" i="25"/>
  <c r="O187" i="25"/>
  <c r="N187" i="25"/>
  <c r="K187" i="25"/>
  <c r="L187" i="25" s="1"/>
  <c r="I187" i="25"/>
  <c r="H187" i="25"/>
  <c r="F187" i="25"/>
  <c r="E187" i="25"/>
  <c r="N186" i="25"/>
  <c r="O186" i="25" s="1"/>
  <c r="K186" i="25"/>
  <c r="L186" i="25" s="1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L184" i="25"/>
  <c r="K184" i="25"/>
  <c r="I184" i="25"/>
  <c r="H184" i="25"/>
  <c r="F184" i="25"/>
  <c r="E184" i="25"/>
  <c r="N183" i="25"/>
  <c r="O183" i="25" s="1"/>
  <c r="L183" i="25"/>
  <c r="K183" i="25"/>
  <c r="I183" i="25"/>
  <c r="H183" i="25"/>
  <c r="F183" i="25"/>
  <c r="E183" i="25"/>
  <c r="N182" i="25"/>
  <c r="O182" i="25" s="1"/>
  <c r="L182" i="25"/>
  <c r="K182" i="25"/>
  <c r="I182" i="25"/>
  <c r="H182" i="25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O179" i="25" s="1"/>
  <c r="L179" i="25"/>
  <c r="K179" i="25"/>
  <c r="I179" i="25"/>
  <c r="H179" i="25"/>
  <c r="H199" i="25" s="1"/>
  <c r="F179" i="25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N143" i="25"/>
  <c r="O143" i="25" s="1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O140" i="25"/>
  <c r="N140" i="25"/>
  <c r="L140" i="25"/>
  <c r="K140" i="25"/>
  <c r="H140" i="25"/>
  <c r="I140" i="25" s="1"/>
  <c r="F140" i="25"/>
  <c r="E140" i="25"/>
  <c r="O139" i="25"/>
  <c r="N139" i="25"/>
  <c r="K139" i="25"/>
  <c r="L139" i="25" s="1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O134" i="25"/>
  <c r="N134" i="25"/>
  <c r="K134" i="25"/>
  <c r="L134" i="25" s="1"/>
  <c r="H134" i="25"/>
  <c r="I134" i="25" s="1"/>
  <c r="F134" i="25"/>
  <c r="E134" i="25"/>
  <c r="N133" i="25"/>
  <c r="O133" i="25" s="1"/>
  <c r="L133" i="25"/>
  <c r="K133" i="25"/>
  <c r="H133" i="25"/>
  <c r="I133" i="25" s="1"/>
  <c r="F133" i="25"/>
  <c r="E133" i="25"/>
  <c r="N132" i="25"/>
  <c r="O132" i="25" s="1"/>
  <c r="L132" i="25"/>
  <c r="K132" i="25"/>
  <c r="H132" i="25"/>
  <c r="I132" i="25" s="1"/>
  <c r="F132" i="25"/>
  <c r="E132" i="25"/>
  <c r="O131" i="25"/>
  <c r="N131" i="25"/>
  <c r="K131" i="25"/>
  <c r="L131" i="25" s="1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O129" i="25"/>
  <c r="N129" i="25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K127" i="25"/>
  <c r="L127" i="25" s="1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N115" i="25"/>
  <c r="O115" i="25" s="1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N110" i="25"/>
  <c r="O110" i="25" s="1"/>
  <c r="L110" i="25"/>
  <c r="K110" i="25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O107" i="25"/>
  <c r="N107" i="25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O102" i="25"/>
  <c r="N102" i="25"/>
  <c r="L102" i="25"/>
  <c r="K102" i="25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N100" i="25"/>
  <c r="O100" i="25" s="1"/>
  <c r="K100" i="25"/>
  <c r="L100" i="25" s="1"/>
  <c r="H100" i="25"/>
  <c r="I100" i="25" s="1"/>
  <c r="F100" i="25"/>
  <c r="E100" i="25"/>
  <c r="O99" i="25"/>
  <c r="N99" i="25"/>
  <c r="K99" i="25"/>
  <c r="L99" i="25" s="1"/>
  <c r="H99" i="25"/>
  <c r="I99" i="25" s="1"/>
  <c r="F99" i="25"/>
  <c r="E99" i="25"/>
  <c r="N98" i="25"/>
  <c r="L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O90" i="25"/>
  <c r="N90" i="25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K87" i="25"/>
  <c r="L87" i="25" s="1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O85" i="25"/>
  <c r="N85" i="25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O80" i="25"/>
  <c r="N80" i="25"/>
  <c r="K80" i="25"/>
  <c r="L80" i="25" s="1"/>
  <c r="H80" i="25"/>
  <c r="I80" i="25" s="1"/>
  <c r="F80" i="25"/>
  <c r="E80" i="25"/>
  <c r="N79" i="25"/>
  <c r="O79" i="25" s="1"/>
  <c r="K79" i="25"/>
  <c r="L79" i="25" s="1"/>
  <c r="H79" i="25"/>
  <c r="I79" i="25" s="1"/>
  <c r="F79" i="25"/>
  <c r="E79" i="25"/>
  <c r="O78" i="25"/>
  <c r="N78" i="25"/>
  <c r="L78" i="25"/>
  <c r="K78" i="25"/>
  <c r="H78" i="25"/>
  <c r="I78" i="25" s="1"/>
  <c r="F78" i="25"/>
  <c r="E78" i="25"/>
  <c r="O77" i="25"/>
  <c r="N77" i="25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E63" i="25"/>
  <c r="F63" i="25" s="1"/>
  <c r="O62" i="25"/>
  <c r="N62" i="25"/>
  <c r="K62" i="25"/>
  <c r="L62" i="25" s="1"/>
  <c r="H62" i="25"/>
  <c r="I62" i="25" s="1"/>
  <c r="E62" i="25"/>
  <c r="F62" i="25" s="1"/>
  <c r="N61" i="25"/>
  <c r="O61" i="25" s="1"/>
  <c r="L61" i="25"/>
  <c r="K61" i="25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O57" i="25"/>
  <c r="N57" i="25"/>
  <c r="K57" i="25"/>
  <c r="L57" i="25" s="1"/>
  <c r="I57" i="25"/>
  <c r="H57" i="25"/>
  <c r="E57" i="25"/>
  <c r="F57" i="25" s="1"/>
  <c r="N56" i="25"/>
  <c r="O56" i="25" s="1"/>
  <c r="L56" i="25"/>
  <c r="K56" i="25"/>
  <c r="H56" i="25"/>
  <c r="I56" i="25" s="1"/>
  <c r="E56" i="25"/>
  <c r="F56" i="25" s="1"/>
  <c r="N55" i="25"/>
  <c r="O55" i="25" s="1"/>
  <c r="K55" i="25"/>
  <c r="L55" i="25" s="1"/>
  <c r="H55" i="25"/>
  <c r="I55" i="25" s="1"/>
  <c r="E55" i="25"/>
  <c r="F55" i="25" s="1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I53" i="25"/>
  <c r="H53" i="25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K48" i="25"/>
  <c r="L48" i="25" s="1"/>
  <c r="H48" i="25"/>
  <c r="I48" i="25" s="1"/>
  <c r="E48" i="25"/>
  <c r="F48" i="25" s="1"/>
  <c r="N47" i="25"/>
  <c r="O47" i="25" s="1"/>
  <c r="L47" i="25"/>
  <c r="K47" i="25"/>
  <c r="H47" i="25"/>
  <c r="I47" i="25" s="1"/>
  <c r="E47" i="25"/>
  <c r="F47" i="25" s="1"/>
  <c r="O46" i="25"/>
  <c r="N46" i="25"/>
  <c r="K46" i="25"/>
  <c r="L46" i="25" s="1"/>
  <c r="H46" i="25"/>
  <c r="I46" i="25" s="1"/>
  <c r="E46" i="25"/>
  <c r="F46" i="25" s="1"/>
  <c r="N45" i="25"/>
  <c r="O45" i="25" s="1"/>
  <c r="L45" i="25"/>
  <c r="K45" i="25"/>
  <c r="I45" i="25"/>
  <c r="H45" i="25"/>
  <c r="E45" i="25"/>
  <c r="F45" i="25" s="1"/>
  <c r="N44" i="25"/>
  <c r="K44" i="25"/>
  <c r="K64" i="25" s="1"/>
  <c r="H44" i="25"/>
  <c r="I4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N197" i="24"/>
  <c r="O197" i="24" s="1"/>
  <c r="K197" i="24"/>
  <c r="L197" i="24" s="1"/>
  <c r="H197" i="24"/>
  <c r="I197" i="24" s="1"/>
  <c r="F197" i="24"/>
  <c r="E197" i="24"/>
  <c r="N196" i="24"/>
  <c r="O196" i="24" s="1"/>
  <c r="L196" i="24"/>
  <c r="K196" i="24"/>
  <c r="H196" i="24"/>
  <c r="I196" i="24" s="1"/>
  <c r="F196" i="24"/>
  <c r="E196" i="24"/>
  <c r="N195" i="24"/>
  <c r="O195" i="24" s="1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O193" i="24"/>
  <c r="N193" i="24"/>
  <c r="K193" i="24"/>
  <c r="L193" i="24" s="1"/>
  <c r="H193" i="24"/>
  <c r="I193" i="24" s="1"/>
  <c r="F193" i="24"/>
  <c r="E193" i="24"/>
  <c r="N192" i="24"/>
  <c r="O192" i="24" s="1"/>
  <c r="L192" i="24"/>
  <c r="K192" i="24"/>
  <c r="H192" i="24"/>
  <c r="I192" i="24" s="1"/>
  <c r="F192" i="24"/>
  <c r="E192" i="24"/>
  <c r="O191" i="24"/>
  <c r="N191" i="24"/>
  <c r="K191" i="24"/>
  <c r="L191" i="24" s="1"/>
  <c r="I191" i="24"/>
  <c r="H191" i="24"/>
  <c r="F191" i="24"/>
  <c r="E191" i="24"/>
  <c r="N190" i="24"/>
  <c r="O190" i="24" s="1"/>
  <c r="K190" i="24"/>
  <c r="L190" i="24" s="1"/>
  <c r="I190" i="24"/>
  <c r="H190" i="24"/>
  <c r="F190" i="24"/>
  <c r="E190" i="24"/>
  <c r="N189" i="24"/>
  <c r="O189" i="24" s="1"/>
  <c r="K189" i="24"/>
  <c r="L189" i="24" s="1"/>
  <c r="I189" i="24"/>
  <c r="H189" i="24"/>
  <c r="F189" i="24"/>
  <c r="E189" i="24"/>
  <c r="N188" i="24"/>
  <c r="O188" i="24" s="1"/>
  <c r="K188" i="24"/>
  <c r="L188" i="24" s="1"/>
  <c r="I188" i="24"/>
  <c r="H188" i="24"/>
  <c r="F188" i="24"/>
  <c r="E188" i="24"/>
  <c r="N187" i="24"/>
  <c r="O187" i="24" s="1"/>
  <c r="K187" i="24"/>
  <c r="L187" i="24" s="1"/>
  <c r="I187" i="24"/>
  <c r="H187" i="24"/>
  <c r="F187" i="24"/>
  <c r="E187" i="24"/>
  <c r="N186" i="24"/>
  <c r="O186" i="24" s="1"/>
  <c r="K186" i="24"/>
  <c r="L186" i="24" s="1"/>
  <c r="I186" i="24"/>
  <c r="H186" i="24"/>
  <c r="F186" i="24"/>
  <c r="E186" i="24"/>
  <c r="N185" i="24"/>
  <c r="O185" i="24" s="1"/>
  <c r="K185" i="24"/>
  <c r="L185" i="24" s="1"/>
  <c r="I185" i="24"/>
  <c r="H185" i="24"/>
  <c r="F185" i="24"/>
  <c r="E185" i="24"/>
  <c r="N184" i="24"/>
  <c r="O184" i="24" s="1"/>
  <c r="K184" i="24"/>
  <c r="L184" i="24" s="1"/>
  <c r="I184" i="24"/>
  <c r="H184" i="24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L180" i="24"/>
  <c r="K180" i="24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L171" i="24" s="1"/>
  <c r="N171" i="24"/>
  <c r="K171" i="24"/>
  <c r="H171" i="24"/>
  <c r="E171" i="24"/>
  <c r="N170" i="24"/>
  <c r="O170" i="24" s="1"/>
  <c r="K170" i="24"/>
  <c r="H170" i="24"/>
  <c r="E170" i="24"/>
  <c r="N169" i="24"/>
  <c r="K169" i="24"/>
  <c r="H169" i="24"/>
  <c r="F169" i="24"/>
  <c r="E169" i="24"/>
  <c r="N168" i="24"/>
  <c r="K168" i="24"/>
  <c r="H168" i="24"/>
  <c r="E168" i="24"/>
  <c r="N167" i="24"/>
  <c r="O167" i="24" s="1"/>
  <c r="K167" i="24"/>
  <c r="H167" i="24"/>
  <c r="F167" i="24"/>
  <c r="E167" i="24"/>
  <c r="N166" i="24"/>
  <c r="K166" i="24"/>
  <c r="H166" i="24"/>
  <c r="I166" i="24" s="1"/>
  <c r="F166" i="24"/>
  <c r="E166" i="24"/>
  <c r="N165" i="24"/>
  <c r="K165" i="24"/>
  <c r="L165" i="24" s="1"/>
  <c r="H165" i="24"/>
  <c r="I165" i="24" s="1"/>
  <c r="E165" i="24"/>
  <c r="N164" i="24"/>
  <c r="O164" i="24" s="1"/>
  <c r="L164" i="24"/>
  <c r="K164" i="24"/>
  <c r="H164" i="24"/>
  <c r="F164" i="24"/>
  <c r="E164" i="24"/>
  <c r="N163" i="24"/>
  <c r="K163" i="24"/>
  <c r="H163" i="24"/>
  <c r="I163" i="24" s="1"/>
  <c r="E163" i="24"/>
  <c r="N162" i="24"/>
  <c r="O162" i="24" s="1"/>
  <c r="K162" i="24"/>
  <c r="L162" i="24" s="1"/>
  <c r="H162" i="24"/>
  <c r="E162" i="24"/>
  <c r="N161" i="24"/>
  <c r="O161" i="24" s="1"/>
  <c r="K161" i="24"/>
  <c r="H161" i="24"/>
  <c r="F161" i="24"/>
  <c r="E161" i="24"/>
  <c r="N160" i="24"/>
  <c r="K160" i="24"/>
  <c r="H160" i="24"/>
  <c r="I160" i="24" s="1"/>
  <c r="E160" i="24"/>
  <c r="N159" i="24"/>
  <c r="O159" i="24" s="1"/>
  <c r="L159" i="24"/>
  <c r="K159" i="24"/>
  <c r="H159" i="24"/>
  <c r="I159" i="24" s="1"/>
  <c r="F159" i="24"/>
  <c r="E159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E157" i="24"/>
  <c r="N156" i="24"/>
  <c r="O156" i="24" s="1"/>
  <c r="L156" i="24"/>
  <c r="K156" i="24"/>
  <c r="H156" i="24"/>
  <c r="I156" i="24" s="1"/>
  <c r="F156" i="24"/>
  <c r="E156" i="24"/>
  <c r="N155" i="24"/>
  <c r="L155" i="24"/>
  <c r="K155" i="24"/>
  <c r="H155" i="24"/>
  <c r="F155" i="24"/>
  <c r="E155" i="24"/>
  <c r="N154" i="24"/>
  <c r="O154" i="24" s="1"/>
  <c r="K154" i="24"/>
  <c r="H154" i="24"/>
  <c r="I154" i="24" s="1"/>
  <c r="F154" i="24"/>
  <c r="E154" i="24"/>
  <c r="N153" i="24"/>
  <c r="K153" i="24"/>
  <c r="L153" i="24" s="1"/>
  <c r="H153" i="24"/>
  <c r="I153" i="24" s="1"/>
  <c r="F153" i="24"/>
  <c r="E153" i="24"/>
  <c r="N152" i="24"/>
  <c r="L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2" i="24" s="1"/>
  <c r="N144" i="24"/>
  <c r="K144" i="24"/>
  <c r="H144" i="24"/>
  <c r="I144" i="24" s="1"/>
  <c r="E144" i="24"/>
  <c r="N143" i="24"/>
  <c r="K143" i="24"/>
  <c r="L143" i="24" s="1"/>
  <c r="H143" i="24"/>
  <c r="E143" i="24"/>
  <c r="N142" i="24"/>
  <c r="K142" i="24"/>
  <c r="H142" i="24"/>
  <c r="E142" i="24"/>
  <c r="F142" i="24" s="1"/>
  <c r="N141" i="24"/>
  <c r="K141" i="24"/>
  <c r="H141" i="24"/>
  <c r="E141" i="24"/>
  <c r="N140" i="24"/>
  <c r="K140" i="24"/>
  <c r="L140" i="24" s="1"/>
  <c r="H140" i="24"/>
  <c r="E140" i="24"/>
  <c r="N139" i="24"/>
  <c r="L139" i="24"/>
  <c r="K139" i="24"/>
  <c r="H139" i="24"/>
  <c r="E139" i="24"/>
  <c r="N138" i="24"/>
  <c r="O138" i="24" s="1"/>
  <c r="K138" i="24"/>
  <c r="H138" i="24"/>
  <c r="E138" i="24"/>
  <c r="O137" i="24"/>
  <c r="N137" i="24"/>
  <c r="K137" i="24"/>
  <c r="I137" i="24"/>
  <c r="H137" i="24"/>
  <c r="E137" i="24"/>
  <c r="N136" i="24"/>
  <c r="K136" i="24"/>
  <c r="L136" i="24" s="1"/>
  <c r="H136" i="24"/>
  <c r="E136" i="24"/>
  <c r="O135" i="24"/>
  <c r="N135" i="24"/>
  <c r="K135" i="24"/>
  <c r="H135" i="24"/>
  <c r="I135" i="24" s="1"/>
  <c r="E135" i="24"/>
  <c r="F135" i="24" s="1"/>
  <c r="N134" i="24"/>
  <c r="K134" i="24"/>
  <c r="H134" i="24"/>
  <c r="I134" i="24" s="1"/>
  <c r="E134" i="24"/>
  <c r="F134" i="24" s="1"/>
  <c r="N133" i="24"/>
  <c r="L133" i="24"/>
  <c r="K133" i="24"/>
  <c r="H133" i="24"/>
  <c r="E133" i="24"/>
  <c r="F133" i="24" s="1"/>
  <c r="N132" i="24"/>
  <c r="O132" i="24" s="1"/>
  <c r="K132" i="24"/>
  <c r="H132" i="24"/>
  <c r="I132" i="24" s="1"/>
  <c r="E132" i="24"/>
  <c r="F132" i="24" s="1"/>
  <c r="N131" i="24"/>
  <c r="K131" i="24"/>
  <c r="L131" i="24" s="1"/>
  <c r="H131" i="24"/>
  <c r="I131" i="24" s="1"/>
  <c r="E131" i="24"/>
  <c r="N130" i="24"/>
  <c r="O130" i="24" s="1"/>
  <c r="L130" i="24"/>
  <c r="K130" i="24"/>
  <c r="H130" i="24"/>
  <c r="E130" i="24"/>
  <c r="F130" i="24" s="1"/>
  <c r="O129" i="24"/>
  <c r="N129" i="24"/>
  <c r="K129" i="24"/>
  <c r="I129" i="24"/>
  <c r="H129" i="24"/>
  <c r="E129" i="24"/>
  <c r="F129" i="24" s="1"/>
  <c r="N128" i="24"/>
  <c r="L128" i="24"/>
  <c r="K128" i="24"/>
  <c r="H128" i="24"/>
  <c r="E128" i="24"/>
  <c r="F128" i="24" s="1"/>
  <c r="N127" i="24"/>
  <c r="O127" i="24" s="1"/>
  <c r="K127" i="24"/>
  <c r="L127" i="24" s="1"/>
  <c r="H127" i="24"/>
  <c r="E127" i="24"/>
  <c r="F127" i="24" s="1"/>
  <c r="O126" i="24"/>
  <c r="N126" i="24"/>
  <c r="K126" i="24"/>
  <c r="H126" i="24"/>
  <c r="I126" i="24" s="1"/>
  <c r="E126" i="24"/>
  <c r="F126" i="24" s="1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E117" i="24"/>
  <c r="F117" i="24" s="1"/>
  <c r="N116" i="24"/>
  <c r="O116" i="24" s="1"/>
  <c r="L116" i="24"/>
  <c r="K116" i="24"/>
  <c r="H116" i="24"/>
  <c r="I116" i="24" s="1"/>
  <c r="E116" i="24"/>
  <c r="F116" i="24" s="1"/>
  <c r="O115" i="24"/>
  <c r="N115" i="24"/>
  <c r="K115" i="24"/>
  <c r="L115" i="24" s="1"/>
  <c r="H115" i="24"/>
  <c r="I115" i="24" s="1"/>
  <c r="E115" i="24"/>
  <c r="F115" i="24" s="1"/>
  <c r="N114" i="24"/>
  <c r="O114" i="24" s="1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N112" i="24"/>
  <c r="O112" i="24" s="1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O99" i="24"/>
  <c r="N99" i="24"/>
  <c r="K99" i="24"/>
  <c r="L99" i="24" s="1"/>
  <c r="H99" i="24"/>
  <c r="I99" i="24" s="1"/>
  <c r="E99" i="24"/>
  <c r="F99" i="24" s="1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L86" i="24" s="1"/>
  <c r="N90" i="24"/>
  <c r="K90" i="24"/>
  <c r="H90" i="24"/>
  <c r="I90" i="24" s="1"/>
  <c r="E90" i="24"/>
  <c r="F90" i="24" s="1"/>
  <c r="N89" i="24"/>
  <c r="K89" i="24"/>
  <c r="L89" i="24" s="1"/>
  <c r="H89" i="24"/>
  <c r="I89" i="24" s="1"/>
  <c r="E89" i="24"/>
  <c r="F89" i="24" s="1"/>
  <c r="N88" i="24"/>
  <c r="K88" i="24"/>
  <c r="L88" i="24" s="1"/>
  <c r="H88" i="24"/>
  <c r="I88" i="24" s="1"/>
  <c r="E88" i="24"/>
  <c r="F88" i="24" s="1"/>
  <c r="N87" i="24"/>
  <c r="L87" i="24"/>
  <c r="K87" i="24"/>
  <c r="I87" i="24"/>
  <c r="H87" i="24"/>
  <c r="E87" i="24"/>
  <c r="F87" i="24" s="1"/>
  <c r="O86" i="24"/>
  <c r="N86" i="24"/>
  <c r="K86" i="24"/>
  <c r="H86" i="24"/>
  <c r="I86" i="24" s="1"/>
  <c r="E86" i="24"/>
  <c r="F86" i="24" s="1"/>
  <c r="N85" i="24"/>
  <c r="K85" i="24"/>
  <c r="L85" i="24" s="1"/>
  <c r="H85" i="24"/>
  <c r="I85" i="24" s="1"/>
  <c r="E85" i="24"/>
  <c r="N84" i="24"/>
  <c r="O84" i="24" s="1"/>
  <c r="L84" i="24"/>
  <c r="K84" i="24"/>
  <c r="H84" i="24"/>
  <c r="E84" i="24"/>
  <c r="F84" i="24" s="1"/>
  <c r="N83" i="24"/>
  <c r="O83" i="24" s="1"/>
  <c r="K83" i="24"/>
  <c r="L83" i="24" s="1"/>
  <c r="H83" i="24"/>
  <c r="E83" i="24"/>
  <c r="F83" i="24" s="1"/>
  <c r="N82" i="24"/>
  <c r="O82" i="24" s="1"/>
  <c r="K82" i="24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O79" i="24"/>
  <c r="N79" i="24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L73" i="24"/>
  <c r="K73" i="24"/>
  <c r="H73" i="24"/>
  <c r="I73" i="24" s="1"/>
  <c r="E73" i="24"/>
  <c r="F73" i="24" s="1"/>
  <c r="N72" i="24"/>
  <c r="O72" i="24" s="1"/>
  <c r="K72" i="24"/>
  <c r="L72" i="24" s="1"/>
  <c r="H72" i="24"/>
  <c r="I72" i="24" s="1"/>
  <c r="E72" i="24"/>
  <c r="F72" i="24" s="1"/>
  <c r="N71" i="24"/>
  <c r="L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L61" i="24"/>
  <c r="K61" i="24"/>
  <c r="H61" i="24"/>
  <c r="I61" i="24" s="1"/>
  <c r="E61" i="24"/>
  <c r="F61" i="24" s="1"/>
  <c r="O60" i="24"/>
  <c r="N60" i="24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O56" i="24"/>
  <c r="N56" i="24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N51" i="24"/>
  <c r="O51" i="24" s="1"/>
  <c r="K51" i="24"/>
  <c r="L51" i="24" s="1"/>
  <c r="H51" i="24"/>
  <c r="I51" i="24" s="1"/>
  <c r="E51" i="24"/>
  <c r="F51" i="24" s="1"/>
  <c r="N50" i="24"/>
  <c r="O50" i="24" s="1"/>
  <c r="L50" i="24"/>
  <c r="K50" i="24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L48" i="24"/>
  <c r="K48" i="24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O45" i="24"/>
  <c r="N45" i="24"/>
  <c r="L45" i="24"/>
  <c r="K45" i="24"/>
  <c r="H45" i="24"/>
  <c r="I45" i="24" s="1"/>
  <c r="E45" i="24"/>
  <c r="F45" i="24" s="1"/>
  <c r="N44" i="24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O179" i="34" l="1"/>
  <c r="O199" i="34" s="1"/>
  <c r="O152" i="34"/>
  <c r="O172" i="34" s="1"/>
  <c r="N145" i="34"/>
  <c r="O125" i="34"/>
  <c r="O145" i="34" s="1"/>
  <c r="O98" i="34"/>
  <c r="O118" i="34" s="1"/>
  <c r="O64" i="34"/>
  <c r="G9" i="35"/>
  <c r="E37" i="35"/>
  <c r="K37" i="35"/>
  <c r="O37" i="35"/>
  <c r="F37" i="35"/>
  <c r="N37" i="35"/>
  <c r="H37" i="35"/>
  <c r="L37" i="35"/>
  <c r="I37" i="35"/>
  <c r="G5" i="35"/>
  <c r="G7" i="35"/>
  <c r="G3" i="35"/>
  <c r="K145" i="34"/>
  <c r="L145" i="34"/>
  <c r="F199" i="34"/>
  <c r="G9" i="34" s="1"/>
  <c r="F125" i="34"/>
  <c r="F145" i="34" s="1"/>
  <c r="F64" i="34"/>
  <c r="G5" i="34" s="1"/>
  <c r="O37" i="34"/>
  <c r="K37" i="34"/>
  <c r="N199" i="33"/>
  <c r="O179" i="33"/>
  <c r="O199" i="33" s="1"/>
  <c r="O152" i="33"/>
  <c r="O172" i="33" s="1"/>
  <c r="N145" i="33"/>
  <c r="O125" i="33"/>
  <c r="O145" i="33" s="1"/>
  <c r="N118" i="33"/>
  <c r="O98" i="33"/>
  <c r="O118" i="33" s="1"/>
  <c r="O71" i="33"/>
  <c r="O91" i="33" s="1"/>
  <c r="N64" i="33"/>
  <c r="O64" i="33"/>
  <c r="F37" i="34"/>
  <c r="N37" i="34"/>
  <c r="H37" i="34"/>
  <c r="L37" i="34"/>
  <c r="E37" i="34"/>
  <c r="I37" i="34"/>
  <c r="G7" i="34"/>
  <c r="G3" i="34"/>
  <c r="K118" i="33"/>
  <c r="K91" i="33"/>
  <c r="K199" i="33"/>
  <c r="L199" i="33"/>
  <c r="K145" i="33"/>
  <c r="L145" i="33"/>
  <c r="L98" i="33"/>
  <c r="L118" i="33" s="1"/>
  <c r="L71" i="33"/>
  <c r="L91" i="33" s="1"/>
  <c r="G7" i="33" s="1"/>
  <c r="L64" i="33"/>
  <c r="K64" i="33"/>
  <c r="G5" i="33" s="1"/>
  <c r="I179" i="33"/>
  <c r="I199" i="33" s="1"/>
  <c r="I145" i="33"/>
  <c r="I118" i="33"/>
  <c r="H118" i="33"/>
  <c r="G3" i="33" s="1"/>
  <c r="I91" i="33"/>
  <c r="H91" i="33"/>
  <c r="I64" i="33"/>
  <c r="H64" i="33"/>
  <c r="F125" i="33"/>
  <c r="F145" i="33" s="1"/>
  <c r="F98" i="33"/>
  <c r="F118" i="33" s="1"/>
  <c r="F71" i="33"/>
  <c r="F91" i="33" s="1"/>
  <c r="F44" i="33"/>
  <c r="F64" i="33" s="1"/>
  <c r="N199" i="32"/>
  <c r="O179" i="32"/>
  <c r="O199" i="32" s="1"/>
  <c r="N172" i="32"/>
  <c r="O152" i="32"/>
  <c r="O172" i="32" s="1"/>
  <c r="O125" i="32"/>
  <c r="O145" i="32" s="1"/>
  <c r="N118" i="32"/>
  <c r="O118" i="32"/>
  <c r="G3" i="32" s="1"/>
  <c r="O91" i="32"/>
  <c r="O64" i="32"/>
  <c r="N64" i="32"/>
  <c r="K37" i="33"/>
  <c r="O37" i="33"/>
  <c r="H37" i="33"/>
  <c r="L37" i="33"/>
  <c r="E37" i="33"/>
  <c r="I37" i="33"/>
  <c r="F37" i="33"/>
  <c r="N37" i="33"/>
  <c r="G9" i="33"/>
  <c r="K199" i="32"/>
  <c r="L179" i="32"/>
  <c r="L199" i="32" s="1"/>
  <c r="K172" i="32"/>
  <c r="L152" i="32"/>
  <c r="L172" i="32" s="1"/>
  <c r="K145" i="32"/>
  <c r="L125" i="32"/>
  <c r="L145" i="32" s="1"/>
  <c r="L118" i="32"/>
  <c r="K118" i="32"/>
  <c r="K91" i="32"/>
  <c r="L44" i="32"/>
  <c r="L64" i="32" s="1"/>
  <c r="I179" i="32"/>
  <c r="I199" i="32" s="1"/>
  <c r="I152" i="32"/>
  <c r="I172" i="32" s="1"/>
  <c r="H145" i="32"/>
  <c r="I125" i="32"/>
  <c r="I145" i="32" s="1"/>
  <c r="H118" i="32"/>
  <c r="I98" i="32"/>
  <c r="I118" i="32" s="1"/>
  <c r="I91" i="32"/>
  <c r="H91" i="32"/>
  <c r="I64" i="32"/>
  <c r="H64" i="32"/>
  <c r="F125" i="32"/>
  <c r="F145" i="32" s="1"/>
  <c r="F98" i="32"/>
  <c r="F118" i="32" s="1"/>
  <c r="F71" i="32"/>
  <c r="F91" i="32" s="1"/>
  <c r="F44" i="32"/>
  <c r="F64" i="32" s="1"/>
  <c r="N199" i="31"/>
  <c r="G9" i="31" s="1"/>
  <c r="O179" i="31"/>
  <c r="O199" i="31" s="1"/>
  <c r="N172" i="31"/>
  <c r="O172" i="31"/>
  <c r="O125" i="31"/>
  <c r="O145" i="31" s="1"/>
  <c r="N118" i="31"/>
  <c r="O98" i="31"/>
  <c r="O118" i="31" s="1"/>
  <c r="O71" i="31"/>
  <c r="O91" i="31" s="1"/>
  <c r="O44" i="31"/>
  <c r="O64" i="31" s="1"/>
  <c r="G5" i="31" s="1"/>
  <c r="G5" i="32"/>
  <c r="H37" i="32"/>
  <c r="L37" i="32"/>
  <c r="F37" i="32"/>
  <c r="N37" i="32"/>
  <c r="K37" i="32"/>
  <c r="E37" i="32"/>
  <c r="I37" i="32"/>
  <c r="O37" i="32"/>
  <c r="G7" i="32"/>
  <c r="G9" i="32"/>
  <c r="K199" i="31"/>
  <c r="L179" i="31"/>
  <c r="L199" i="31" s="1"/>
  <c r="K172" i="31"/>
  <c r="L152" i="31"/>
  <c r="L172" i="31" s="1"/>
  <c r="L125" i="31"/>
  <c r="L145" i="31" s="1"/>
  <c r="L98" i="31"/>
  <c r="L118" i="31" s="1"/>
  <c r="L91" i="31"/>
  <c r="K91" i="31"/>
  <c r="L64" i="31"/>
  <c r="K64" i="31"/>
  <c r="I179" i="31"/>
  <c r="I199" i="31" s="1"/>
  <c r="I152" i="31"/>
  <c r="I172" i="31" s="1"/>
  <c r="I125" i="31"/>
  <c r="I145" i="31" s="1"/>
  <c r="I118" i="31"/>
  <c r="H118" i="31"/>
  <c r="I91" i="31"/>
  <c r="H91" i="31"/>
  <c r="I44" i="31"/>
  <c r="I64" i="31" s="1"/>
  <c r="F98" i="31"/>
  <c r="F118" i="31" s="1"/>
  <c r="F71" i="31"/>
  <c r="F91" i="31" s="1"/>
  <c r="K37" i="31"/>
  <c r="O37" i="31"/>
  <c r="H199" i="29"/>
  <c r="H172" i="29"/>
  <c r="H91" i="29"/>
  <c r="H199" i="30"/>
  <c r="I199" i="30"/>
  <c r="H145" i="30"/>
  <c r="I125" i="30"/>
  <c r="I145" i="30" s="1"/>
  <c r="H172" i="30"/>
  <c r="I152" i="30"/>
  <c r="I172" i="30" s="1"/>
  <c r="H118" i="30"/>
  <c r="I118" i="30"/>
  <c r="H91" i="30"/>
  <c r="I71" i="30"/>
  <c r="I91" i="30" s="1"/>
  <c r="H64" i="30"/>
  <c r="I44" i="30"/>
  <c r="I64" i="30" s="1"/>
  <c r="O179" i="30"/>
  <c r="O199" i="30" s="1"/>
  <c r="O172" i="30"/>
  <c r="N172" i="30"/>
  <c r="N145" i="30"/>
  <c r="O125" i="30"/>
  <c r="O145" i="30" s="1"/>
  <c r="O98" i="30"/>
  <c r="O118" i="30" s="1"/>
  <c r="N91" i="30"/>
  <c r="O71" i="30"/>
  <c r="O91" i="30" s="1"/>
  <c r="O44" i="30"/>
  <c r="O64" i="30" s="1"/>
  <c r="F37" i="31"/>
  <c r="N37" i="31"/>
  <c r="H37" i="31"/>
  <c r="L37" i="31"/>
  <c r="E37" i="31"/>
  <c r="I37" i="31"/>
  <c r="G7" i="31"/>
  <c r="G3" i="31"/>
  <c r="K172" i="30"/>
  <c r="L152" i="30"/>
  <c r="L172" i="30" s="1"/>
  <c r="K145" i="30"/>
  <c r="L145" i="30"/>
  <c r="K118" i="30"/>
  <c r="G3" i="30" s="1"/>
  <c r="L118" i="30"/>
  <c r="K91" i="30"/>
  <c r="L91" i="30"/>
  <c r="L44" i="30"/>
  <c r="L64" i="30" s="1"/>
  <c r="G5" i="30" s="1"/>
  <c r="F152" i="30"/>
  <c r="F172" i="30" s="1"/>
  <c r="F125" i="30"/>
  <c r="F145" i="30" s="1"/>
  <c r="F98" i="30"/>
  <c r="F118" i="30" s="1"/>
  <c r="F71" i="30"/>
  <c r="F91" i="30" s="1"/>
  <c r="F44" i="30"/>
  <c r="F64" i="30" s="1"/>
  <c r="N199" i="29"/>
  <c r="O199" i="29"/>
  <c r="G9" i="29" s="1"/>
  <c r="N172" i="29"/>
  <c r="O172" i="29"/>
  <c r="N145" i="29"/>
  <c r="O125" i="29"/>
  <c r="O145" i="29" s="1"/>
  <c r="O98" i="29"/>
  <c r="O118" i="29" s="1"/>
  <c r="N91" i="29"/>
  <c r="O71" i="29"/>
  <c r="O91" i="29" s="1"/>
  <c r="G7" i="29" s="1"/>
  <c r="N64" i="29"/>
  <c r="O64" i="29"/>
  <c r="F37" i="30"/>
  <c r="N37" i="30"/>
  <c r="H37" i="30"/>
  <c r="O37" i="30"/>
  <c r="I37" i="30"/>
  <c r="K37" i="30"/>
  <c r="L37" i="30"/>
  <c r="E37" i="30"/>
  <c r="G9" i="30"/>
  <c r="G7" i="30"/>
  <c r="K199" i="29"/>
  <c r="L179" i="29"/>
  <c r="L199" i="29" s="1"/>
  <c r="K172" i="29"/>
  <c r="L152" i="29"/>
  <c r="L172" i="29" s="1"/>
  <c r="K145" i="29"/>
  <c r="L125" i="29"/>
  <c r="L145" i="29" s="1"/>
  <c r="L118" i="29"/>
  <c r="K118" i="29"/>
  <c r="L91" i="29"/>
  <c r="K91" i="29"/>
  <c r="K64" i="29"/>
  <c r="L44" i="29"/>
  <c r="L64" i="29" s="1"/>
  <c r="I179" i="29"/>
  <c r="I199" i="29" s="1"/>
  <c r="I152" i="29"/>
  <c r="I172" i="29" s="1"/>
  <c r="I145" i="29"/>
  <c r="H145" i="29"/>
  <c r="H118" i="29"/>
  <c r="I98" i="29"/>
  <c r="I118" i="29" s="1"/>
  <c r="I71" i="29"/>
  <c r="I91" i="29" s="1"/>
  <c r="I64" i="29"/>
  <c r="H64" i="29"/>
  <c r="F125" i="29"/>
  <c r="F145" i="29" s="1"/>
  <c r="F98" i="29"/>
  <c r="F118" i="29" s="1"/>
  <c r="F91" i="29"/>
  <c r="F44" i="29"/>
  <c r="F64" i="29" s="1"/>
  <c r="N199" i="28"/>
  <c r="O199" i="28"/>
  <c r="N172" i="28"/>
  <c r="O152" i="28"/>
  <c r="O172" i="28" s="1"/>
  <c r="O125" i="28"/>
  <c r="O145" i="28" s="1"/>
  <c r="N118" i="28"/>
  <c r="O98" i="28"/>
  <c r="O118" i="28" s="1"/>
  <c r="O91" i="28"/>
  <c r="N91" i="28"/>
  <c r="O44" i="28"/>
  <c r="O64" i="28" s="1"/>
  <c r="K37" i="29"/>
  <c r="O37" i="29"/>
  <c r="E37" i="29"/>
  <c r="I37" i="29"/>
  <c r="H37" i="29"/>
  <c r="L37" i="29"/>
  <c r="F37" i="29"/>
  <c r="N37" i="29"/>
  <c r="G5" i="29"/>
  <c r="G3" i="29"/>
  <c r="K199" i="28"/>
  <c r="L199" i="28"/>
  <c r="K172" i="28"/>
  <c r="L152" i="28"/>
  <c r="L172" i="28" s="1"/>
  <c r="K145" i="28"/>
  <c r="L125" i="28"/>
  <c r="L145" i="28" s="1"/>
  <c r="L118" i="28"/>
  <c r="K118" i="28"/>
  <c r="L91" i="28"/>
  <c r="K91" i="28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F98" i="28"/>
  <c r="F118" i="28" s="1"/>
  <c r="F71" i="28"/>
  <c r="F91" i="28" s="1"/>
  <c r="O199" i="27"/>
  <c r="N199" i="27"/>
  <c r="O152" i="27"/>
  <c r="O172" i="27" s="1"/>
  <c r="N145" i="27"/>
  <c r="O125" i="27"/>
  <c r="O145" i="27" s="1"/>
  <c r="N118" i="27"/>
  <c r="O98" i="27"/>
  <c r="O118" i="27" s="1"/>
  <c r="O71" i="27"/>
  <c r="O91" i="27" s="1"/>
  <c r="G7" i="27" s="1"/>
  <c r="N64" i="27"/>
  <c r="O44" i="27"/>
  <c r="O64" i="27" s="1"/>
  <c r="G7" i="28"/>
  <c r="G5" i="28"/>
  <c r="L37" i="28"/>
  <c r="E37" i="28"/>
  <c r="F37" i="28"/>
  <c r="N37" i="28"/>
  <c r="O37" i="28"/>
  <c r="I37" i="28"/>
  <c r="K37" i="28"/>
  <c r="H37" i="28"/>
  <c r="K199" i="27"/>
  <c r="L199" i="27"/>
  <c r="L118" i="27"/>
  <c r="K118" i="27"/>
  <c r="L71" i="27"/>
  <c r="L91" i="27" s="1"/>
  <c r="L64" i="27"/>
  <c r="K64" i="27"/>
  <c r="I179" i="27"/>
  <c r="I199" i="27" s="1"/>
  <c r="I98" i="27"/>
  <c r="I118" i="27" s="1"/>
  <c r="I71" i="27"/>
  <c r="I91" i="27" s="1"/>
  <c r="I44" i="27"/>
  <c r="I64" i="27" s="1"/>
  <c r="F64" i="27"/>
  <c r="O179" i="26"/>
  <c r="O199" i="26" s="1"/>
  <c r="O172" i="26"/>
  <c r="O125" i="26"/>
  <c r="O145" i="26" s="1"/>
  <c r="N118" i="26"/>
  <c r="O98" i="26"/>
  <c r="O118" i="26" s="1"/>
  <c r="O91" i="26"/>
  <c r="N91" i="26"/>
  <c r="O64" i="26"/>
  <c r="N64" i="26"/>
  <c r="E118" i="27"/>
  <c r="F98" i="27"/>
  <c r="F118" i="27" s="1"/>
  <c r="F37" i="27"/>
  <c r="N37" i="27"/>
  <c r="E37" i="27"/>
  <c r="I37" i="27"/>
  <c r="K37" i="27"/>
  <c r="O37" i="27"/>
  <c r="H37" i="27"/>
  <c r="L37" i="27"/>
  <c r="G5" i="27"/>
  <c r="G3" i="27"/>
  <c r="G9" i="27"/>
  <c r="L199" i="26"/>
  <c r="L152" i="26"/>
  <c r="L172" i="26" s="1"/>
  <c r="L125" i="26"/>
  <c r="L145" i="26" s="1"/>
  <c r="L98" i="26"/>
  <c r="L118" i="26" s="1"/>
  <c r="L71" i="26"/>
  <c r="L91" i="26" s="1"/>
  <c r="L44" i="26"/>
  <c r="L64" i="26" s="1"/>
  <c r="I179" i="26"/>
  <c r="I199" i="26" s="1"/>
  <c r="I152" i="26"/>
  <c r="I172" i="26" s="1"/>
  <c r="I98" i="26"/>
  <c r="I118" i="26" s="1"/>
  <c r="I71" i="26"/>
  <c r="I91" i="26" s="1"/>
  <c r="I44" i="26"/>
  <c r="I64" i="26" s="1"/>
  <c r="O199" i="25"/>
  <c r="N199" i="25"/>
  <c r="O152" i="25"/>
  <c r="O172" i="25" s="1"/>
  <c r="N145" i="25"/>
  <c r="O145" i="25"/>
  <c r="N118" i="25"/>
  <c r="O98" i="25"/>
  <c r="O118" i="25" s="1"/>
  <c r="O91" i="25"/>
  <c r="N64" i="25"/>
  <c r="O44" i="25"/>
  <c r="N172" i="26"/>
  <c r="G9" i="26"/>
  <c r="K199" i="26"/>
  <c r="G7" i="26"/>
  <c r="G5" i="26"/>
  <c r="G3" i="26"/>
  <c r="O37" i="26"/>
  <c r="L37" i="26"/>
  <c r="K37" i="26"/>
  <c r="E37" i="26"/>
  <c r="I37" i="26"/>
  <c r="F37" i="26"/>
  <c r="N37" i="26"/>
  <c r="H37" i="26"/>
  <c r="L199" i="25"/>
  <c r="K199" i="25"/>
  <c r="K145" i="25"/>
  <c r="L125" i="25"/>
  <c r="L145" i="25" s="1"/>
  <c r="K118" i="25"/>
  <c r="L118" i="25"/>
  <c r="K91" i="25"/>
  <c r="L71" i="25"/>
  <c r="L91" i="25" s="1"/>
  <c r="L44" i="25"/>
  <c r="I199" i="25"/>
  <c r="I125" i="25"/>
  <c r="I145" i="25" s="1"/>
  <c r="I98" i="25"/>
  <c r="I118" i="25" s="1"/>
  <c r="G3" i="25" s="1"/>
  <c r="I71" i="25"/>
  <c r="I91" i="25" s="1"/>
  <c r="H64" i="25"/>
  <c r="I64" i="25"/>
  <c r="O64" i="25"/>
  <c r="L64" i="25"/>
  <c r="L82" i="24"/>
  <c r="L91" i="24" s="1"/>
  <c r="I83" i="24"/>
  <c r="I84" i="24"/>
  <c r="F85" i="24"/>
  <c r="O85" i="24"/>
  <c r="O87" i="24"/>
  <c r="O88" i="24"/>
  <c r="O89" i="24"/>
  <c r="O90" i="24"/>
  <c r="L126" i="24"/>
  <c r="I127" i="24"/>
  <c r="I128" i="24"/>
  <c r="O128" i="24"/>
  <c r="L129" i="24"/>
  <c r="I130" i="24"/>
  <c r="F131" i="24"/>
  <c r="O131" i="24"/>
  <c r="L132" i="24"/>
  <c r="I133" i="24"/>
  <c r="O133" i="24"/>
  <c r="O134" i="24"/>
  <c r="L135" i="24"/>
  <c r="I136" i="24"/>
  <c r="F137" i="24"/>
  <c r="L137" i="24"/>
  <c r="I138" i="24"/>
  <c r="I139" i="24"/>
  <c r="F140" i="24"/>
  <c r="O140" i="24"/>
  <c r="L141" i="24"/>
  <c r="F143" i="24"/>
  <c r="O143" i="24"/>
  <c r="L144" i="24"/>
  <c r="O153" i="24"/>
  <c r="L154" i="24"/>
  <c r="I155" i="24"/>
  <c r="O155" i="24"/>
  <c r="F157" i="24"/>
  <c r="O158" i="24"/>
  <c r="F160" i="24"/>
  <c r="O160" i="24"/>
  <c r="L161" i="24"/>
  <c r="I162" i="24"/>
  <c r="F163" i="24"/>
  <c r="O163" i="24"/>
  <c r="F165" i="24"/>
  <c r="O166" i="24"/>
  <c r="F168" i="24"/>
  <c r="O168" i="24"/>
  <c r="L169" i="24"/>
  <c r="I170" i="24"/>
  <c r="F171" i="24"/>
  <c r="L138" i="24"/>
  <c r="I140" i="24"/>
  <c r="F141" i="24"/>
  <c r="O141" i="24"/>
  <c r="L142" i="24"/>
  <c r="I143" i="24"/>
  <c r="F144" i="24"/>
  <c r="O144" i="24"/>
  <c r="L167" i="24"/>
  <c r="I168" i="24"/>
  <c r="O169" i="24"/>
  <c r="L170" i="24"/>
  <c r="I171" i="24"/>
  <c r="O171" i="24"/>
  <c r="L90" i="24"/>
  <c r="L134" i="24"/>
  <c r="F136" i="24"/>
  <c r="O136" i="24"/>
  <c r="F138" i="24"/>
  <c r="F139" i="24"/>
  <c r="O139" i="24"/>
  <c r="I141" i="24"/>
  <c r="I142" i="24"/>
  <c r="F172" i="24"/>
  <c r="L160" i="24"/>
  <c r="I161" i="24"/>
  <c r="F162" i="24"/>
  <c r="L163" i="24"/>
  <c r="L172" i="24" s="1"/>
  <c r="I164" i="24"/>
  <c r="O165" i="24"/>
  <c r="L166" i="24"/>
  <c r="I167" i="24"/>
  <c r="L168" i="24"/>
  <c r="I169" i="24"/>
  <c r="F170" i="24"/>
  <c r="F199" i="24"/>
  <c r="F199" i="25"/>
  <c r="G9" i="25" s="1"/>
  <c r="F44" i="25"/>
  <c r="F64" i="25" s="1"/>
  <c r="N199" i="24"/>
  <c r="O179" i="24"/>
  <c r="O199" i="24" s="1"/>
  <c r="G9" i="24" s="1"/>
  <c r="N172" i="24"/>
  <c r="O152" i="24"/>
  <c r="O172" i="24" s="1"/>
  <c r="O125" i="24"/>
  <c r="N118" i="24"/>
  <c r="O98" i="24"/>
  <c r="O118" i="24" s="1"/>
  <c r="G3" i="24" s="1"/>
  <c r="N91" i="24"/>
  <c r="O71" i="24"/>
  <c r="N64" i="24"/>
  <c r="O44" i="24"/>
  <c r="O64" i="24" s="1"/>
  <c r="N91" i="25"/>
  <c r="G5" i="25"/>
  <c r="H37" i="25"/>
  <c r="L37" i="25"/>
  <c r="E37" i="25"/>
  <c r="K37" i="25"/>
  <c r="F37" i="25"/>
  <c r="N37" i="25"/>
  <c r="I37" i="25"/>
  <c r="O37" i="25"/>
  <c r="K199" i="24"/>
  <c r="L179" i="24"/>
  <c r="L199" i="24" s="1"/>
  <c r="K172" i="24"/>
  <c r="L125" i="24"/>
  <c r="L118" i="24"/>
  <c r="K118" i="24"/>
  <c r="K91" i="24"/>
  <c r="K64" i="24"/>
  <c r="L44" i="24"/>
  <c r="L64" i="24" s="1"/>
  <c r="I179" i="24"/>
  <c r="I199" i="24" s="1"/>
  <c r="I152" i="24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44" i="24"/>
  <c r="F64" i="24" s="1"/>
  <c r="G5" i="24"/>
  <c r="H37" i="24"/>
  <c r="E37" i="24"/>
  <c r="I37" i="24"/>
  <c r="K37" i="24"/>
  <c r="F37" i="24"/>
  <c r="N37" i="24"/>
  <c r="L37" i="24"/>
  <c r="O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5" l="1"/>
  <c r="G11" i="34"/>
  <c r="G11" i="33"/>
  <c r="G11" i="32"/>
  <c r="G11" i="31"/>
  <c r="G11" i="30"/>
  <c r="G9" i="28"/>
  <c r="G3" i="28"/>
  <c r="G11" i="29"/>
  <c r="G11" i="28"/>
  <c r="G11" i="27"/>
  <c r="G7" i="25"/>
  <c r="G11" i="26"/>
  <c r="I172" i="24"/>
  <c r="L145" i="24"/>
  <c r="O91" i="24"/>
  <c r="G7" i="24" s="1"/>
  <c r="O145" i="24"/>
  <c r="F91" i="24"/>
  <c r="L199" i="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O114" i="9"/>
  <c r="I241" i="9"/>
  <c r="I261" i="9"/>
  <c r="C81" i="9"/>
  <c r="L271" i="9"/>
  <c r="F273" i="9"/>
  <c r="F144" i="9"/>
  <c r="E275" i="9"/>
  <c r="O125" i="9"/>
  <c r="I65" i="9"/>
  <c r="H50" i="9"/>
  <c r="F275" i="9"/>
  <c r="E51" i="9"/>
  <c r="K48" i="9"/>
  <c r="F233" i="9"/>
  <c r="O28" i="9"/>
  <c r="O117" i="9"/>
  <c r="F34" i="9"/>
  <c r="K223" i="9"/>
  <c r="O71" i="9"/>
  <c r="C216" i="9"/>
  <c r="C74" i="9"/>
  <c r="H226" i="9"/>
  <c r="K256" i="9"/>
  <c r="I74" i="9"/>
  <c r="E228" i="9"/>
  <c r="I195" i="9"/>
  <c r="K70" i="9"/>
  <c r="I202" i="9"/>
  <c r="C225" i="9"/>
  <c r="H40" i="9"/>
  <c r="H72" i="9"/>
  <c r="K6" i="3"/>
  <c r="N40" i="9"/>
  <c r="H265" i="9"/>
  <c r="I161" i="9"/>
  <c r="G56" i="3"/>
  <c r="I238" i="9"/>
  <c r="H279" i="9"/>
  <c r="L242" i="9"/>
  <c r="O34" i="9"/>
  <c r="K27" i="9"/>
  <c r="E177" i="9"/>
  <c r="C191" i="9"/>
  <c r="L275" i="9"/>
  <c r="H199" i="9"/>
  <c r="H153" i="9"/>
  <c r="K19" i="5"/>
  <c r="I114" i="9"/>
  <c r="O158" i="9"/>
  <c r="H84" i="9"/>
  <c r="H43" i="9"/>
  <c r="O253" i="9"/>
  <c r="K233" i="9"/>
  <c r="C103" i="9"/>
  <c r="K71" i="3"/>
  <c r="C241" i="9"/>
  <c r="O80" i="9"/>
  <c r="E29" i="9"/>
  <c r="O128" i="9"/>
  <c r="O101" i="9"/>
  <c r="H277" i="9"/>
  <c r="I137" i="9"/>
  <c r="K86" i="9"/>
  <c r="H139" i="9"/>
  <c r="N266" i="9"/>
  <c r="K7" i="3"/>
  <c r="F45" i="9"/>
  <c r="O106" i="9"/>
  <c r="K123" i="9"/>
  <c r="I118" i="9"/>
  <c r="I234" i="9"/>
  <c r="K213" i="9"/>
  <c r="F50" i="9"/>
  <c r="L221" i="9"/>
  <c r="F154" i="9"/>
  <c r="I83" i="9"/>
  <c r="E225" i="9"/>
  <c r="O148" i="9"/>
  <c r="E256" i="9"/>
  <c r="H125" i="9"/>
  <c r="L257" i="9"/>
  <c r="I188" i="9"/>
  <c r="L263" i="9"/>
  <c r="C259" i="9"/>
  <c r="I214" i="9"/>
  <c r="I73" i="9"/>
  <c r="N43" i="9"/>
  <c r="H257" i="9"/>
  <c r="K239" i="9"/>
  <c r="K50" i="9"/>
  <c r="H213" i="9"/>
  <c r="K47" i="3"/>
  <c r="O73" i="9"/>
  <c r="O176" i="9"/>
  <c r="E165" i="9"/>
  <c r="H272" i="9"/>
  <c r="E212" i="9"/>
  <c r="C266" i="9"/>
  <c r="L24" i="9"/>
  <c r="L150" i="9"/>
  <c r="L35" i="9"/>
  <c r="C122" i="9"/>
  <c r="H271" i="9"/>
  <c r="K188" i="9"/>
  <c r="H260" i="9"/>
  <c r="E200" i="9"/>
  <c r="F232" i="9"/>
  <c r="C27" i="9"/>
  <c r="F194" i="9"/>
  <c r="H75" i="9"/>
  <c r="H99" i="9"/>
  <c r="L149" i="9"/>
  <c r="E122" i="9"/>
  <c r="O212" i="9"/>
  <c r="N77" i="9"/>
  <c r="F270" i="9"/>
  <c r="H145" i="9"/>
  <c r="N154" i="9"/>
  <c r="C66" i="9"/>
  <c r="I125" i="9"/>
  <c r="F122" i="9"/>
  <c r="K147" i="9"/>
  <c r="E233" i="9"/>
  <c r="K164" i="9"/>
  <c r="E236" i="9"/>
  <c r="H152" i="9"/>
  <c r="N269" i="9"/>
  <c r="H82" i="9"/>
  <c r="I257" i="9"/>
  <c r="N277" i="9"/>
  <c r="F60" i="9"/>
  <c r="E230" i="9"/>
  <c r="I274" i="9"/>
  <c r="L220" i="9"/>
  <c r="L127" i="9"/>
  <c r="L61" i="9"/>
  <c r="C30" i="9"/>
  <c r="F227" i="9"/>
  <c r="C68" i="9"/>
  <c r="N28" i="9"/>
  <c r="I24" i="9"/>
  <c r="K158" i="9"/>
  <c r="N280" i="9"/>
  <c r="C159" i="9"/>
  <c r="E62" i="9"/>
  <c r="F183" i="9"/>
  <c r="N36" i="9"/>
  <c r="F74" i="9"/>
  <c r="I27" i="9"/>
  <c r="C256" i="9"/>
  <c r="C267" i="9"/>
  <c r="K80" i="9"/>
  <c r="O24" i="9"/>
  <c r="O42" i="3"/>
  <c r="N22" i="9"/>
  <c r="L81" i="9"/>
  <c r="F75" i="9"/>
  <c r="N70" i="9"/>
  <c r="F280" i="9"/>
  <c r="F239" i="9"/>
  <c r="O50" i="9"/>
  <c r="E77" i="9"/>
  <c r="L110" i="9"/>
  <c r="O263" i="9"/>
  <c r="N176" i="9"/>
  <c r="O73" i="3"/>
  <c r="K21" i="3"/>
  <c r="O257" i="9"/>
  <c r="O63" i="9"/>
  <c r="I216" i="9"/>
  <c r="K262" i="9"/>
  <c r="L251" i="9"/>
  <c r="F138" i="9"/>
  <c r="E151" i="9"/>
  <c r="E84" i="9"/>
  <c r="E79" i="9"/>
  <c r="O219" i="9"/>
  <c r="E81" i="9"/>
  <c r="F217" i="9"/>
  <c r="K112" i="9"/>
  <c r="K42" i="3"/>
  <c r="I251" i="9"/>
  <c r="F195" i="9"/>
  <c r="O67" i="3"/>
  <c r="O70" i="3"/>
  <c r="E227" i="9"/>
  <c r="H104" i="9"/>
  <c r="K251" i="9"/>
  <c r="E182" i="9"/>
  <c r="L165" i="9"/>
  <c r="N213" i="9"/>
  <c r="O89" i="9"/>
  <c r="H188" i="9"/>
  <c r="N182" i="9"/>
  <c r="E75" i="9"/>
  <c r="L31" i="9"/>
  <c r="I273" i="9"/>
  <c r="E186" i="9"/>
  <c r="F160" i="9"/>
  <c r="N143" i="9"/>
  <c r="K235" i="9"/>
  <c r="N146" i="9"/>
  <c r="O255" i="9"/>
  <c r="O32" i="3"/>
  <c r="C212" i="9"/>
  <c r="O269" i="9"/>
  <c r="K36" i="9"/>
  <c r="N262" i="9"/>
  <c r="I151" i="9"/>
  <c r="I276" i="9"/>
  <c r="N191" i="9"/>
  <c r="O68" i="9"/>
  <c r="C100" i="9"/>
  <c r="K20" i="3"/>
  <c r="N100" i="9"/>
  <c r="L115" i="9"/>
  <c r="L146" i="9"/>
  <c r="K72" i="9"/>
  <c r="I156" i="9"/>
  <c r="C49" i="9"/>
  <c r="K29" i="9"/>
  <c r="L219" i="9"/>
  <c r="F212" i="9"/>
  <c r="O79" i="9"/>
  <c r="H268" i="9"/>
  <c r="L139" i="9"/>
  <c r="I70" i="9"/>
  <c r="L83" i="9"/>
  <c r="N216" i="9"/>
  <c r="I85" i="9"/>
  <c r="F234" i="9"/>
  <c r="O44" i="3"/>
  <c r="K176" i="9"/>
  <c r="E70" i="9"/>
  <c r="F150" i="9"/>
  <c r="C32" i="9"/>
  <c r="C127" i="9"/>
  <c r="N140" i="9"/>
  <c r="K101" i="9"/>
  <c r="K79" i="9"/>
  <c r="G41" i="3"/>
  <c r="O185" i="9"/>
  <c r="K43" i="3"/>
  <c r="N242" i="9"/>
  <c r="N69" i="9"/>
  <c r="N90" i="9"/>
  <c r="K267" i="9"/>
  <c r="N121" i="9"/>
  <c r="H176" i="9"/>
  <c r="O85" i="9"/>
  <c r="O256" i="9"/>
  <c r="H254" i="9"/>
  <c r="O187" i="9"/>
  <c r="L102" i="9"/>
  <c r="I235" i="9"/>
  <c r="F120" i="9"/>
  <c r="E33" i="9"/>
  <c r="H120" i="9"/>
  <c r="K148" i="9"/>
  <c r="O141" i="9"/>
  <c r="E153" i="9"/>
  <c r="C85" i="9"/>
  <c r="I82" i="9"/>
  <c r="H48" i="9"/>
  <c r="K225" i="9"/>
  <c r="O33" i="3"/>
  <c r="N86" i="9"/>
  <c r="I84" i="9"/>
  <c r="L99" i="9"/>
  <c r="F180" i="9"/>
  <c r="I30" i="9"/>
  <c r="L157" i="9"/>
  <c r="N219" i="9"/>
  <c r="I106" i="9"/>
  <c r="G73" i="3"/>
  <c r="O88" i="9"/>
  <c r="O67" i="9"/>
  <c r="N104" i="9"/>
  <c r="C42" i="9"/>
  <c r="L227" i="9"/>
  <c r="G64" i="3"/>
  <c r="F136" i="9"/>
  <c r="H191" i="9"/>
  <c r="I264" i="9"/>
  <c r="C184" i="9"/>
  <c r="F38" i="9"/>
  <c r="E188" i="9"/>
  <c r="O74" i="3"/>
  <c r="E100" i="9"/>
  <c r="O224" i="9"/>
  <c r="E88" i="9"/>
  <c r="K196" i="9"/>
  <c r="H66" i="9"/>
  <c r="L142" i="9"/>
  <c r="H111" i="9"/>
  <c r="K67" i="3"/>
  <c r="H30" i="9"/>
  <c r="K238" i="9"/>
  <c r="O280" i="9"/>
  <c r="H86" i="9"/>
  <c r="K265" i="9"/>
  <c r="O265" i="9"/>
  <c r="L37" i="9"/>
  <c r="C40" i="9"/>
  <c r="K25" i="9"/>
  <c r="N74" i="9"/>
  <c r="O48" i="9"/>
  <c r="L120" i="9"/>
  <c r="O278" i="9"/>
  <c r="H184" i="9"/>
  <c r="L163" i="9"/>
  <c r="O25" i="9"/>
  <c r="F39" i="9"/>
  <c r="I201" i="9"/>
  <c r="N241" i="9"/>
  <c r="K99" i="9"/>
  <c r="K43" i="9"/>
  <c r="O77" i="9"/>
  <c r="K111" i="9"/>
  <c r="E118" i="9"/>
  <c r="C217" i="9"/>
  <c r="H235" i="9"/>
  <c r="E48" i="9"/>
  <c r="I280" i="9"/>
  <c r="O62" i="9"/>
  <c r="C280" i="9"/>
  <c r="E264" i="9"/>
  <c r="N267" i="9"/>
  <c r="C186" i="9"/>
  <c r="O39" i="9"/>
  <c r="K9" i="3"/>
  <c r="O277" i="9"/>
  <c r="E268" i="9"/>
  <c r="F213" i="9"/>
  <c r="L38" i="9"/>
  <c r="K114" i="9"/>
  <c r="N212" i="9"/>
  <c r="H37" i="9"/>
  <c r="K11" i="5"/>
  <c r="E180" i="9"/>
  <c r="H164" i="9"/>
  <c r="L223" i="9"/>
  <c r="F153" i="9"/>
  <c r="I233" i="9"/>
  <c r="F156" i="9"/>
  <c r="C213" i="9"/>
  <c r="C165" i="9"/>
  <c r="L239" i="9"/>
  <c r="C268" i="9"/>
  <c r="C39" i="9"/>
  <c r="I108" i="9"/>
  <c r="N124" i="9"/>
  <c r="I120" i="9"/>
  <c r="H114" i="9"/>
  <c r="E203" i="9"/>
  <c r="E111" i="9"/>
  <c r="H70" i="9"/>
  <c r="E115" i="9"/>
  <c r="F41" i="9"/>
  <c r="H64" i="9"/>
  <c r="I270" i="9"/>
  <c r="C156" i="9"/>
  <c r="C231" i="9"/>
  <c r="H195" i="9"/>
  <c r="N178" i="9"/>
  <c r="K181" i="9"/>
  <c r="K257" i="9"/>
  <c r="F128" i="9"/>
  <c r="H259" i="9"/>
  <c r="C37" i="9"/>
  <c r="I178" i="9"/>
  <c r="L231" i="9"/>
  <c r="F215" i="9"/>
  <c r="H36" i="9"/>
  <c r="K175" i="9"/>
  <c r="L158" i="9"/>
  <c r="H49" i="9"/>
  <c r="L197" i="9"/>
  <c r="L226" i="9"/>
  <c r="O118" i="9"/>
  <c r="K255" i="9"/>
  <c r="L25" i="9"/>
  <c r="O262" i="9"/>
  <c r="O146" i="9"/>
  <c r="K77" i="9"/>
  <c r="C189" i="9"/>
  <c r="H222" i="9"/>
  <c r="L177" i="9"/>
  <c r="L276" i="9"/>
  <c r="H39" i="9"/>
  <c r="O113" i="9"/>
  <c r="O31" i="3"/>
  <c r="I26" i="9"/>
  <c r="I256" i="9"/>
  <c r="E234" i="9"/>
  <c r="O49" i="3"/>
  <c r="E138" i="9"/>
  <c r="F149" i="9"/>
  <c r="L190" i="9"/>
  <c r="O159" i="9"/>
  <c r="H38" i="9"/>
  <c r="H155" i="9"/>
  <c r="N89" i="9"/>
  <c r="C193" i="9"/>
  <c r="I225" i="9"/>
  <c r="K269" i="9"/>
  <c r="L29" i="9"/>
  <c r="E139" i="9"/>
  <c r="N194" i="9"/>
  <c r="K106" i="9"/>
  <c r="H25" i="9"/>
  <c r="F188" i="9"/>
  <c r="O45" i="9"/>
  <c r="C260" i="9"/>
  <c r="I147" i="9"/>
  <c r="C112" i="9"/>
  <c r="N179" i="9"/>
  <c r="K184" i="9"/>
  <c r="E176" i="9"/>
  <c r="I230" i="9"/>
  <c r="L200" i="9"/>
  <c r="F65" i="9"/>
  <c r="C41" i="9"/>
  <c r="N190" i="9"/>
  <c r="N254" i="9"/>
  <c r="I69" i="9"/>
  <c r="L188" i="9"/>
  <c r="C71" i="9"/>
  <c r="L101" i="9"/>
  <c r="I184" i="9"/>
  <c r="O30" i="9"/>
  <c r="K58" i="3"/>
  <c r="G63" i="3"/>
  <c r="N155" i="9"/>
  <c r="C128" i="9"/>
  <c r="G71" i="3"/>
  <c r="F36" i="9"/>
  <c r="O109" i="9"/>
  <c r="C76" i="9"/>
  <c r="H98" i="9"/>
  <c r="I227" i="9"/>
  <c r="I148" i="9"/>
  <c r="F85" i="9"/>
  <c r="F31" i="9"/>
  <c r="K69" i="9"/>
  <c r="G45" i="3"/>
  <c r="N120" i="9"/>
  <c r="O23" i="9"/>
  <c r="F199" i="9"/>
  <c r="F214" i="9"/>
  <c r="K200" i="9"/>
  <c r="K13" i="3"/>
  <c r="N260" i="9"/>
  <c r="L76" i="9"/>
  <c r="H61" i="9"/>
  <c r="L153" i="9"/>
  <c r="I186" i="9"/>
  <c r="G32" i="3"/>
  <c r="L154" i="9"/>
  <c r="O69" i="9"/>
  <c r="F182" i="9"/>
  <c r="F117" i="9"/>
  <c r="K16" i="5"/>
  <c r="N106" i="9"/>
  <c r="N33" i="9"/>
  <c r="H121" i="9"/>
  <c r="H262" i="9"/>
  <c r="L270" i="9"/>
  <c r="K160" i="9"/>
  <c r="H255" i="9"/>
  <c r="N229" i="9"/>
  <c r="E150" i="9"/>
  <c r="C258" i="9"/>
  <c r="L278" i="9"/>
  <c r="N234" i="9"/>
  <c r="O83" i="9"/>
  <c r="F178" i="9"/>
  <c r="C26" i="9"/>
  <c r="K203" i="9"/>
  <c r="E237" i="9"/>
  <c r="I159" i="9"/>
  <c r="K37" i="9"/>
  <c r="K30" i="9"/>
  <c r="N228" i="9"/>
  <c r="I127" i="9"/>
  <c r="K278" i="9"/>
  <c r="E202" i="9"/>
  <c r="O273" i="9"/>
  <c r="E116" i="9"/>
  <c r="K68" i="9"/>
  <c r="L71" i="9"/>
  <c r="K83" i="9"/>
  <c r="E166" i="9"/>
  <c r="N201" i="9"/>
  <c r="C221" i="9"/>
  <c r="K204" i="9"/>
  <c r="I191" i="9"/>
  <c r="L189" i="9"/>
  <c r="N102" i="9"/>
  <c r="F124" i="9"/>
  <c r="O34" i="3"/>
  <c r="H157" i="9"/>
  <c r="O65" i="3"/>
  <c r="O99" i="9"/>
  <c r="O138" i="9"/>
  <c r="E102" i="9"/>
  <c r="H102" i="9"/>
  <c r="L274" i="9"/>
  <c r="O228" i="9"/>
  <c r="E38" i="9"/>
  <c r="C137" i="9"/>
  <c r="L152" i="9"/>
  <c r="C228" i="9"/>
  <c r="I81" i="9"/>
  <c r="L268" i="9"/>
  <c r="L186" i="9"/>
  <c r="O62" i="3"/>
  <c r="H81" i="9"/>
  <c r="N180" i="9"/>
  <c r="H273" i="9"/>
  <c r="H60" i="9"/>
  <c r="C253" i="9"/>
  <c r="H220" i="9"/>
  <c r="C204" i="9"/>
  <c r="E142" i="9"/>
  <c r="I36" i="9"/>
  <c r="O156" i="9"/>
  <c r="I226" i="9"/>
  <c r="L265" i="9"/>
  <c r="F155" i="9"/>
  <c r="I123" i="9"/>
  <c r="E60" i="9"/>
  <c r="F32" i="9"/>
  <c r="C102" i="9"/>
  <c r="K231" i="9"/>
  <c r="H24" i="9"/>
  <c r="L63" i="9"/>
  <c r="C90" i="9"/>
  <c r="E260" i="9"/>
  <c r="E99" i="9"/>
  <c r="H32" i="9"/>
  <c r="E223" i="9"/>
  <c r="I269" i="9"/>
  <c r="H212" i="9"/>
  <c r="C69" i="9"/>
  <c r="I141" i="9"/>
  <c r="I89" i="9"/>
  <c r="E276" i="9"/>
  <c r="L113" i="9"/>
  <c r="E86" i="9"/>
  <c r="E108" i="9"/>
  <c r="O223" i="9"/>
  <c r="E157" i="9"/>
  <c r="K226" i="9"/>
  <c r="K155" i="9"/>
  <c r="C158" i="9"/>
  <c r="N257" i="9"/>
  <c r="H198" i="9"/>
  <c r="C70" i="9"/>
  <c r="N215" i="9"/>
  <c r="K279" i="9"/>
  <c r="H89" i="9"/>
  <c r="L229" i="9"/>
  <c r="K24" i="3"/>
  <c r="F264" i="9"/>
  <c r="K110" i="9"/>
  <c r="H79" i="9"/>
  <c r="F254" i="9"/>
  <c r="G59" i="3"/>
  <c r="E141" i="9"/>
  <c r="E270" i="9"/>
  <c r="I122" i="9"/>
  <c r="K229" i="9"/>
  <c r="E114" i="9"/>
  <c r="E68" i="9"/>
  <c r="C123" i="9"/>
  <c r="H123" i="9"/>
  <c r="E31" i="9"/>
  <c r="G46" i="3"/>
  <c r="N23" i="9"/>
  <c r="C149" i="9"/>
  <c r="E121" i="9"/>
  <c r="O35" i="9"/>
  <c r="I279" i="9"/>
  <c r="N29" i="9"/>
  <c r="N142" i="9"/>
  <c r="E192" i="9"/>
  <c r="H193" i="9"/>
  <c r="H178" i="9"/>
  <c r="I278" i="9"/>
  <c r="O65" i="9"/>
  <c r="F166" i="9"/>
  <c r="K275" i="9"/>
  <c r="K73" i="9"/>
  <c r="K258" i="9"/>
  <c r="I43" i="9"/>
  <c r="H138" i="9"/>
  <c r="N122" i="9"/>
  <c r="N115" i="9"/>
  <c r="L69" i="9"/>
  <c r="C118" i="9"/>
  <c r="K103" i="9"/>
  <c r="I101" i="9"/>
  <c r="E50" i="9"/>
  <c r="C31" i="9"/>
  <c r="F263" i="9"/>
  <c r="N42" i="9"/>
  <c r="K217" i="9"/>
  <c r="F108" i="9"/>
  <c r="H90" i="9"/>
  <c r="C61" i="9"/>
  <c r="F252" i="9"/>
  <c r="E174" i="9"/>
  <c r="I48" i="9"/>
  <c r="H107" i="9"/>
  <c r="H68" i="9"/>
  <c r="O59" i="3"/>
  <c r="F66" i="9"/>
  <c r="E34" i="9"/>
  <c r="K128" i="9"/>
  <c r="H185" i="9"/>
  <c r="F83" i="9"/>
  <c r="H126" i="9"/>
  <c r="I190" i="9"/>
  <c r="F269" i="9"/>
  <c r="L136" i="9"/>
  <c r="C271" i="9"/>
  <c r="O75" i="3"/>
  <c r="K39" i="3"/>
  <c r="E224" i="9"/>
  <c r="I110" i="9"/>
  <c r="E222" i="9"/>
  <c r="L68" i="9"/>
  <c r="L151" i="9"/>
  <c r="L260" i="9"/>
  <c r="C229" i="9"/>
  <c r="E280" i="9"/>
  <c r="K67" i="9"/>
  <c r="O191" i="9"/>
  <c r="N116" i="9"/>
  <c r="I263" i="9"/>
  <c r="C28" i="9"/>
  <c r="E66" i="9"/>
  <c r="H275" i="9"/>
  <c r="L88" i="9"/>
  <c r="O48" i="3"/>
  <c r="K72" i="3"/>
  <c r="N220" i="9"/>
  <c r="N153" i="9"/>
  <c r="E26" i="9"/>
  <c r="F163" i="9"/>
  <c r="K254" i="9"/>
  <c r="C22" i="9"/>
  <c r="H45" i="9"/>
  <c r="I146" i="9"/>
  <c r="O61" i="9"/>
  <c r="I45" i="9"/>
  <c r="E240" i="9"/>
  <c r="N186" i="9"/>
  <c r="C219" i="9"/>
  <c r="H119" i="9"/>
  <c r="N235" i="9"/>
  <c r="L179" i="9"/>
  <c r="K10" i="3"/>
  <c r="E128" i="9"/>
  <c r="I144" i="9"/>
  <c r="L65" i="9"/>
  <c r="K146" i="9"/>
  <c r="I180" i="9"/>
  <c r="C263" i="9"/>
  <c r="N125" i="9"/>
  <c r="E190" i="9"/>
  <c r="E40" i="9"/>
  <c r="H261" i="9"/>
  <c r="K22" i="9"/>
  <c r="F106" i="9"/>
  <c r="K17" i="5"/>
  <c r="N188" i="9"/>
  <c r="I71" i="9"/>
  <c r="K189" i="9"/>
  <c r="C77" i="9"/>
  <c r="L22" i="9"/>
  <c r="F219" i="9"/>
  <c r="K219" i="9"/>
  <c r="C120" i="9"/>
  <c r="C227" i="9"/>
  <c r="C140" i="9"/>
  <c r="E37" i="9"/>
  <c r="K218" i="9"/>
  <c r="H179" i="9"/>
  <c r="H238" i="9"/>
  <c r="K117" i="9"/>
  <c r="H229" i="9"/>
  <c r="L195" i="9"/>
  <c r="O214" i="9"/>
  <c r="F272" i="9"/>
  <c r="H219" i="9"/>
  <c r="N109" i="9"/>
  <c r="E159" i="9"/>
  <c r="K182" i="9"/>
  <c r="E112" i="9"/>
  <c r="F84" i="9"/>
  <c r="I72" i="9"/>
  <c r="L215" i="9"/>
  <c r="I119" i="9"/>
  <c r="E47" i="9"/>
  <c r="O68" i="3"/>
  <c r="K273" i="9"/>
  <c r="O218" i="9"/>
  <c r="L261" i="9"/>
  <c r="C67" i="9"/>
  <c r="E161" i="9"/>
  <c r="K45" i="9"/>
  <c r="I165" i="9"/>
  <c r="O137" i="9"/>
  <c r="K138" i="9"/>
  <c r="I213" i="9"/>
  <c r="E189" i="9"/>
  <c r="O70" i="9"/>
  <c r="G31" i="3"/>
  <c r="E226" i="9"/>
  <c r="F98" i="9"/>
  <c r="C279" i="9"/>
  <c r="L148" i="9"/>
  <c r="G33" i="3"/>
  <c r="K142" i="9"/>
  <c r="H87" i="9"/>
  <c r="K163" i="9"/>
  <c r="K124" i="9"/>
  <c r="H31" i="9"/>
  <c r="L236" i="9"/>
  <c r="I198" i="9"/>
  <c r="K197" i="9"/>
  <c r="O202" i="9"/>
  <c r="N41" i="9"/>
  <c r="H182" i="9"/>
  <c r="H34" i="9"/>
  <c r="N233" i="9"/>
  <c r="K23" i="9"/>
  <c r="N87" i="9"/>
  <c r="K177" i="9"/>
  <c r="K159" i="9"/>
  <c r="E42" i="9"/>
  <c r="C224" i="9"/>
  <c r="C232" i="9"/>
  <c r="I203" i="9"/>
  <c r="K49" i="3"/>
  <c r="N127" i="9"/>
  <c r="H33" i="9"/>
  <c r="C150" i="9"/>
  <c r="H214" i="9"/>
  <c r="K25" i="3"/>
  <c r="I63" i="9"/>
  <c r="N37" i="9"/>
  <c r="O60" i="3"/>
  <c r="L117" i="9"/>
  <c r="H42" i="9"/>
  <c r="F187" i="9"/>
  <c r="L52" i="9"/>
  <c r="E201" i="9"/>
  <c r="I266" i="9"/>
  <c r="N136" i="9"/>
  <c r="O72" i="3"/>
  <c r="E160" i="9"/>
  <c r="C108" i="9"/>
  <c r="C73" i="9"/>
  <c r="H183" i="9"/>
  <c r="H27" i="9"/>
  <c r="K242" i="9"/>
  <c r="H23" i="9"/>
  <c r="O270" i="9"/>
  <c r="L187" i="9"/>
  <c r="C148" i="9"/>
  <c r="O178" i="9"/>
  <c r="L122" i="9"/>
  <c r="O104" i="9"/>
  <c r="N162" i="9"/>
  <c r="K63" i="3"/>
  <c r="L125" i="9"/>
  <c r="L34" i="9"/>
  <c r="O29" i="9"/>
  <c r="K61" i="3"/>
  <c r="K232" i="9"/>
  <c r="O204" i="9"/>
  <c r="E251" i="9"/>
  <c r="O60" i="9"/>
  <c r="O142" i="9"/>
  <c r="H239" i="9"/>
  <c r="E127" i="9"/>
  <c r="L272" i="9"/>
  <c r="C51" i="9"/>
  <c r="O49" i="9"/>
  <c r="O22" i="9"/>
  <c r="F69" i="9"/>
  <c r="G44" i="3"/>
  <c r="E273" i="9"/>
  <c r="K17" i="3"/>
  <c r="C197" i="9"/>
  <c r="O90" i="9"/>
  <c r="K14" i="3"/>
  <c r="E154" i="9"/>
  <c r="F157" i="9"/>
  <c r="C178" i="9"/>
  <c r="I31" i="9"/>
  <c r="O260" i="9"/>
  <c r="C151" i="9"/>
  <c r="F223" i="9"/>
  <c r="E82" i="9"/>
  <c r="O86" i="9"/>
  <c r="E146" i="9"/>
  <c r="C257" i="9"/>
  <c r="L70" i="9"/>
  <c r="E216" i="9"/>
  <c r="N71" i="9"/>
  <c r="O105" i="9"/>
  <c r="H274" i="9"/>
  <c r="K137" i="9"/>
  <c r="K18" i="5"/>
  <c r="I176" i="9"/>
  <c r="O251" i="9"/>
  <c r="N88" i="9"/>
  <c r="F139" i="9"/>
  <c r="E32" i="9"/>
  <c r="G72" i="3"/>
  <c r="E73" i="9"/>
  <c r="I136" i="9"/>
  <c r="O229" i="9"/>
  <c r="I177" i="9"/>
  <c r="K116" i="9"/>
  <c r="O64" i="3"/>
  <c r="I100" i="9"/>
  <c r="I51" i="9"/>
  <c r="C273" i="9"/>
  <c r="O175" i="9"/>
  <c r="E155" i="9"/>
  <c r="E36" i="9"/>
  <c r="N181" i="9"/>
  <c r="H69" i="9"/>
  <c r="O45" i="3"/>
  <c r="E87" i="9"/>
  <c r="F174" i="9"/>
  <c r="L82" i="9"/>
  <c r="E63" i="9"/>
  <c r="L121" i="9"/>
  <c r="K22" i="3"/>
  <c r="K38" i="3"/>
  <c r="L138" i="9"/>
  <c r="C62" i="9"/>
  <c r="N239" i="9"/>
  <c r="F114" i="9"/>
  <c r="L178" i="9"/>
  <c r="N108" i="9"/>
  <c r="O268" i="9"/>
  <c r="L111" i="9"/>
  <c r="I223" i="9"/>
  <c r="O76" i="9"/>
  <c r="H161" i="9"/>
  <c r="O149" i="9"/>
  <c r="K250" i="9"/>
  <c r="I22" i="9"/>
  <c r="H147" i="9"/>
  <c r="F113" i="9"/>
  <c r="E69" i="9"/>
  <c r="K195" i="9"/>
  <c r="L160" i="9"/>
  <c r="O46" i="9"/>
  <c r="H146" i="9"/>
  <c r="C251" i="9"/>
  <c r="N39" i="9"/>
  <c r="K228" i="9"/>
  <c r="K150" i="9"/>
  <c r="I219" i="9"/>
  <c r="O227" i="9"/>
  <c r="K62" i="9"/>
  <c r="K143" i="9"/>
  <c r="O35" i="3"/>
  <c r="N226" i="9"/>
  <c r="F63" i="9"/>
  <c r="H230" i="9"/>
  <c r="H28" i="9"/>
  <c r="C65" i="9"/>
  <c r="E101" i="9"/>
  <c r="E109" i="9"/>
  <c r="K263" i="9"/>
  <c r="K140" i="9"/>
  <c r="L202" i="9"/>
  <c r="G49" i="3"/>
  <c r="N31" i="9"/>
  <c r="E103" i="9"/>
  <c r="F25" i="9"/>
  <c r="L162" i="9"/>
  <c r="F22" i="9"/>
  <c r="E238" i="9"/>
  <c r="N199" i="9"/>
  <c r="C200" i="9"/>
  <c r="N276" i="9"/>
  <c r="C43" i="9"/>
  <c r="F127" i="9"/>
  <c r="N84" i="9"/>
  <c r="E199" i="9"/>
  <c r="L176" i="9"/>
  <c r="I196" i="9"/>
  <c r="L256" i="9"/>
  <c r="L235" i="9"/>
  <c r="N255" i="9"/>
  <c r="K113" i="9"/>
  <c r="I35" i="9"/>
  <c r="N185" i="9"/>
  <c r="K199" i="9"/>
  <c r="F33" i="9"/>
  <c r="H278" i="9"/>
  <c r="E137" i="9"/>
  <c r="C180" i="9"/>
  <c r="K179" i="9"/>
  <c r="L193" i="9"/>
  <c r="L32" i="9"/>
  <c r="L266" i="9"/>
  <c r="N80" i="9"/>
  <c r="I78" i="9"/>
  <c r="N183" i="9"/>
  <c r="K65" i="9"/>
  <c r="N83" i="9"/>
  <c r="N218" i="9"/>
  <c r="C214" i="9"/>
  <c r="L184" i="9"/>
  <c r="N152" i="9"/>
  <c r="K12" i="5"/>
  <c r="F241" i="9"/>
  <c r="E147" i="9"/>
  <c r="K68" i="3"/>
  <c r="L237" i="9"/>
  <c r="N51" i="9"/>
  <c r="I44" i="9"/>
  <c r="F43" i="9"/>
  <c r="K271" i="9"/>
  <c r="O75" i="9"/>
  <c r="G39" i="3"/>
  <c r="H77" i="9"/>
  <c r="G57" i="3"/>
  <c r="N138" i="9"/>
  <c r="N98" i="9"/>
  <c r="I152" i="9"/>
  <c r="C107" i="9"/>
  <c r="I163" i="9"/>
  <c r="K89" i="9"/>
  <c r="E152" i="9"/>
  <c r="N204" i="9"/>
  <c r="N114" i="9"/>
  <c r="L145" i="9"/>
  <c r="O188" i="9"/>
  <c r="N223" i="9"/>
  <c r="E140" i="9"/>
  <c r="O32" i="9"/>
  <c r="O82" i="9"/>
  <c r="I68" i="9"/>
  <c r="I160" i="9"/>
  <c r="N268" i="9"/>
  <c r="K71" i="9"/>
  <c r="F218" i="9"/>
  <c r="H276" i="9"/>
  <c r="N166" i="9"/>
  <c r="K126" i="9"/>
  <c r="I240" i="9"/>
  <c r="K127" i="9"/>
  <c r="O201" i="9"/>
  <c r="E149" i="9"/>
  <c r="C80" i="9"/>
  <c r="C36" i="9"/>
  <c r="F277" i="9"/>
  <c r="E61" i="9"/>
  <c r="N79" i="9"/>
  <c r="L103" i="9"/>
  <c r="E80" i="9"/>
  <c r="O61" i="3"/>
  <c r="F162" i="9"/>
  <c r="H127" i="9"/>
  <c r="K161" i="9"/>
  <c r="E27" i="9"/>
  <c r="N67" i="9"/>
  <c r="E184" i="9"/>
  <c r="O264" i="9"/>
  <c r="N221" i="9"/>
  <c r="L39" i="9"/>
  <c r="I150" i="9"/>
  <c r="E136" i="9"/>
  <c r="O217" i="9"/>
  <c r="I164" i="9"/>
  <c r="K192" i="9"/>
  <c r="H63" i="9"/>
  <c r="O179" i="9"/>
  <c r="C181" i="9"/>
  <c r="C202" i="9"/>
  <c r="O220" i="9"/>
  <c r="K220" i="9"/>
  <c r="F78" i="9"/>
  <c r="L128" i="9"/>
  <c r="I116" i="9"/>
  <c r="C226" i="9"/>
  <c r="E278" i="9"/>
  <c r="E28" i="9"/>
  <c r="C254" i="9"/>
  <c r="C255" i="9"/>
  <c r="F143" i="9"/>
  <c r="N237" i="9"/>
  <c r="C142" i="9"/>
  <c r="I109" i="9"/>
  <c r="K60" i="3"/>
  <c r="O63" i="3"/>
  <c r="L62" i="9"/>
  <c r="N279" i="9"/>
  <c r="O26" i="9"/>
  <c r="F24" i="9"/>
  <c r="C175" i="9"/>
  <c r="H270" i="9"/>
  <c r="N148" i="9"/>
  <c r="H52" i="9"/>
  <c r="C272" i="9"/>
  <c r="L216" i="9"/>
  <c r="K64" i="3"/>
  <c r="C155" i="9"/>
  <c r="E43" i="9"/>
  <c r="I182" i="9"/>
  <c r="O38" i="3"/>
  <c r="I107" i="9"/>
  <c r="F231" i="9"/>
  <c r="E156" i="9"/>
  <c r="E125" i="9"/>
  <c r="O186" i="9"/>
  <c r="N34" i="9"/>
  <c r="I194" i="9"/>
  <c r="O222" i="9"/>
  <c r="L42" i="9"/>
  <c r="F175" i="9"/>
  <c r="F184" i="9"/>
  <c r="I117" i="9"/>
  <c r="C86" i="9"/>
  <c r="K50" i="3"/>
  <c r="F204" i="9"/>
  <c r="H73" i="9"/>
  <c r="K107" i="9"/>
  <c r="I199" i="9"/>
  <c r="I60" i="9"/>
  <c r="I154" i="9"/>
  <c r="G60" i="3"/>
  <c r="L116" i="9"/>
  <c r="F51" i="9"/>
  <c r="C163" i="9"/>
  <c r="L74" i="9"/>
  <c r="H258" i="9"/>
  <c r="O47" i="3"/>
  <c r="F89" i="9"/>
  <c r="L23" i="9"/>
  <c r="K37" i="3"/>
  <c r="H163" i="9"/>
  <c r="K82" i="9"/>
  <c r="O237" i="9"/>
  <c r="O193" i="9"/>
  <c r="F262" i="9"/>
  <c r="F216" i="9"/>
  <c r="G65" i="3"/>
  <c r="H110" i="9"/>
  <c r="H266" i="9"/>
  <c r="G66" i="3"/>
  <c r="E64" i="9"/>
  <c r="N26" i="9"/>
  <c r="K46" i="9"/>
  <c r="K190" i="9"/>
  <c r="F202" i="9"/>
  <c r="G75" i="3"/>
  <c r="I220" i="9"/>
  <c r="I104" i="9"/>
  <c r="C176" i="9"/>
  <c r="H105" i="9"/>
  <c r="C215" i="9"/>
  <c r="H116" i="9"/>
  <c r="K18" i="3"/>
  <c r="I98" i="9"/>
  <c r="C152" i="9"/>
  <c r="K62" i="3"/>
  <c r="K32" i="9"/>
  <c r="O115" i="9"/>
  <c r="G37" i="3"/>
  <c r="H85" i="9"/>
  <c r="K186" i="9"/>
  <c r="L90" i="9"/>
  <c r="O36" i="9"/>
  <c r="O120" i="9"/>
  <c r="N184" i="9"/>
  <c r="E44" i="9"/>
  <c r="I46" i="9"/>
  <c r="N161" i="9"/>
  <c r="K24" i="9"/>
  <c r="O46" i="3"/>
  <c r="C233" i="9"/>
  <c r="L78" i="9"/>
  <c r="F255" i="9"/>
  <c r="H216" i="9"/>
  <c r="K98" i="9"/>
  <c r="G62" i="3"/>
  <c r="K64" i="9"/>
  <c r="I193" i="9"/>
  <c r="N157" i="9"/>
  <c r="H190" i="9"/>
  <c r="L87" i="9"/>
  <c r="L108" i="9"/>
  <c r="L84" i="9"/>
  <c r="H76" i="9"/>
  <c r="E252" i="9"/>
  <c r="E45" i="9"/>
  <c r="L224" i="9"/>
  <c r="O162" i="9"/>
  <c r="C194" i="9"/>
  <c r="E41" i="9"/>
  <c r="E164" i="9"/>
  <c r="L109" i="9"/>
  <c r="I99" i="9"/>
  <c r="K166" i="9"/>
  <c r="L262" i="9"/>
  <c r="I239" i="9"/>
  <c r="C24" i="9"/>
  <c r="N137" i="9"/>
  <c r="I255" i="9"/>
  <c r="C126" i="9"/>
  <c r="C78" i="9"/>
  <c r="O144" i="9"/>
  <c r="G40" i="3"/>
  <c r="C121" i="9"/>
  <c r="N158" i="9"/>
  <c r="L126" i="9"/>
  <c r="I259" i="9"/>
  <c r="C264" i="9"/>
  <c r="I29" i="9"/>
  <c r="F77" i="9"/>
  <c r="K73" i="3"/>
  <c r="L238" i="9"/>
  <c r="C48" i="9"/>
  <c r="H237" i="9"/>
  <c r="F181" i="9"/>
  <c r="O147" i="9"/>
  <c r="K49" i="9"/>
  <c r="L77" i="9"/>
  <c r="K41" i="9"/>
  <c r="O111" i="9"/>
  <c r="N278" i="9"/>
  <c r="I64" i="9"/>
  <c r="E104" i="9"/>
  <c r="O235" i="9"/>
  <c r="K42" i="9"/>
  <c r="N60" i="9"/>
  <c r="C34" i="9"/>
  <c r="O121" i="9"/>
  <c r="N82" i="9"/>
  <c r="K221" i="9"/>
  <c r="K8" i="3"/>
  <c r="F253" i="9"/>
  <c r="I88" i="9"/>
  <c r="H160" i="9"/>
  <c r="K162" i="9"/>
  <c r="L47" i="9"/>
  <c r="E23" i="9"/>
  <c r="C23" i="9"/>
  <c r="I128" i="9"/>
  <c r="E262" i="9"/>
  <c r="I37" i="9"/>
  <c r="I126" i="9"/>
  <c r="L137" i="9"/>
  <c r="L75" i="9"/>
  <c r="N65" i="9"/>
  <c r="C276" i="9"/>
  <c r="K180" i="9"/>
  <c r="L252" i="9"/>
  <c r="F64" i="9"/>
  <c r="N68" i="9"/>
  <c r="E120" i="9"/>
  <c r="H109" i="9"/>
  <c r="F68" i="9"/>
  <c r="I197" i="9"/>
  <c r="E123" i="9"/>
  <c r="I86" i="9"/>
  <c r="O150" i="9"/>
  <c r="K25" i="5"/>
  <c r="E232" i="9"/>
  <c r="H137" i="9"/>
  <c r="C196" i="9"/>
  <c r="O66" i="9"/>
  <c r="I75" i="9"/>
  <c r="L250" i="9"/>
  <c r="O71" i="3"/>
  <c r="E46" i="9"/>
  <c r="N117" i="9"/>
  <c r="K230" i="9"/>
  <c r="G69" i="3"/>
  <c r="H228" i="9"/>
  <c r="N73" i="9"/>
  <c r="H202" i="9"/>
  <c r="H267" i="9"/>
  <c r="O78" i="9"/>
  <c r="K191" i="9"/>
  <c r="F189" i="9"/>
  <c r="F116" i="9"/>
  <c r="H51" i="9"/>
  <c r="K34" i="9"/>
  <c r="L100" i="9"/>
  <c r="L44" i="9"/>
  <c r="I271" i="9"/>
  <c r="N147" i="9"/>
  <c r="K165" i="9"/>
  <c r="O161" i="9"/>
  <c r="L259" i="9"/>
  <c r="H232" i="9"/>
  <c r="F185" i="9"/>
  <c r="C119" i="9"/>
  <c r="I32" i="9"/>
  <c r="O154" i="9"/>
  <c r="F268" i="9"/>
  <c r="L40" i="9"/>
  <c r="F62" i="9"/>
  <c r="H200" i="9"/>
  <c r="N139" i="9"/>
  <c r="L119" i="9"/>
  <c r="F49" i="9"/>
  <c r="N144" i="9"/>
  <c r="H201" i="9"/>
  <c r="O200" i="9"/>
  <c r="N62" i="9"/>
  <c r="I242" i="9"/>
  <c r="F179" i="9"/>
  <c r="E235" i="9"/>
  <c r="K84" i="9"/>
  <c r="F200" i="9"/>
  <c r="L46" i="9"/>
  <c r="K252" i="9"/>
  <c r="E191" i="9"/>
  <c r="O242" i="9"/>
  <c r="H256" i="9"/>
  <c r="I23" i="9"/>
  <c r="E126" i="9"/>
  <c r="N265" i="9"/>
  <c r="E185" i="9"/>
  <c r="C203" i="9"/>
  <c r="I215" i="9"/>
  <c r="C38" i="9"/>
  <c r="H159" i="9"/>
  <c r="F229" i="9"/>
  <c r="E241" i="9"/>
  <c r="F224" i="9"/>
  <c r="F165" i="9"/>
  <c r="E198" i="9"/>
  <c r="O84" i="9"/>
  <c r="K125" i="9"/>
  <c r="C144" i="9"/>
  <c r="G48" i="3"/>
  <c r="K280" i="9"/>
  <c r="L232" i="9"/>
  <c r="L185" i="9"/>
  <c r="K202" i="9"/>
  <c r="N259" i="9"/>
  <c r="H215" i="9"/>
  <c r="L141" i="9"/>
  <c r="K28" i="9"/>
  <c r="E90" i="9"/>
  <c r="H269" i="9"/>
  <c r="C47" i="9"/>
  <c r="F257" i="9"/>
  <c r="G42" i="3"/>
  <c r="C139" i="9"/>
  <c r="E279" i="9"/>
  <c r="F177" i="9"/>
  <c r="K193" i="9"/>
  <c r="E253" i="9"/>
  <c r="F193" i="9"/>
  <c r="N160" i="9"/>
  <c r="E196" i="9"/>
  <c r="K45" i="3"/>
  <c r="H242" i="9"/>
  <c r="K44" i="3"/>
  <c r="E76" i="9"/>
  <c r="O33" i="9"/>
  <c r="C141" i="9"/>
  <c r="E25" i="9"/>
  <c r="C262" i="9"/>
  <c r="E187" i="9"/>
  <c r="C64" i="9"/>
  <c r="N128" i="9"/>
  <c r="L85" i="9"/>
  <c r="O233" i="9"/>
  <c r="L73" i="9"/>
  <c r="C160" i="9"/>
  <c r="K145" i="9"/>
  <c r="N48" i="9"/>
  <c r="F67" i="9"/>
  <c r="F265" i="9"/>
  <c r="O31" i="9"/>
  <c r="E242" i="9"/>
  <c r="F123" i="9"/>
  <c r="L164" i="9"/>
  <c r="I52" i="9"/>
  <c r="H280" i="9"/>
  <c r="N200" i="9"/>
  <c r="L143" i="9"/>
  <c r="O123" i="9"/>
  <c r="L255" i="9"/>
  <c r="O267" i="9"/>
  <c r="K61" i="9"/>
  <c r="L144" i="9"/>
  <c r="F37" i="9"/>
  <c r="N275" i="9"/>
  <c r="N35" i="9"/>
  <c r="N76" i="9"/>
  <c r="K151" i="9"/>
  <c r="F267" i="9"/>
  <c r="O252" i="9"/>
  <c r="E162" i="9"/>
  <c r="H224" i="9"/>
  <c r="O98" i="9"/>
  <c r="C270" i="9"/>
  <c r="K216" i="9"/>
  <c r="H165" i="9"/>
  <c r="N101" i="9"/>
  <c r="K237" i="9"/>
  <c r="C124" i="9"/>
  <c r="F76" i="9"/>
  <c r="O274" i="9"/>
  <c r="K139" i="9"/>
  <c r="I38" i="9"/>
  <c r="F61" i="9"/>
  <c r="O199" i="9"/>
  <c r="O112" i="9"/>
  <c r="N261" i="9"/>
  <c r="L67" i="9"/>
  <c r="C106" i="9"/>
  <c r="K277" i="9"/>
  <c r="K48" i="3"/>
  <c r="N192" i="9"/>
  <c r="L64" i="9"/>
  <c r="L192" i="9"/>
  <c r="H35" i="9"/>
  <c r="K39" i="9"/>
  <c r="E215" i="9"/>
  <c r="K259" i="9"/>
  <c r="O69" i="3"/>
  <c r="L79" i="9"/>
  <c r="H83" i="9"/>
  <c r="C138" i="9"/>
  <c r="O275" i="9"/>
  <c r="L279" i="9"/>
  <c r="O231" i="9"/>
  <c r="I33" i="9"/>
  <c r="H22" i="9"/>
  <c r="H223" i="9"/>
  <c r="O197" i="9"/>
  <c r="O51" i="9"/>
  <c r="L156" i="9"/>
  <c r="E274" i="9"/>
  <c r="K70" i="3"/>
  <c r="O183" i="9"/>
  <c r="O215" i="9"/>
  <c r="I174" i="9"/>
  <c r="O42" i="9"/>
  <c r="H136" i="9"/>
  <c r="H150" i="9"/>
  <c r="O107" i="9"/>
  <c r="H117" i="9"/>
  <c r="E255" i="9"/>
  <c r="E218" i="9"/>
  <c r="O110" i="9"/>
  <c r="I145" i="9"/>
  <c r="E175" i="9"/>
  <c r="I66" i="9"/>
  <c r="N250" i="9"/>
  <c r="H166" i="9"/>
  <c r="K40" i="9"/>
  <c r="K270" i="9"/>
  <c r="F260" i="9"/>
  <c r="L230" i="9"/>
  <c r="I77" i="9"/>
  <c r="N273" i="9"/>
  <c r="K10" i="5"/>
  <c r="N85" i="9"/>
  <c r="L50" i="9"/>
  <c r="C162" i="9"/>
  <c r="O177" i="9"/>
  <c r="L222" i="9"/>
  <c r="K36" i="3"/>
  <c r="F88" i="9"/>
  <c r="H189" i="9"/>
  <c r="C250" i="9"/>
  <c r="K66" i="3"/>
  <c r="N274" i="9"/>
  <c r="I232" i="9"/>
  <c r="N38" i="9"/>
  <c r="F238" i="9"/>
  <c r="H46" i="9"/>
  <c r="F228" i="9"/>
  <c r="F222" i="9"/>
  <c r="K87" i="9"/>
  <c r="I236" i="9"/>
  <c r="I67" i="9"/>
  <c r="E261" i="9"/>
  <c r="C157" i="9"/>
  <c r="C230" i="9"/>
  <c r="K23" i="3"/>
  <c r="I187" i="9"/>
  <c r="K241" i="9"/>
  <c r="F258" i="9"/>
  <c r="C125" i="9"/>
  <c r="I250" i="9"/>
  <c r="C218" i="9"/>
  <c r="N175" i="9"/>
  <c r="O44" i="9"/>
  <c r="E217" i="9"/>
  <c r="E220" i="9"/>
  <c r="C25" i="9"/>
  <c r="H186" i="9"/>
  <c r="I217" i="9"/>
  <c r="E85" i="9"/>
  <c r="K185" i="9"/>
  <c r="E194" i="9"/>
  <c r="C50" i="9"/>
  <c r="H180" i="9"/>
  <c r="C242" i="9"/>
  <c r="O108" i="9"/>
  <c r="O64" i="9"/>
  <c r="I275" i="9"/>
  <c r="C109" i="9"/>
  <c r="E239" i="9"/>
  <c r="C240" i="9"/>
  <c r="E213" i="9"/>
  <c r="O124" i="9"/>
  <c r="I42" i="9"/>
  <c r="I175" i="9"/>
  <c r="K154" i="9"/>
  <c r="O254" i="9"/>
  <c r="L182" i="9"/>
  <c r="O232" i="9"/>
  <c r="N272" i="9"/>
  <c r="O155" i="9"/>
  <c r="K46" i="3"/>
  <c r="O180" i="9"/>
  <c r="H71" i="9"/>
  <c r="C201" i="9"/>
  <c r="L26" i="9"/>
  <c r="H115" i="9"/>
  <c r="C29" i="9"/>
  <c r="N187" i="9"/>
  <c r="L267" i="9"/>
  <c r="K40" i="3"/>
  <c r="N145" i="9"/>
  <c r="K41" i="3"/>
  <c r="K120" i="9"/>
  <c r="N119" i="9"/>
  <c r="G34" i="3"/>
  <c r="I90" i="9"/>
  <c r="O261" i="9"/>
  <c r="O72" i="9"/>
  <c r="L273" i="9"/>
  <c r="K201" i="9"/>
  <c r="L277" i="9"/>
  <c r="H128" i="9"/>
  <c r="F251" i="9"/>
  <c r="I49" i="9"/>
  <c r="F190" i="9"/>
  <c r="C33" i="9"/>
  <c r="E267" i="9"/>
  <c r="O250" i="9"/>
  <c r="C111" i="9"/>
  <c r="K194" i="9"/>
  <c r="H74" i="9"/>
  <c r="L43" i="9"/>
  <c r="H197" i="9"/>
  <c r="K119" i="9"/>
  <c r="H251" i="9"/>
  <c r="O57" i="3"/>
  <c r="O66" i="3"/>
  <c r="I113" i="9"/>
  <c r="N112" i="9"/>
  <c r="K69" i="3"/>
  <c r="H175" i="9"/>
  <c r="H225" i="9"/>
  <c r="E204" i="9"/>
  <c r="K15" i="3"/>
  <c r="F278" i="9"/>
  <c r="O239" i="9"/>
  <c r="C190" i="9"/>
  <c r="I115" i="9"/>
  <c r="C101" i="9"/>
  <c r="N52" i="9"/>
  <c r="F87" i="9"/>
  <c r="G74" i="3"/>
  <c r="H158" i="9"/>
  <c r="K274" i="9"/>
  <c r="L240" i="9"/>
  <c r="F256" i="9"/>
  <c r="O165" i="9"/>
  <c r="I212" i="9"/>
  <c r="O203" i="9"/>
  <c r="H29" i="9"/>
  <c r="F230" i="9"/>
  <c r="C261" i="9"/>
  <c r="L198" i="9"/>
  <c r="F279" i="9"/>
  <c r="N63" i="9"/>
  <c r="C147" i="9"/>
  <c r="H118" i="9"/>
  <c r="H187" i="9"/>
  <c r="K136" i="9"/>
  <c r="E259" i="9"/>
  <c r="L204" i="9"/>
  <c r="I237" i="9"/>
  <c r="K74" i="9"/>
  <c r="N47" i="9"/>
  <c r="N270" i="9"/>
  <c r="C234" i="9"/>
  <c r="K15" i="5"/>
  <c r="I222" i="9"/>
  <c r="N103" i="9"/>
  <c r="C183" i="9"/>
  <c r="N264" i="9"/>
  <c r="N50" i="9"/>
  <c r="O122" i="9"/>
  <c r="O238" i="9"/>
  <c r="I124" i="9"/>
  <c r="G50" i="3"/>
  <c r="C72" i="9"/>
  <c r="O174" i="9"/>
  <c r="K35" i="3"/>
  <c r="K104" i="9"/>
  <c r="I41" i="9"/>
  <c r="K13" i="5"/>
  <c r="N165" i="9"/>
  <c r="N149" i="9"/>
  <c r="C82" i="9"/>
  <c r="O163" i="9"/>
  <c r="F27" i="9"/>
  <c r="K20" i="5"/>
  <c r="K215" i="9"/>
  <c r="E195" i="9"/>
  <c r="H112" i="9"/>
  <c r="I179" i="9"/>
  <c r="K59" i="3"/>
  <c r="C235" i="9"/>
  <c r="I200" i="9"/>
  <c r="L114" i="9"/>
  <c r="L254" i="9"/>
  <c r="G36" i="3"/>
  <c r="F71" i="9"/>
  <c r="O43" i="3"/>
  <c r="E148" i="9"/>
  <c r="I228" i="9"/>
  <c r="F242" i="9"/>
  <c r="O37" i="9"/>
  <c r="K31" i="9"/>
  <c r="I34" i="9"/>
  <c r="C113" i="9"/>
  <c r="H241" i="9"/>
  <c r="K109" i="9"/>
  <c r="F44" i="9"/>
  <c r="F271" i="9"/>
  <c r="L159" i="9"/>
  <c r="I62" i="9"/>
  <c r="E257" i="9"/>
  <c r="C136" i="9"/>
  <c r="H47" i="9"/>
  <c r="L264" i="9"/>
  <c r="E71" i="9"/>
  <c r="N141" i="9"/>
  <c r="I139" i="9"/>
  <c r="L258" i="9"/>
  <c r="I229" i="9"/>
  <c r="K12" i="3"/>
  <c r="F235" i="9"/>
  <c r="C192" i="9"/>
  <c r="F47" i="9"/>
  <c r="O189" i="9"/>
  <c r="E229" i="9"/>
  <c r="O81" i="9"/>
  <c r="E277" i="9"/>
  <c r="I105" i="9"/>
  <c r="O213" i="9"/>
  <c r="C237" i="9"/>
  <c r="H233" i="9"/>
  <c r="E250" i="9"/>
  <c r="L86" i="9"/>
  <c r="N263" i="9"/>
  <c r="N227" i="9"/>
  <c r="C117" i="9"/>
  <c r="K19" i="3"/>
  <c r="E35" i="9"/>
  <c r="L27" i="9"/>
  <c r="H100" i="9"/>
  <c r="L89" i="9"/>
  <c r="F29" i="9"/>
  <c r="K198" i="9"/>
  <c r="L175" i="9"/>
  <c r="K65" i="3"/>
  <c r="F28" i="9"/>
  <c r="O196" i="9"/>
  <c r="K234" i="9"/>
  <c r="C46" i="9"/>
  <c r="H122" i="9"/>
  <c r="I252" i="9"/>
  <c r="L155" i="9"/>
  <c r="K16" i="3"/>
  <c r="K266" i="9"/>
  <c r="K222" i="9"/>
  <c r="I272" i="9"/>
  <c r="F81" i="9"/>
  <c r="K156" i="9"/>
  <c r="F196" i="9"/>
  <c r="I39" i="9"/>
  <c r="F119" i="9"/>
  <c r="O259" i="9"/>
  <c r="O50" i="3"/>
  <c r="C60" i="9"/>
  <c r="K75" i="9"/>
  <c r="F112" i="9"/>
  <c r="L123" i="9"/>
  <c r="O119" i="9"/>
  <c r="K33" i="3"/>
  <c r="H227" i="9"/>
  <c r="O43" i="9"/>
  <c r="G68" i="3"/>
  <c r="O194" i="9"/>
  <c r="N78" i="9"/>
  <c r="I162" i="9"/>
  <c r="I50" i="9"/>
  <c r="K22" i="5"/>
  <c r="L51" i="9"/>
  <c r="I221" i="9"/>
  <c r="K31" i="3"/>
  <c r="E98" i="9"/>
  <c r="C185" i="9"/>
  <c r="I267" i="9"/>
  <c r="H217" i="9"/>
  <c r="O240" i="9"/>
  <c r="N66" i="9"/>
  <c r="E214" i="9"/>
  <c r="G38" i="3"/>
  <c r="F225" i="9"/>
  <c r="K90" i="9"/>
  <c r="L174" i="9"/>
  <c r="C146" i="9"/>
  <c r="F140" i="9"/>
  <c r="O198" i="9"/>
  <c r="N110" i="9"/>
  <c r="F220" i="9"/>
  <c r="H151" i="9"/>
  <c r="E117" i="9"/>
  <c r="E158" i="9"/>
  <c r="F148" i="9"/>
  <c r="H196" i="9"/>
  <c r="N81" i="9"/>
  <c r="L33" i="9"/>
  <c r="L241" i="9"/>
  <c r="N222" i="9"/>
  <c r="C98" i="9"/>
  <c r="F40" i="9"/>
  <c r="I61" i="9"/>
  <c r="I166" i="9"/>
  <c r="I155" i="9"/>
  <c r="K178" i="9"/>
  <c r="E72" i="9"/>
  <c r="C75" i="9"/>
  <c r="F70" i="9"/>
  <c r="H106" i="9"/>
  <c r="O266" i="9"/>
  <c r="H250" i="9"/>
  <c r="H41" i="9"/>
  <c r="N197" i="9"/>
  <c r="N61" i="9"/>
  <c r="H144" i="9"/>
  <c r="O100" i="9"/>
  <c r="I185" i="9"/>
  <c r="C145" i="9"/>
  <c r="K76" i="9"/>
  <c r="F198" i="9"/>
  <c r="L201" i="9"/>
  <c r="O192" i="9"/>
  <c r="L30" i="9"/>
  <c r="F100" i="9"/>
  <c r="I47" i="9"/>
  <c r="L112" i="9"/>
  <c r="O236" i="9"/>
  <c r="F191" i="9"/>
  <c r="G67" i="3"/>
  <c r="K11" i="3"/>
  <c r="O40" i="9"/>
  <c r="N24" i="9"/>
  <c r="L212" i="9"/>
  <c r="L118" i="9"/>
  <c r="C35" i="9"/>
  <c r="O40" i="3"/>
  <c r="N164" i="9"/>
  <c r="C99" i="9"/>
  <c r="K261" i="9"/>
  <c r="C110" i="9"/>
  <c r="H253" i="9"/>
  <c r="N240" i="9"/>
  <c r="K60" i="9"/>
  <c r="N150" i="9"/>
  <c r="F115" i="9"/>
  <c r="K149" i="9"/>
  <c r="F48" i="9"/>
  <c r="N32" i="9"/>
  <c r="H108" i="9"/>
  <c r="K236" i="9"/>
  <c r="C187" i="9"/>
  <c r="K118" i="9"/>
  <c r="O160" i="9"/>
  <c r="L180" i="9"/>
  <c r="K105" i="9"/>
  <c r="C154" i="9"/>
  <c r="H162" i="9"/>
  <c r="K44" i="9"/>
  <c r="N195" i="9"/>
  <c r="L140" i="9"/>
  <c r="L194" i="9"/>
  <c r="E106" i="9"/>
  <c r="O139" i="9"/>
  <c r="O234" i="9"/>
  <c r="N214" i="9"/>
  <c r="O41" i="9"/>
  <c r="F23" i="9"/>
  <c r="O37" i="3"/>
  <c r="O272" i="9"/>
  <c r="H140" i="9"/>
  <c r="K153" i="9"/>
  <c r="L225" i="9"/>
  <c r="O258" i="9"/>
  <c r="O226" i="9"/>
  <c r="C177" i="9"/>
  <c r="N123" i="9"/>
  <c r="I153" i="9"/>
  <c r="K35" i="9"/>
  <c r="N193" i="9"/>
  <c r="L80" i="9"/>
  <c r="L161" i="9"/>
  <c r="K57" i="3"/>
  <c r="F72" i="9"/>
  <c r="O241" i="9"/>
  <c r="F99" i="9"/>
  <c r="L98" i="9"/>
  <c r="C104" i="9"/>
  <c r="F137" i="9"/>
  <c r="C198" i="9"/>
  <c r="H101" i="9"/>
  <c r="N230" i="9"/>
  <c r="H264" i="9"/>
  <c r="N105" i="9"/>
  <c r="G43" i="3"/>
  <c r="C195" i="9"/>
  <c r="N159" i="9"/>
  <c r="N231" i="9"/>
  <c r="C274" i="9"/>
  <c r="O127" i="9"/>
  <c r="L45" i="9"/>
  <c r="F159" i="9"/>
  <c r="N72" i="9"/>
  <c r="E272" i="9"/>
  <c r="O103" i="9"/>
  <c r="H124" i="9"/>
  <c r="F102" i="9"/>
  <c r="K157" i="9"/>
  <c r="F186" i="9"/>
  <c r="L280" i="9"/>
  <c r="F30" i="9"/>
  <c r="O136" i="9"/>
  <c r="I262" i="9"/>
  <c r="C166" i="9"/>
  <c r="F237" i="9"/>
  <c r="O152" i="9"/>
  <c r="N27" i="9"/>
  <c r="K34" i="3"/>
  <c r="C278" i="9"/>
  <c r="K100" i="9"/>
  <c r="K38" i="9"/>
  <c r="F110" i="9"/>
  <c r="L217" i="9"/>
  <c r="F261" i="9"/>
  <c r="K264" i="9"/>
  <c r="L166" i="9"/>
  <c r="L183" i="9"/>
  <c r="N238" i="9"/>
  <c r="H156" i="9"/>
  <c r="H177" i="9"/>
  <c r="E39" i="9"/>
  <c r="K122" i="9"/>
  <c r="C143" i="9"/>
  <c r="E179" i="9"/>
  <c r="E271" i="9"/>
  <c r="E30" i="9"/>
  <c r="F197" i="9"/>
  <c r="F46" i="9"/>
  <c r="O184" i="9"/>
  <c r="K187" i="9"/>
  <c r="F176" i="9"/>
  <c r="E89" i="9"/>
  <c r="F126" i="9"/>
  <c r="L36" i="9"/>
  <c r="F118" i="9"/>
  <c r="K152" i="9"/>
  <c r="F250" i="9"/>
  <c r="I111" i="9"/>
  <c r="K272" i="9"/>
  <c r="K63" i="9"/>
  <c r="E24" i="9"/>
  <c r="F221" i="9"/>
  <c r="O195" i="9"/>
  <c r="L105" i="9"/>
  <c r="C223" i="9"/>
  <c r="G35" i="3"/>
  <c r="O151" i="9"/>
  <c r="K6" i="5"/>
  <c r="E74" i="9"/>
  <c r="O271" i="9"/>
  <c r="K9" i="5"/>
  <c r="L49" i="9"/>
  <c r="L72" i="9"/>
  <c r="K23" i="5"/>
  <c r="O74" i="9"/>
  <c r="I87" i="9"/>
  <c r="L191" i="9"/>
  <c r="L107" i="9"/>
  <c r="K224" i="9"/>
  <c r="C174" i="9"/>
  <c r="F276" i="9"/>
  <c r="E219" i="9"/>
  <c r="H113" i="9"/>
  <c r="F203" i="9"/>
  <c r="I40" i="9"/>
  <c r="C239" i="9"/>
  <c r="K24" i="5"/>
  <c r="I181" i="9"/>
  <c r="E119" i="9"/>
  <c r="O153" i="9"/>
  <c r="K268" i="9"/>
  <c r="G70" i="3"/>
  <c r="E105" i="9"/>
  <c r="O279" i="9"/>
  <c r="O182" i="9"/>
  <c r="N75" i="9"/>
  <c r="L28" i="9"/>
  <c r="H44" i="9"/>
  <c r="H218" i="9"/>
  <c r="L213" i="9"/>
  <c r="E193" i="9"/>
  <c r="H26" i="9"/>
  <c r="H236" i="9"/>
  <c r="N251" i="9"/>
  <c r="E265" i="9"/>
  <c r="F125" i="9"/>
  <c r="H149" i="9"/>
  <c r="C87" i="9"/>
  <c r="N44" i="9"/>
  <c r="O38" i="9"/>
  <c r="I231" i="9"/>
  <c r="O140" i="9"/>
  <c r="L199" i="9"/>
  <c r="H240" i="9"/>
  <c r="L48" i="9"/>
  <c r="N46" i="9"/>
  <c r="F164" i="9"/>
  <c r="I121" i="9"/>
  <c r="O230" i="9"/>
  <c r="I183" i="9"/>
  <c r="N118" i="9"/>
  <c r="H103" i="9"/>
  <c r="H78" i="9"/>
  <c r="L124" i="9"/>
  <c r="I140" i="9"/>
  <c r="H141" i="9"/>
  <c r="L218" i="9"/>
  <c r="N196" i="9"/>
  <c r="N45" i="9"/>
  <c r="C115" i="9"/>
  <c r="O190" i="9"/>
  <c r="I254" i="9"/>
  <c r="E67" i="9"/>
  <c r="E263" i="9"/>
  <c r="O58" i="3"/>
  <c r="O143" i="9"/>
  <c r="F266" i="9"/>
  <c r="L214" i="9"/>
  <c r="E178" i="9"/>
  <c r="F90" i="9"/>
  <c r="N107" i="9"/>
  <c r="K212" i="9"/>
  <c r="E49" i="9"/>
  <c r="H143" i="9"/>
  <c r="F147" i="9"/>
  <c r="K66" i="9"/>
  <c r="E266" i="9"/>
  <c r="H194" i="9"/>
  <c r="H142" i="9"/>
  <c r="K85" i="9"/>
  <c r="N253" i="9"/>
  <c r="K74" i="3"/>
  <c r="F42" i="9"/>
  <c r="O47" i="9"/>
  <c r="F104" i="9"/>
  <c r="C44" i="9"/>
  <c r="H154" i="9"/>
  <c r="C114" i="9"/>
  <c r="E258" i="9"/>
  <c r="E231" i="9"/>
  <c r="L181" i="9"/>
  <c r="L106" i="9"/>
  <c r="F109" i="9"/>
  <c r="K214" i="9"/>
  <c r="I80" i="9"/>
  <c r="E78" i="9"/>
  <c r="L234" i="9"/>
  <c r="E183" i="9"/>
  <c r="F158" i="9"/>
  <c r="E197" i="9"/>
  <c r="N113" i="9"/>
  <c r="N189" i="9"/>
  <c r="H67" i="9"/>
  <c r="K174" i="9"/>
  <c r="L196" i="9"/>
  <c r="I76" i="9"/>
  <c r="F105" i="9"/>
  <c r="N151" i="9"/>
  <c r="F80" i="9"/>
  <c r="O39" i="3"/>
  <c r="O164" i="9"/>
  <c r="F52" i="9"/>
  <c r="I253" i="9"/>
  <c r="H252" i="9"/>
  <c r="F73" i="9"/>
  <c r="N64" i="9"/>
  <c r="E113" i="9"/>
  <c r="C277" i="9"/>
  <c r="K51" i="9"/>
  <c r="L269" i="9"/>
  <c r="E143" i="9"/>
  <c r="K115" i="9"/>
  <c r="N217" i="9"/>
  <c r="K81" i="9"/>
  <c r="N174" i="9"/>
  <c r="E269" i="9"/>
  <c r="C88" i="9"/>
  <c r="L253" i="9"/>
  <c r="H192" i="9"/>
  <c r="I265" i="9"/>
  <c r="E145" i="9"/>
  <c r="K260" i="9"/>
  <c r="H181" i="9"/>
  <c r="O56" i="3"/>
  <c r="F141" i="9"/>
  <c r="F121" i="9"/>
  <c r="F107" i="9"/>
  <c r="K88" i="9"/>
  <c r="K21" i="5"/>
  <c r="C179" i="9"/>
  <c r="N198" i="9"/>
  <c r="H80" i="9"/>
  <c r="O126" i="9"/>
  <c r="F145" i="9"/>
  <c r="N49" i="9"/>
  <c r="K14" i="5"/>
  <c r="C252" i="9"/>
  <c r="H148" i="9"/>
  <c r="L228" i="9"/>
  <c r="G47" i="3"/>
  <c r="I258" i="9"/>
  <c r="I79" i="9"/>
  <c r="L41" i="9"/>
  <c r="K26" i="9"/>
  <c r="K78" i="9"/>
  <c r="L233" i="9"/>
  <c r="H204" i="9"/>
  <c r="F236" i="9"/>
  <c r="K47" i="9"/>
  <c r="F146" i="9"/>
  <c r="K56" i="3"/>
  <c r="F201" i="9"/>
  <c r="K32" i="3"/>
  <c r="N236" i="9"/>
  <c r="C275" i="9"/>
  <c r="K108" i="9"/>
  <c r="O36" i="3"/>
  <c r="K52" i="9"/>
  <c r="I277" i="9"/>
  <c r="C116" i="9"/>
  <c r="O225" i="9"/>
  <c r="K102" i="9"/>
  <c r="K183" i="9"/>
  <c r="O41" i="3"/>
  <c r="I149" i="9"/>
  <c r="E22" i="9"/>
  <c r="F274" i="9"/>
  <c r="F240" i="9"/>
  <c r="O276" i="9"/>
  <c r="C199" i="9"/>
  <c r="C265" i="9"/>
  <c r="F152" i="9"/>
  <c r="O157" i="9"/>
  <c r="C188" i="9"/>
  <c r="F192" i="9"/>
  <c r="H62" i="9"/>
  <c r="K240" i="9"/>
  <c r="I102" i="9"/>
  <c r="E110" i="9"/>
  <c r="O221" i="9"/>
  <c r="O145" i="9"/>
  <c r="K227" i="9"/>
  <c r="H203" i="9"/>
  <c r="F226" i="9"/>
  <c r="F259" i="9"/>
  <c r="H88" i="9"/>
  <c r="G58" i="3"/>
  <c r="O166" i="9"/>
  <c r="F151" i="9"/>
  <c r="F142" i="9"/>
  <c r="I204" i="9"/>
  <c r="N126" i="9"/>
  <c r="N256" i="9"/>
  <c r="N232" i="9"/>
  <c r="H65" i="9"/>
  <c r="L66" i="9"/>
  <c r="L203" i="9"/>
  <c r="C269" i="9"/>
  <c r="N203" i="9"/>
  <c r="I157" i="9"/>
  <c r="K33" i="9"/>
  <c r="C153" i="9"/>
  <c r="I138" i="9"/>
  <c r="O27" i="9"/>
  <c r="I260" i="9"/>
  <c r="N224" i="9"/>
  <c r="I103" i="9"/>
  <c r="C182" i="9"/>
  <c r="I25" i="9"/>
  <c r="E83" i="9"/>
  <c r="E65" i="9"/>
  <c r="O87" i="9"/>
  <c r="N271" i="9"/>
  <c r="I189" i="9"/>
  <c r="I142" i="9"/>
  <c r="I192" i="9"/>
  <c r="H174" i="9"/>
  <c r="C164" i="9"/>
  <c r="K253" i="9"/>
  <c r="C52" i="9"/>
  <c r="C89" i="9"/>
  <c r="I143" i="9"/>
  <c r="E221" i="9"/>
  <c r="K121" i="9"/>
  <c r="F161" i="9"/>
  <c r="F35" i="9"/>
  <c r="N111" i="9"/>
  <c r="H221" i="9"/>
  <c r="I268" i="9"/>
  <c r="K276" i="9"/>
  <c r="F101" i="9"/>
  <c r="O116" i="9"/>
  <c r="N25" i="9"/>
  <c r="C238" i="9"/>
  <c r="N30" i="9"/>
  <c r="C79" i="9"/>
  <c r="O181" i="9"/>
  <c r="C63" i="9"/>
  <c r="E254" i="9"/>
  <c r="N177" i="9"/>
  <c r="F103" i="9"/>
  <c r="E181" i="9"/>
  <c r="O216" i="9"/>
  <c r="H231" i="9"/>
  <c r="C105" i="9"/>
  <c r="C161" i="9"/>
  <c r="N156" i="9"/>
  <c r="K75" i="3"/>
  <c r="C220" i="9"/>
  <c r="I28" i="9"/>
  <c r="K7" i="5"/>
  <c r="K141" i="9"/>
  <c r="F26" i="9"/>
  <c r="E144" i="9"/>
  <c r="C236" i="9"/>
  <c r="N163" i="9"/>
  <c r="F86" i="9"/>
  <c r="C222" i="9"/>
  <c r="E52" i="9"/>
  <c r="C45" i="9"/>
  <c r="C84" i="9"/>
  <c r="N258" i="9"/>
  <c r="C83" i="9"/>
  <c r="L147" i="9"/>
  <c r="E107" i="9"/>
  <c r="F111" i="9"/>
  <c r="F82" i="9"/>
  <c r="F79" i="9"/>
  <c r="L60" i="9"/>
  <c r="I218" i="9"/>
  <c r="E124" i="9"/>
  <c r="E163" i="9"/>
  <c r="I158" i="9"/>
  <c r="N225" i="9"/>
  <c r="O52" i="9"/>
  <c r="H234" i="9"/>
  <c r="K8" i="5"/>
  <c r="I112" i="9"/>
  <c r="N252" i="9"/>
  <c r="N202" i="9"/>
  <c r="N99" i="9"/>
  <c r="K144" i="9"/>
  <c r="I224" i="9"/>
  <c r="H263" i="9"/>
  <c r="L104" i="9"/>
  <c r="O102" i="9"/>
  <c r="G61" i="3"/>
  <c r="I61" i="3" l="1"/>
  <c r="H61" i="3"/>
  <c r="J61" i="3"/>
  <c r="L8" i="5"/>
  <c r="M8" i="5"/>
  <c r="N8" i="5"/>
  <c r="L92" i="9"/>
  <c r="K92" i="9" s="1"/>
  <c r="J4" i="9" s="1"/>
  <c r="J83" i="9"/>
  <c r="D83" i="9"/>
  <c r="M83" i="9"/>
  <c r="G83" i="9"/>
  <c r="D84" i="9"/>
  <c r="J84" i="9"/>
  <c r="M84" i="9"/>
  <c r="G84" i="9"/>
  <c r="M45" i="9"/>
  <c r="D45" i="9"/>
  <c r="G45" i="9"/>
  <c r="J45" i="9"/>
  <c r="J222" i="9"/>
  <c r="G222" i="9"/>
  <c r="M222" i="9"/>
  <c r="D222" i="9"/>
  <c r="G236" i="9"/>
  <c r="M236" i="9"/>
  <c r="J236" i="9"/>
  <c r="D236" i="9"/>
  <c r="L7" i="5"/>
  <c r="M7" i="5"/>
  <c r="N7" i="5"/>
  <c r="J220" i="9"/>
  <c r="D220" i="9"/>
  <c r="G220" i="9"/>
  <c r="M220" i="9"/>
  <c r="L75" i="3"/>
  <c r="M75" i="3"/>
  <c r="N75" i="3"/>
  <c r="M161" i="9"/>
  <c r="D161" i="9"/>
  <c r="G161" i="9"/>
  <c r="J161" i="9"/>
  <c r="M105" i="9"/>
  <c r="G105" i="9"/>
  <c r="D105" i="9"/>
  <c r="J105" i="9"/>
  <c r="J63" i="9"/>
  <c r="G63" i="9"/>
  <c r="D63" i="9"/>
  <c r="M63" i="9"/>
  <c r="D79" i="9"/>
  <c r="M79" i="9"/>
  <c r="J79" i="9"/>
  <c r="G79" i="9"/>
  <c r="M238" i="9"/>
  <c r="G238" i="9"/>
  <c r="D238" i="9"/>
  <c r="J238" i="9"/>
  <c r="D89" i="9"/>
  <c r="G89" i="9"/>
  <c r="J89" i="9"/>
  <c r="M89" i="9"/>
  <c r="D52" i="9"/>
  <c r="M52" i="9"/>
  <c r="J52" i="9"/>
  <c r="G52" i="9"/>
  <c r="G164" i="9"/>
  <c r="J164" i="9"/>
  <c r="M164" i="9"/>
  <c r="D164" i="9"/>
  <c r="D182" i="9"/>
  <c r="M182" i="9"/>
  <c r="J182" i="9"/>
  <c r="G182" i="9"/>
  <c r="M153" i="9"/>
  <c r="J153" i="9"/>
  <c r="G153" i="9"/>
  <c r="D153" i="9"/>
  <c r="M269" i="9"/>
  <c r="D269" i="9"/>
  <c r="J269" i="9"/>
  <c r="G269" i="9"/>
  <c r="J58" i="3"/>
  <c r="H58" i="3"/>
  <c r="I58" i="3"/>
  <c r="M188" i="9"/>
  <c r="J188" i="9"/>
  <c r="G188" i="9"/>
  <c r="D188" i="9"/>
  <c r="J265" i="9"/>
  <c r="D265" i="9"/>
  <c r="G265" i="9"/>
  <c r="M265" i="9"/>
  <c r="G199" i="9"/>
  <c r="D199" i="9"/>
  <c r="M199" i="9"/>
  <c r="J199" i="9"/>
  <c r="R41" i="3"/>
  <c r="P41" i="3"/>
  <c r="Q41" i="3"/>
  <c r="J116" i="9"/>
  <c r="D116" i="9"/>
  <c r="M116" i="9"/>
  <c r="G116" i="9"/>
  <c r="Q36" i="3"/>
  <c r="P36" i="3"/>
  <c r="R36" i="3"/>
  <c r="G275" i="9"/>
  <c r="D275" i="9"/>
  <c r="M275" i="9"/>
  <c r="J275" i="9"/>
  <c r="N32" i="3"/>
  <c r="M32" i="3"/>
  <c r="L32" i="3"/>
  <c r="L56" i="3"/>
  <c r="N56" i="3"/>
  <c r="M56" i="3"/>
  <c r="J47" i="3"/>
  <c r="I47" i="3"/>
  <c r="H47" i="3"/>
  <c r="J252" i="9"/>
  <c r="G252" i="9"/>
  <c r="M252" i="9"/>
  <c r="D252" i="9"/>
  <c r="N14" i="5"/>
  <c r="L14" i="5"/>
  <c r="M14" i="5"/>
  <c r="J179" i="9"/>
  <c r="G179" i="9"/>
  <c r="M179" i="9"/>
  <c r="D179" i="9"/>
  <c r="N21" i="5"/>
  <c r="L21" i="5"/>
  <c r="M21" i="5"/>
  <c r="Q56" i="3"/>
  <c r="R56" i="3"/>
  <c r="P56" i="3"/>
  <c r="M88" i="9"/>
  <c r="J88" i="9"/>
  <c r="G88" i="9"/>
  <c r="D88" i="9"/>
  <c r="J277" i="9"/>
  <c r="D277" i="9"/>
  <c r="M277" i="9"/>
  <c r="G277" i="9"/>
  <c r="Q39" i="3"/>
  <c r="R39" i="3"/>
  <c r="P39" i="3"/>
  <c r="M114" i="9"/>
  <c r="D114" i="9"/>
  <c r="J114" i="9"/>
  <c r="G114" i="9"/>
  <c r="D44" i="9"/>
  <c r="M44" i="9"/>
  <c r="J44" i="9"/>
  <c r="G44" i="9"/>
  <c r="N74" i="3"/>
  <c r="M74" i="3"/>
  <c r="L74" i="3"/>
  <c r="Q58" i="3"/>
  <c r="R58" i="3"/>
  <c r="P58" i="3"/>
  <c r="J115" i="9"/>
  <c r="M115" i="9"/>
  <c r="D115" i="9"/>
  <c r="G115" i="9"/>
  <c r="J87" i="9"/>
  <c r="M87" i="9"/>
  <c r="G87" i="9"/>
  <c r="D87" i="9"/>
  <c r="H70" i="3"/>
  <c r="J70" i="3"/>
  <c r="I70" i="3"/>
  <c r="M24" i="5"/>
  <c r="N24" i="5"/>
  <c r="L24" i="5"/>
  <c r="G239" i="9"/>
  <c r="M239" i="9"/>
  <c r="J239" i="9"/>
  <c r="D239" i="9"/>
  <c r="D174" i="9"/>
  <c r="C206" i="9"/>
  <c r="J174" i="9"/>
  <c r="G174" i="9"/>
  <c r="M174" i="9"/>
  <c r="N23" i="5"/>
  <c r="L23" i="5"/>
  <c r="M23" i="5"/>
  <c r="N9" i="5"/>
  <c r="L9" i="5"/>
  <c r="M9" i="5"/>
  <c r="N6" i="5"/>
  <c r="L6" i="5"/>
  <c r="M6" i="5"/>
  <c r="I35" i="3"/>
  <c r="J35" i="3"/>
  <c r="H35" i="3"/>
  <c r="M223" i="9"/>
  <c r="G223" i="9"/>
  <c r="J223" i="9"/>
  <c r="D223" i="9"/>
  <c r="F282" i="9"/>
  <c r="E282" i="9" s="1"/>
  <c r="D14" i="9" s="1"/>
  <c r="J143" i="9"/>
  <c r="M143" i="9"/>
  <c r="G143" i="9"/>
  <c r="D143" i="9"/>
  <c r="J278" i="9"/>
  <c r="D278" i="9"/>
  <c r="G278" i="9"/>
  <c r="M278" i="9"/>
  <c r="L34" i="3"/>
  <c r="N34" i="3"/>
  <c r="M34" i="3"/>
  <c r="D166" i="9"/>
  <c r="J166" i="9"/>
  <c r="G166" i="9"/>
  <c r="M166" i="9"/>
  <c r="O168" i="9"/>
  <c r="N168" i="9" s="1"/>
  <c r="M12" i="9" s="1"/>
  <c r="J274" i="9"/>
  <c r="G274" i="9"/>
  <c r="D274" i="9"/>
  <c r="M274" i="9"/>
  <c r="M195" i="9"/>
  <c r="G195" i="9"/>
  <c r="J195" i="9"/>
  <c r="D195" i="9"/>
  <c r="H43" i="3"/>
  <c r="I43" i="3"/>
  <c r="J43" i="3"/>
  <c r="J198" i="9"/>
  <c r="G198" i="9"/>
  <c r="M198" i="9"/>
  <c r="D198" i="9"/>
  <c r="J104" i="9"/>
  <c r="G104" i="9"/>
  <c r="D104" i="9"/>
  <c r="M104" i="9"/>
  <c r="L130" i="9"/>
  <c r="K130" i="9" s="1"/>
  <c r="J6" i="9" s="1"/>
  <c r="N57" i="3"/>
  <c r="M57" i="3"/>
  <c r="L57" i="3"/>
  <c r="M177" i="9"/>
  <c r="D177" i="9"/>
  <c r="J177" i="9"/>
  <c r="G177" i="9"/>
  <c r="Q37" i="3"/>
  <c r="P37" i="3"/>
  <c r="R37" i="3"/>
  <c r="G154" i="9"/>
  <c r="J154" i="9"/>
  <c r="M154" i="9"/>
  <c r="D154" i="9"/>
  <c r="D187" i="9"/>
  <c r="M187" i="9"/>
  <c r="G187" i="9"/>
  <c r="J187" i="9"/>
  <c r="G110" i="9"/>
  <c r="M110" i="9"/>
  <c r="J110" i="9"/>
  <c r="D110" i="9"/>
  <c r="D99" i="9"/>
  <c r="M99" i="9"/>
  <c r="G99" i="9"/>
  <c r="J99" i="9"/>
  <c r="Q40" i="3"/>
  <c r="P40" i="3"/>
  <c r="R40" i="3"/>
  <c r="G35" i="9"/>
  <c r="J35" i="9"/>
  <c r="M35" i="9"/>
  <c r="D35" i="9"/>
  <c r="L244" i="9"/>
  <c r="K244" i="9" s="1"/>
  <c r="J10" i="9" s="1"/>
  <c r="L11" i="3"/>
  <c r="M11" i="3"/>
  <c r="N11" i="3"/>
  <c r="H67" i="3"/>
  <c r="I67" i="3"/>
  <c r="J67" i="3"/>
  <c r="G145" i="9"/>
  <c r="J145" i="9"/>
  <c r="M145" i="9"/>
  <c r="D145" i="9"/>
  <c r="G75" i="9"/>
  <c r="J75" i="9"/>
  <c r="M75" i="9"/>
  <c r="D75" i="9"/>
  <c r="D98" i="9"/>
  <c r="J98" i="9"/>
  <c r="G98" i="9"/>
  <c r="M98" i="9"/>
  <c r="C130" i="9"/>
  <c r="G146" i="9"/>
  <c r="J146" i="9"/>
  <c r="D146" i="9"/>
  <c r="M146" i="9"/>
  <c r="L206" i="9"/>
  <c r="K206" i="9" s="1"/>
  <c r="J8" i="9" s="1"/>
  <c r="H38" i="3"/>
  <c r="I38" i="3"/>
  <c r="J38" i="3"/>
  <c r="D185" i="9"/>
  <c r="M185" i="9"/>
  <c r="G185" i="9"/>
  <c r="J185" i="9"/>
  <c r="L31" i="3"/>
  <c r="M31" i="3"/>
  <c r="N31" i="3"/>
  <c r="L22" i="5"/>
  <c r="M22" i="5"/>
  <c r="N22" i="5"/>
  <c r="J68" i="3"/>
  <c r="I68" i="3"/>
  <c r="H68" i="3"/>
  <c r="N33" i="3"/>
  <c r="L33" i="3"/>
  <c r="M33" i="3"/>
  <c r="G60" i="9"/>
  <c r="J60" i="9"/>
  <c r="M60" i="9"/>
  <c r="D60" i="9"/>
  <c r="C92" i="9"/>
  <c r="R50" i="3"/>
  <c r="P50" i="3"/>
  <c r="Q50" i="3"/>
  <c r="M16" i="3"/>
  <c r="N16" i="3"/>
  <c r="L16" i="3"/>
  <c r="D46" i="9"/>
  <c r="J46" i="9"/>
  <c r="M46" i="9"/>
  <c r="G46" i="9"/>
  <c r="L65" i="3"/>
  <c r="M65" i="3"/>
  <c r="N65" i="3"/>
  <c r="N19" i="3"/>
  <c r="L19" i="3"/>
  <c r="M19" i="3"/>
  <c r="G117" i="9"/>
  <c r="M117" i="9"/>
  <c r="D117" i="9"/>
  <c r="J117" i="9"/>
  <c r="M237" i="9"/>
  <c r="J237" i="9"/>
  <c r="D237" i="9"/>
  <c r="G237" i="9"/>
  <c r="G192" i="9"/>
  <c r="M192" i="9"/>
  <c r="D192" i="9"/>
  <c r="J192" i="9"/>
  <c r="N12" i="3"/>
  <c r="M12" i="3"/>
  <c r="L12" i="3"/>
  <c r="J136" i="9"/>
  <c r="D136" i="9"/>
  <c r="G136" i="9"/>
  <c r="M136" i="9"/>
  <c r="C168" i="9"/>
  <c r="D113" i="9"/>
  <c r="G113" i="9"/>
  <c r="M113" i="9"/>
  <c r="J113" i="9"/>
  <c r="R43" i="3"/>
  <c r="P43" i="3"/>
  <c r="Q43" i="3"/>
  <c r="J36" i="3"/>
  <c r="I36" i="3"/>
  <c r="H36" i="3"/>
  <c r="M235" i="9"/>
  <c r="D235" i="9"/>
  <c r="G235" i="9"/>
  <c r="J235" i="9"/>
  <c r="N59" i="3"/>
  <c r="M59" i="3"/>
  <c r="L59" i="3"/>
  <c r="L20" i="5"/>
  <c r="M20" i="5"/>
  <c r="N20" i="5"/>
  <c r="G82" i="9"/>
  <c r="D82" i="9"/>
  <c r="M82" i="9"/>
  <c r="J82" i="9"/>
  <c r="M13" i="5"/>
  <c r="L13" i="5"/>
  <c r="N13" i="5"/>
  <c r="L35" i="3"/>
  <c r="N35" i="3"/>
  <c r="M35" i="3"/>
  <c r="O206" i="9"/>
  <c r="N206" i="9" s="1"/>
  <c r="M8" i="9" s="1"/>
  <c r="M72" i="9"/>
  <c r="J72" i="9"/>
  <c r="D72" i="9"/>
  <c r="G72" i="9"/>
  <c r="J50" i="3"/>
  <c r="H50" i="3"/>
  <c r="I50" i="3"/>
  <c r="G183" i="9"/>
  <c r="D183" i="9"/>
  <c r="J183" i="9"/>
  <c r="M183" i="9"/>
  <c r="L15" i="5"/>
  <c r="N15" i="5"/>
  <c r="M15" i="5"/>
  <c r="J234" i="9"/>
  <c r="M234" i="9"/>
  <c r="G234" i="9"/>
  <c r="D234" i="9"/>
  <c r="D147" i="9"/>
  <c r="J147" i="9"/>
  <c r="M147" i="9"/>
  <c r="G147" i="9"/>
  <c r="G261" i="9"/>
  <c r="D261" i="9"/>
  <c r="J261" i="9"/>
  <c r="M261" i="9"/>
  <c r="I244" i="9"/>
  <c r="H244" i="9" s="1"/>
  <c r="G10" i="9" s="1"/>
  <c r="H74" i="3"/>
  <c r="I74" i="3"/>
  <c r="J74" i="3"/>
  <c r="D101" i="9"/>
  <c r="M101" i="9"/>
  <c r="J101" i="9"/>
  <c r="G101" i="9"/>
  <c r="J190" i="9"/>
  <c r="M190" i="9"/>
  <c r="D190" i="9"/>
  <c r="G190" i="9"/>
  <c r="M15" i="3"/>
  <c r="N15" i="3"/>
  <c r="L15" i="3"/>
  <c r="L69" i="3"/>
  <c r="N69" i="3"/>
  <c r="M69" i="3"/>
  <c r="Q66" i="3"/>
  <c r="P66" i="3"/>
  <c r="R66" i="3"/>
  <c r="P57" i="3"/>
  <c r="R57" i="3"/>
  <c r="Q57" i="3"/>
  <c r="D111" i="9"/>
  <c r="M111" i="9"/>
  <c r="J111" i="9"/>
  <c r="G111" i="9"/>
  <c r="O282" i="9"/>
  <c r="N282" i="9" s="1"/>
  <c r="M14" i="9" s="1"/>
  <c r="J33" i="9"/>
  <c r="M33" i="9"/>
  <c r="G33" i="9"/>
  <c r="D33" i="9"/>
  <c r="H34" i="3"/>
  <c r="I34" i="3"/>
  <c r="J34" i="3"/>
  <c r="L41" i="3"/>
  <c r="M41" i="3"/>
  <c r="N41" i="3"/>
  <c r="M40" i="3"/>
  <c r="L40" i="3"/>
  <c r="N40" i="3"/>
  <c r="J29" i="9"/>
  <c r="D29" i="9"/>
  <c r="M29" i="9"/>
  <c r="G29" i="9"/>
  <c r="G201" i="9"/>
  <c r="D201" i="9"/>
  <c r="J201" i="9"/>
  <c r="M201" i="9"/>
  <c r="M46" i="3"/>
  <c r="L46" i="3"/>
  <c r="N46" i="3"/>
  <c r="G240" i="9"/>
  <c r="J240" i="9"/>
  <c r="D240" i="9"/>
  <c r="M240" i="9"/>
  <c r="D109" i="9"/>
  <c r="M109" i="9"/>
  <c r="G109" i="9"/>
  <c r="J109" i="9"/>
  <c r="G242" i="9"/>
  <c r="J242" i="9"/>
  <c r="D242" i="9"/>
  <c r="M242" i="9"/>
  <c r="J50" i="9"/>
  <c r="D50" i="9"/>
  <c r="G50" i="9"/>
  <c r="M50" i="9"/>
  <c r="D25" i="9"/>
  <c r="G25" i="9"/>
  <c r="M25" i="9"/>
  <c r="J25" i="9"/>
  <c r="D218" i="9"/>
  <c r="J218" i="9"/>
  <c r="M218" i="9"/>
  <c r="G218" i="9"/>
  <c r="I282" i="9"/>
  <c r="H282" i="9" s="1"/>
  <c r="G14" i="9" s="1"/>
  <c r="G125" i="9"/>
  <c r="M125" i="9"/>
  <c r="D125" i="9"/>
  <c r="J125" i="9"/>
  <c r="N23" i="3"/>
  <c r="M23" i="3"/>
  <c r="L23" i="3"/>
  <c r="M230" i="9"/>
  <c r="J230" i="9"/>
  <c r="G230" i="9"/>
  <c r="D230" i="9"/>
  <c r="J157" i="9"/>
  <c r="M157" i="9"/>
  <c r="D157" i="9"/>
  <c r="G157" i="9"/>
  <c r="N66" i="3"/>
  <c r="M66" i="3"/>
  <c r="L66" i="3"/>
  <c r="J250" i="9"/>
  <c r="M250" i="9"/>
  <c r="G250" i="9"/>
  <c r="D250" i="9"/>
  <c r="C282" i="9"/>
  <c r="N36" i="3"/>
  <c r="L36" i="3"/>
  <c r="M36" i="3"/>
  <c r="M162" i="9"/>
  <c r="G162" i="9"/>
  <c r="J162" i="9"/>
  <c r="D162" i="9"/>
  <c r="N10" i="5"/>
  <c r="M10" i="5"/>
  <c r="L10" i="5"/>
  <c r="I206" i="9"/>
  <c r="H206" i="9" s="1"/>
  <c r="G8" i="9" s="1"/>
  <c r="L70" i="3"/>
  <c r="N70" i="3"/>
  <c r="M70" i="3"/>
  <c r="M138" i="9"/>
  <c r="D138" i="9"/>
  <c r="G138" i="9"/>
  <c r="J138" i="9"/>
  <c r="Q69" i="3"/>
  <c r="R69" i="3"/>
  <c r="P69" i="3"/>
  <c r="M48" i="3"/>
  <c r="L48" i="3"/>
  <c r="N48" i="3"/>
  <c r="G106" i="9"/>
  <c r="M106" i="9"/>
  <c r="D106" i="9"/>
  <c r="J106" i="9"/>
  <c r="M124" i="9"/>
  <c r="G124" i="9"/>
  <c r="J124" i="9"/>
  <c r="D124" i="9"/>
  <c r="M270" i="9"/>
  <c r="J270" i="9"/>
  <c r="G270" i="9"/>
  <c r="D270" i="9"/>
  <c r="O130" i="9"/>
  <c r="N130" i="9" s="1"/>
  <c r="M6" i="9" s="1"/>
  <c r="M160" i="9"/>
  <c r="D160" i="9"/>
  <c r="G160" i="9"/>
  <c r="J160" i="9"/>
  <c r="D64" i="9"/>
  <c r="J64" i="9"/>
  <c r="G64" i="9"/>
  <c r="M64" i="9"/>
  <c r="J262" i="9"/>
  <c r="M262" i="9"/>
  <c r="G262" i="9"/>
  <c r="D262" i="9"/>
  <c r="D141" i="9"/>
  <c r="J141" i="9"/>
  <c r="G141" i="9"/>
  <c r="M141" i="9"/>
  <c r="L44" i="3"/>
  <c r="M44" i="3"/>
  <c r="N44" i="3"/>
  <c r="L45" i="3"/>
  <c r="N45" i="3"/>
  <c r="M45" i="3"/>
  <c r="D139" i="9"/>
  <c r="J139" i="9"/>
  <c r="M139" i="9"/>
  <c r="G139" i="9"/>
  <c r="J42" i="3"/>
  <c r="I42" i="3"/>
  <c r="H42" i="3"/>
  <c r="D47" i="9"/>
  <c r="M47" i="9"/>
  <c r="G47" i="9"/>
  <c r="J47" i="9"/>
  <c r="J48" i="3"/>
  <c r="I48" i="3"/>
  <c r="H48" i="3"/>
  <c r="M144" i="9"/>
  <c r="J144" i="9"/>
  <c r="G144" i="9"/>
  <c r="D144" i="9"/>
  <c r="D38" i="9"/>
  <c r="J38" i="9"/>
  <c r="M38" i="9"/>
  <c r="G38" i="9"/>
  <c r="D203" i="9"/>
  <c r="M203" i="9"/>
  <c r="J203" i="9"/>
  <c r="G203" i="9"/>
  <c r="M119" i="9"/>
  <c r="D119" i="9"/>
  <c r="J119" i="9"/>
  <c r="G119" i="9"/>
  <c r="I69" i="3"/>
  <c r="H69" i="3"/>
  <c r="J69" i="3"/>
  <c r="R71" i="3"/>
  <c r="Q71" i="3"/>
  <c r="P71" i="3"/>
  <c r="L282" i="9"/>
  <c r="K282" i="9" s="1"/>
  <c r="J14" i="9" s="1"/>
  <c r="G196" i="9"/>
  <c r="M196" i="9"/>
  <c r="D196" i="9"/>
  <c r="J196" i="9"/>
  <c r="L25" i="5"/>
  <c r="M25" i="5"/>
  <c r="N25" i="5"/>
  <c r="G276" i="9"/>
  <c r="J276" i="9"/>
  <c r="D276" i="9"/>
  <c r="M276" i="9"/>
  <c r="M23" i="9"/>
  <c r="D23" i="9"/>
  <c r="G23" i="9"/>
  <c r="J23" i="9"/>
  <c r="L8" i="3"/>
  <c r="N8" i="3"/>
  <c r="M8" i="3"/>
  <c r="J34" i="9"/>
  <c r="M34" i="9"/>
  <c r="D34" i="9"/>
  <c r="G34" i="9"/>
  <c r="J48" i="9"/>
  <c r="G48" i="9"/>
  <c r="D48" i="9"/>
  <c r="M48" i="9"/>
  <c r="N73" i="3"/>
  <c r="M73" i="3"/>
  <c r="L73" i="3"/>
  <c r="J264" i="9"/>
  <c r="D264" i="9"/>
  <c r="G264" i="9"/>
  <c r="M264" i="9"/>
  <c r="J121" i="9"/>
  <c r="G121" i="9"/>
  <c r="D121" i="9"/>
  <c r="M121" i="9"/>
  <c r="H40" i="3"/>
  <c r="J40" i="3"/>
  <c r="I40" i="3"/>
  <c r="D78" i="9"/>
  <c r="J78" i="9"/>
  <c r="M78" i="9"/>
  <c r="G78" i="9"/>
  <c r="D126" i="9"/>
  <c r="J126" i="9"/>
  <c r="M126" i="9"/>
  <c r="G126" i="9"/>
  <c r="G24" i="9"/>
  <c r="M24" i="9"/>
  <c r="D24" i="9"/>
  <c r="J24" i="9"/>
  <c r="M194" i="9"/>
  <c r="J194" i="9"/>
  <c r="G194" i="9"/>
  <c r="D194" i="9"/>
  <c r="I62" i="3"/>
  <c r="J62" i="3"/>
  <c r="H62" i="3"/>
  <c r="G233" i="9"/>
  <c r="J233" i="9"/>
  <c r="M233" i="9"/>
  <c r="D233" i="9"/>
  <c r="P46" i="3"/>
  <c r="R46" i="3"/>
  <c r="Q46" i="3"/>
  <c r="I37" i="3"/>
  <c r="J37" i="3"/>
  <c r="H37" i="3"/>
  <c r="M62" i="3"/>
  <c r="L62" i="3"/>
  <c r="N62" i="3"/>
  <c r="J152" i="9"/>
  <c r="D152" i="9"/>
  <c r="M152" i="9"/>
  <c r="G152" i="9"/>
  <c r="I130" i="9"/>
  <c r="H130" i="9" s="1"/>
  <c r="G6" i="9" s="1"/>
  <c r="M18" i="3"/>
  <c r="N18" i="3"/>
  <c r="L18" i="3"/>
  <c r="D215" i="9"/>
  <c r="M215" i="9"/>
  <c r="G215" i="9"/>
  <c r="J215" i="9"/>
  <c r="M176" i="9"/>
  <c r="D176" i="9"/>
  <c r="J176" i="9"/>
  <c r="G176" i="9"/>
  <c r="I75" i="3"/>
  <c r="H75" i="3"/>
  <c r="J75" i="3"/>
  <c r="I66" i="3"/>
  <c r="J66" i="3"/>
  <c r="H66" i="3"/>
  <c r="J65" i="3"/>
  <c r="H65" i="3"/>
  <c r="I65" i="3"/>
  <c r="M37" i="3"/>
  <c r="N37" i="3"/>
  <c r="L37" i="3"/>
  <c r="R47" i="3"/>
  <c r="Q47" i="3"/>
  <c r="P47" i="3"/>
  <c r="M163" i="9"/>
  <c r="J163" i="9"/>
  <c r="G163" i="9"/>
  <c r="D163" i="9"/>
  <c r="I60" i="3"/>
  <c r="J60" i="3"/>
  <c r="H60" i="3"/>
  <c r="I92" i="9"/>
  <c r="H92" i="9" s="1"/>
  <c r="G4" i="9" s="1"/>
  <c r="M50" i="3"/>
  <c r="L50" i="3"/>
  <c r="N50" i="3"/>
  <c r="J86" i="9"/>
  <c r="M86" i="9"/>
  <c r="G86" i="9"/>
  <c r="D86" i="9"/>
  <c r="P38" i="3"/>
  <c r="R38" i="3"/>
  <c r="Q38" i="3"/>
  <c r="J155" i="9"/>
  <c r="D155" i="9"/>
  <c r="M155" i="9"/>
  <c r="G155" i="9"/>
  <c r="L64" i="3"/>
  <c r="M64" i="3"/>
  <c r="N64" i="3"/>
  <c r="J272" i="9"/>
  <c r="M272" i="9"/>
  <c r="D272" i="9"/>
  <c r="G272" i="9"/>
  <c r="D175" i="9"/>
  <c r="G175" i="9"/>
  <c r="J175" i="9"/>
  <c r="M175" i="9"/>
  <c r="R63" i="3"/>
  <c r="Q63" i="3"/>
  <c r="P63" i="3"/>
  <c r="N60" i="3"/>
  <c r="L60" i="3"/>
  <c r="M60" i="3"/>
  <c r="G142" i="9"/>
  <c r="M142" i="9"/>
  <c r="J142" i="9"/>
  <c r="D142" i="9"/>
  <c r="J255" i="9"/>
  <c r="M255" i="9"/>
  <c r="D255" i="9"/>
  <c r="G255" i="9"/>
  <c r="G254" i="9"/>
  <c r="D254" i="9"/>
  <c r="J254" i="9"/>
  <c r="M254" i="9"/>
  <c r="M226" i="9"/>
  <c r="D226" i="9"/>
  <c r="G226" i="9"/>
  <c r="J226" i="9"/>
  <c r="D202" i="9"/>
  <c r="G202" i="9"/>
  <c r="M202" i="9"/>
  <c r="J202" i="9"/>
  <c r="J181" i="9"/>
  <c r="D181" i="9"/>
  <c r="M181" i="9"/>
  <c r="G181" i="9"/>
  <c r="P61" i="3"/>
  <c r="Q61" i="3"/>
  <c r="R61" i="3"/>
  <c r="J36" i="9"/>
  <c r="M36" i="9"/>
  <c r="G36" i="9"/>
  <c r="D36" i="9"/>
  <c r="J80" i="9"/>
  <c r="D80" i="9"/>
  <c r="M80" i="9"/>
  <c r="G80" i="9"/>
  <c r="M107" i="9"/>
  <c r="J107" i="9"/>
  <c r="D107" i="9"/>
  <c r="G107" i="9"/>
  <c r="H57" i="3"/>
  <c r="J57" i="3"/>
  <c r="I57" i="3"/>
  <c r="I39" i="3"/>
  <c r="H39" i="3"/>
  <c r="J39" i="3"/>
  <c r="L68" i="3"/>
  <c r="N68" i="3"/>
  <c r="M68" i="3"/>
  <c r="L12" i="5"/>
  <c r="M12" i="5"/>
  <c r="N12" i="5"/>
  <c r="M214" i="9"/>
  <c r="J214" i="9"/>
  <c r="D214" i="9"/>
  <c r="G214" i="9"/>
  <c r="G180" i="9"/>
  <c r="J180" i="9"/>
  <c r="D180" i="9"/>
  <c r="M180" i="9"/>
  <c r="D43" i="9"/>
  <c r="M43" i="9"/>
  <c r="G43" i="9"/>
  <c r="J43" i="9"/>
  <c r="D200" i="9"/>
  <c r="J200" i="9"/>
  <c r="M200" i="9"/>
  <c r="G200" i="9"/>
  <c r="F54" i="9"/>
  <c r="I49" i="3"/>
  <c r="H49" i="3"/>
  <c r="J49" i="3"/>
  <c r="J65" i="9"/>
  <c r="G65" i="9"/>
  <c r="M65" i="9"/>
  <c r="D65" i="9"/>
  <c r="Q35" i="3"/>
  <c r="P35" i="3"/>
  <c r="R35" i="3"/>
  <c r="M251" i="9"/>
  <c r="D251" i="9"/>
  <c r="J251" i="9"/>
  <c r="G251" i="9"/>
  <c r="I54" i="9"/>
  <c r="H54" i="9" s="1"/>
  <c r="G16" i="9" s="1"/>
  <c r="J62" i="9"/>
  <c r="D62" i="9"/>
  <c r="M62" i="9"/>
  <c r="G62" i="9"/>
  <c r="N38" i="3"/>
  <c r="L38" i="3"/>
  <c r="M38" i="3"/>
  <c r="N22" i="3"/>
  <c r="L22" i="3"/>
  <c r="M22" i="3"/>
  <c r="F206" i="9"/>
  <c r="E206" i="9" s="1"/>
  <c r="D8" i="9" s="1"/>
  <c r="R45" i="3"/>
  <c r="Q45" i="3"/>
  <c r="P45" i="3"/>
  <c r="D273" i="9"/>
  <c r="G273" i="9"/>
  <c r="M273" i="9"/>
  <c r="J273" i="9"/>
  <c r="P64" i="3"/>
  <c r="R64" i="3"/>
  <c r="Q64" i="3"/>
  <c r="I168" i="9"/>
  <c r="H168" i="9" s="1"/>
  <c r="G12" i="9" s="1"/>
  <c r="J72" i="3"/>
  <c r="H72" i="3"/>
  <c r="I72" i="3"/>
  <c r="N18" i="5"/>
  <c r="L18" i="5"/>
  <c r="M18" i="5"/>
  <c r="J257" i="9"/>
  <c r="G257" i="9"/>
  <c r="M257" i="9"/>
  <c r="D257" i="9"/>
  <c r="D151" i="9"/>
  <c r="J151" i="9"/>
  <c r="G151" i="9"/>
  <c r="M151" i="9"/>
  <c r="M178" i="9"/>
  <c r="G178" i="9"/>
  <c r="D178" i="9"/>
  <c r="J178" i="9"/>
  <c r="M14" i="3"/>
  <c r="L14" i="3"/>
  <c r="N14" i="3"/>
  <c r="J197" i="9"/>
  <c r="M197" i="9"/>
  <c r="D197" i="9"/>
  <c r="G197" i="9"/>
  <c r="L17" i="3"/>
  <c r="N17" i="3"/>
  <c r="M17" i="3"/>
  <c r="J44" i="3"/>
  <c r="H44" i="3"/>
  <c r="I44" i="3"/>
  <c r="O54" i="9"/>
  <c r="N54" i="9" s="1"/>
  <c r="M16" i="9" s="1"/>
  <c r="D51" i="9"/>
  <c r="G51" i="9"/>
  <c r="M51" i="9"/>
  <c r="J51" i="9"/>
  <c r="O92" i="9"/>
  <c r="N92" i="9" s="1"/>
  <c r="M4" i="9" s="1"/>
  <c r="N61" i="3"/>
  <c r="M61" i="3"/>
  <c r="L61" i="3"/>
  <c r="N63" i="3"/>
  <c r="M63" i="3"/>
  <c r="L63" i="3"/>
  <c r="M148" i="9"/>
  <c r="G148" i="9"/>
  <c r="J148" i="9"/>
  <c r="D148" i="9"/>
  <c r="M73" i="9"/>
  <c r="J73" i="9"/>
  <c r="G73" i="9"/>
  <c r="D73" i="9"/>
  <c r="D108" i="9"/>
  <c r="M108" i="9"/>
  <c r="G108" i="9"/>
  <c r="J108" i="9"/>
  <c r="Q72" i="3"/>
  <c r="P72" i="3"/>
  <c r="R72" i="3"/>
  <c r="Q60" i="3"/>
  <c r="P60" i="3"/>
  <c r="R60" i="3"/>
  <c r="L25" i="3"/>
  <c r="M25" i="3"/>
  <c r="N25" i="3"/>
  <c r="M150" i="9"/>
  <c r="G150" i="9"/>
  <c r="J150" i="9"/>
  <c r="D150" i="9"/>
  <c r="N49" i="3"/>
  <c r="M49" i="3"/>
  <c r="L49" i="3"/>
  <c r="J232" i="9"/>
  <c r="D232" i="9"/>
  <c r="G232" i="9"/>
  <c r="M232" i="9"/>
  <c r="G224" i="9"/>
  <c r="J224" i="9"/>
  <c r="D224" i="9"/>
  <c r="M224" i="9"/>
  <c r="J33" i="3"/>
  <c r="H33" i="3"/>
  <c r="I33" i="3"/>
  <c r="J279" i="9"/>
  <c r="G279" i="9"/>
  <c r="D279" i="9"/>
  <c r="M279" i="9"/>
  <c r="F130" i="9"/>
  <c r="E130" i="9" s="1"/>
  <c r="D6" i="9" s="1"/>
  <c r="J31" i="3"/>
  <c r="I31" i="3"/>
  <c r="H31" i="3"/>
  <c r="D67" i="9"/>
  <c r="G67" i="9"/>
  <c r="M67" i="9"/>
  <c r="J67" i="9"/>
  <c r="R68" i="3"/>
  <c r="P68" i="3"/>
  <c r="Q68" i="3"/>
  <c r="G140" i="9"/>
  <c r="M140" i="9"/>
  <c r="D140" i="9"/>
  <c r="J140" i="9"/>
  <c r="D227" i="9"/>
  <c r="G227" i="9"/>
  <c r="M227" i="9"/>
  <c r="J227" i="9"/>
  <c r="J120" i="9"/>
  <c r="G120" i="9"/>
  <c r="M120" i="9"/>
  <c r="D120" i="9"/>
  <c r="L54" i="9"/>
  <c r="K54" i="9" s="1"/>
  <c r="J16" i="9" s="1"/>
  <c r="G77" i="9"/>
  <c r="J77" i="9"/>
  <c r="D77" i="9"/>
  <c r="M77" i="9"/>
  <c r="N17" i="5"/>
  <c r="L17" i="5"/>
  <c r="M17" i="5"/>
  <c r="J263" i="9"/>
  <c r="G263" i="9"/>
  <c r="D263" i="9"/>
  <c r="M263" i="9"/>
  <c r="N10" i="3"/>
  <c r="M10" i="3"/>
  <c r="L10" i="3"/>
  <c r="J219" i="9"/>
  <c r="D219" i="9"/>
  <c r="M219" i="9"/>
  <c r="G219" i="9"/>
  <c r="G22" i="9"/>
  <c r="C54" i="9"/>
  <c r="D22" i="9"/>
  <c r="J22" i="9"/>
  <c r="M22" i="9"/>
  <c r="N72" i="3"/>
  <c r="M72" i="3"/>
  <c r="L72" i="3"/>
  <c r="R48" i="3"/>
  <c r="Q48" i="3"/>
  <c r="P48" i="3"/>
  <c r="D28" i="9"/>
  <c r="G28" i="9"/>
  <c r="M28" i="9"/>
  <c r="J28" i="9"/>
  <c r="D229" i="9"/>
  <c r="J229" i="9"/>
  <c r="G229" i="9"/>
  <c r="M229" i="9"/>
  <c r="L39" i="3"/>
  <c r="M39" i="3"/>
  <c r="N39" i="3"/>
  <c r="Q75" i="3"/>
  <c r="P75" i="3"/>
  <c r="R75" i="3"/>
  <c r="M271" i="9"/>
  <c r="J271" i="9"/>
  <c r="G271" i="9"/>
  <c r="D271" i="9"/>
  <c r="L168" i="9"/>
  <c r="K168" i="9" s="1"/>
  <c r="J12" i="9" s="1"/>
  <c r="P59" i="3"/>
  <c r="Q59" i="3"/>
  <c r="R59" i="3"/>
  <c r="G61" i="9"/>
  <c r="J61" i="9"/>
  <c r="D61" i="9"/>
  <c r="M61" i="9"/>
  <c r="D31" i="9"/>
  <c r="G31" i="9"/>
  <c r="J31" i="9"/>
  <c r="M31" i="9"/>
  <c r="M118" i="9"/>
  <c r="J118" i="9"/>
  <c r="G118" i="9"/>
  <c r="D118" i="9"/>
  <c r="D149" i="9"/>
  <c r="M149" i="9"/>
  <c r="G149" i="9"/>
  <c r="J149" i="9"/>
  <c r="I46" i="3"/>
  <c r="H46" i="3"/>
  <c r="J46" i="3"/>
  <c r="D123" i="9"/>
  <c r="J123" i="9"/>
  <c r="G123" i="9"/>
  <c r="M123" i="9"/>
  <c r="I59" i="3"/>
  <c r="H59" i="3"/>
  <c r="J59" i="3"/>
  <c r="N24" i="3"/>
  <c r="L24" i="3"/>
  <c r="M24" i="3"/>
  <c r="G70" i="9"/>
  <c r="M70" i="9"/>
  <c r="J70" i="9"/>
  <c r="D70" i="9"/>
  <c r="G158" i="9"/>
  <c r="J158" i="9"/>
  <c r="D158" i="9"/>
  <c r="M158" i="9"/>
  <c r="G69" i="9"/>
  <c r="M69" i="9"/>
  <c r="J69" i="9"/>
  <c r="D69" i="9"/>
  <c r="D90" i="9"/>
  <c r="G90" i="9"/>
  <c r="M90" i="9"/>
  <c r="J90" i="9"/>
  <c r="D102" i="9"/>
  <c r="G102" i="9"/>
  <c r="M102" i="9"/>
  <c r="J102" i="9"/>
  <c r="G204" i="9"/>
  <c r="J204" i="9"/>
  <c r="M204" i="9"/>
  <c r="D204" i="9"/>
  <c r="G253" i="9"/>
  <c r="D253" i="9"/>
  <c r="J253" i="9"/>
  <c r="M253" i="9"/>
  <c r="R62" i="3"/>
  <c r="Q62" i="3"/>
  <c r="P62" i="3"/>
  <c r="D228" i="9"/>
  <c r="M228" i="9"/>
  <c r="J228" i="9"/>
  <c r="G228" i="9"/>
  <c r="G137" i="9"/>
  <c r="D137" i="9"/>
  <c r="J137" i="9"/>
  <c r="M137" i="9"/>
  <c r="R65" i="3"/>
  <c r="Q65" i="3"/>
  <c r="P65" i="3"/>
  <c r="R34" i="3"/>
  <c r="P34" i="3"/>
  <c r="Q34" i="3"/>
  <c r="D221" i="9"/>
  <c r="J221" i="9"/>
  <c r="G221" i="9"/>
  <c r="M221" i="9"/>
  <c r="G26" i="9"/>
  <c r="M26" i="9"/>
  <c r="J26" i="9"/>
  <c r="D26" i="9"/>
  <c r="G258" i="9"/>
  <c r="M258" i="9"/>
  <c r="D258" i="9"/>
  <c r="J258" i="9"/>
  <c r="M16" i="5"/>
  <c r="L16" i="5"/>
  <c r="N16" i="5"/>
  <c r="J32" i="3"/>
  <c r="H32" i="3"/>
  <c r="I32" i="3"/>
  <c r="N13" i="3"/>
  <c r="M13" i="3"/>
  <c r="L13" i="3"/>
  <c r="J45" i="3"/>
  <c r="H45" i="3"/>
  <c r="I45" i="3"/>
  <c r="G76" i="9"/>
  <c r="M76" i="9"/>
  <c r="D76" i="9"/>
  <c r="J76" i="9"/>
  <c r="J71" i="3"/>
  <c r="I71" i="3"/>
  <c r="H71" i="3"/>
  <c r="M128" i="9"/>
  <c r="J128" i="9"/>
  <c r="G128" i="9"/>
  <c r="D128" i="9"/>
  <c r="I63" i="3"/>
  <c r="H63" i="3"/>
  <c r="J63" i="3"/>
  <c r="M58" i="3"/>
  <c r="L58" i="3"/>
  <c r="N58" i="3"/>
  <c r="M71" i="9"/>
  <c r="G71" i="9"/>
  <c r="D71" i="9"/>
  <c r="J71" i="9"/>
  <c r="G41" i="9"/>
  <c r="J41" i="9"/>
  <c r="D41" i="9"/>
  <c r="M41" i="9"/>
  <c r="D112" i="9"/>
  <c r="G112" i="9"/>
  <c r="M112" i="9"/>
  <c r="J112" i="9"/>
  <c r="D260" i="9"/>
  <c r="M260" i="9"/>
  <c r="G260" i="9"/>
  <c r="J260" i="9"/>
  <c r="D193" i="9"/>
  <c r="M193" i="9"/>
  <c r="J193" i="9"/>
  <c r="G193" i="9"/>
  <c r="Q49" i="3"/>
  <c r="R49" i="3"/>
  <c r="P49" i="3"/>
  <c r="P31" i="3"/>
  <c r="R31" i="3"/>
  <c r="Q31" i="3"/>
  <c r="J189" i="9"/>
  <c r="G189" i="9"/>
  <c r="D189" i="9"/>
  <c r="M189" i="9"/>
  <c r="G37" i="9"/>
  <c r="J37" i="9"/>
  <c r="M37" i="9"/>
  <c r="D37" i="9"/>
  <c r="G231" i="9"/>
  <c r="M231" i="9"/>
  <c r="D231" i="9"/>
  <c r="J231" i="9"/>
  <c r="J156" i="9"/>
  <c r="G156" i="9"/>
  <c r="M156" i="9"/>
  <c r="D156" i="9"/>
  <c r="J39" i="9"/>
  <c r="M39" i="9"/>
  <c r="D39" i="9"/>
  <c r="G39" i="9"/>
  <c r="G268" i="9"/>
  <c r="M268" i="9"/>
  <c r="J268" i="9"/>
  <c r="D268" i="9"/>
  <c r="D165" i="9"/>
  <c r="G165" i="9"/>
  <c r="M165" i="9"/>
  <c r="J165" i="9"/>
  <c r="G213" i="9"/>
  <c r="D213" i="9"/>
  <c r="J213" i="9"/>
  <c r="M213" i="9"/>
  <c r="M11" i="5"/>
  <c r="L11" i="5"/>
  <c r="N11" i="5"/>
  <c r="L9" i="3"/>
  <c r="N9" i="3"/>
  <c r="M9" i="3"/>
  <c r="M186" i="9"/>
  <c r="G186" i="9"/>
  <c r="D186" i="9"/>
  <c r="J186" i="9"/>
  <c r="D280" i="9"/>
  <c r="G280" i="9"/>
  <c r="M280" i="9"/>
  <c r="J280" i="9"/>
  <c r="G217" i="9"/>
  <c r="J217" i="9"/>
  <c r="M217" i="9"/>
  <c r="D217" i="9"/>
  <c r="G40" i="9"/>
  <c r="D40" i="9"/>
  <c r="M40" i="9"/>
  <c r="J40" i="9"/>
  <c r="L67" i="3"/>
  <c r="N67" i="3"/>
  <c r="M67" i="3"/>
  <c r="Q74" i="3"/>
  <c r="P74" i="3"/>
  <c r="R74" i="3"/>
  <c r="J184" i="9"/>
  <c r="D184" i="9"/>
  <c r="M184" i="9"/>
  <c r="G184" i="9"/>
  <c r="F168" i="9"/>
  <c r="E168" i="9" s="1"/>
  <c r="D12" i="9" s="1"/>
  <c r="J64" i="3"/>
  <c r="I64" i="3"/>
  <c r="H64" i="3"/>
  <c r="D42" i="9"/>
  <c r="J42" i="9"/>
  <c r="M42" i="9"/>
  <c r="G42" i="9"/>
  <c r="I73" i="3"/>
  <c r="H73" i="3"/>
  <c r="J73" i="3"/>
  <c r="Q33" i="3"/>
  <c r="P33" i="3"/>
  <c r="R33" i="3"/>
  <c r="J85" i="9"/>
  <c r="D85" i="9"/>
  <c r="M85" i="9"/>
  <c r="G85" i="9"/>
  <c r="M43" i="3"/>
  <c r="L43" i="3"/>
  <c r="N43" i="3"/>
  <c r="I41" i="3"/>
  <c r="H41" i="3"/>
  <c r="J41" i="3"/>
  <c r="G127" i="9"/>
  <c r="M127" i="9"/>
  <c r="J127" i="9"/>
  <c r="D127" i="9"/>
  <c r="J32" i="9"/>
  <c r="M32" i="9"/>
  <c r="D32" i="9"/>
  <c r="G32" i="9"/>
  <c r="P44" i="3"/>
  <c r="R44" i="3"/>
  <c r="Q44" i="3"/>
  <c r="F244" i="9"/>
  <c r="E244" i="9" s="1"/>
  <c r="D10" i="9" s="1"/>
  <c r="D49" i="9"/>
  <c r="M49" i="9"/>
  <c r="G49" i="9"/>
  <c r="J49" i="9"/>
  <c r="L20" i="3"/>
  <c r="N20" i="3"/>
  <c r="M20" i="3"/>
  <c r="M100" i="9"/>
  <c r="J100" i="9"/>
  <c r="G100" i="9"/>
  <c r="D100" i="9"/>
  <c r="D212" i="9"/>
  <c r="C244" i="9"/>
  <c r="J212" i="9"/>
  <c r="G212" i="9"/>
  <c r="M212" i="9"/>
  <c r="P32" i="3"/>
  <c r="R32" i="3"/>
  <c r="Q32" i="3"/>
  <c r="R70" i="3"/>
  <c r="P70" i="3"/>
  <c r="Q70" i="3"/>
  <c r="Q67" i="3"/>
  <c r="P67" i="3"/>
  <c r="R67" i="3"/>
  <c r="N42" i="3"/>
  <c r="M42" i="3"/>
  <c r="L42" i="3"/>
  <c r="N21" i="3"/>
  <c r="L21" i="3"/>
  <c r="M21" i="3"/>
  <c r="R73" i="3"/>
  <c r="Q73" i="3"/>
  <c r="P73" i="3"/>
  <c r="R42" i="3"/>
  <c r="Q42" i="3"/>
  <c r="P42" i="3"/>
  <c r="D267" i="9"/>
  <c r="G267" i="9"/>
  <c r="M267" i="9"/>
  <c r="J267" i="9"/>
  <c r="D256" i="9"/>
  <c r="J256" i="9"/>
  <c r="G256" i="9"/>
  <c r="M256" i="9"/>
  <c r="J159" i="9"/>
  <c r="D159" i="9"/>
  <c r="M159" i="9"/>
  <c r="G159" i="9"/>
  <c r="J68" i="9"/>
  <c r="D68" i="9"/>
  <c r="G68" i="9"/>
  <c r="M68" i="9"/>
  <c r="M30" i="9"/>
  <c r="D30" i="9"/>
  <c r="G30" i="9"/>
  <c r="J30" i="9"/>
  <c r="F92" i="9"/>
  <c r="E92" i="9" s="1"/>
  <c r="D4" i="9" s="1"/>
  <c r="G66" i="9"/>
  <c r="J66" i="9"/>
  <c r="D66" i="9"/>
  <c r="M66" i="9"/>
  <c r="O244" i="9"/>
  <c r="N244" i="9" s="1"/>
  <c r="M10" i="9" s="1"/>
  <c r="M27" i="9"/>
  <c r="D27" i="9"/>
  <c r="J27" i="9"/>
  <c r="G27" i="9"/>
  <c r="J122" i="9"/>
  <c r="G122" i="9"/>
  <c r="M122" i="9"/>
  <c r="D122" i="9"/>
  <c r="D266" i="9"/>
  <c r="J266" i="9"/>
  <c r="M266" i="9"/>
  <c r="G266" i="9"/>
  <c r="N47" i="3"/>
  <c r="L47" i="3"/>
  <c r="M47" i="3"/>
  <c r="J259" i="9"/>
  <c r="M259" i="9"/>
  <c r="G259" i="9"/>
  <c r="D259" i="9"/>
  <c r="N7" i="3"/>
  <c r="M7" i="3"/>
  <c r="L7" i="3"/>
  <c r="D241" i="9"/>
  <c r="G241" i="9"/>
  <c r="J241" i="9"/>
  <c r="M241" i="9"/>
  <c r="L71" i="3"/>
  <c r="M71" i="3"/>
  <c r="N71" i="3"/>
  <c r="G103" i="9"/>
  <c r="M103" i="9"/>
  <c r="D103" i="9"/>
  <c r="J103" i="9"/>
  <c r="L19" i="5"/>
  <c r="N19" i="5"/>
  <c r="M19" i="5"/>
  <c r="M191" i="9"/>
  <c r="D191" i="9"/>
  <c r="J191" i="9"/>
  <c r="G191" i="9"/>
  <c r="H56" i="3"/>
  <c r="J56" i="3"/>
  <c r="I56" i="3"/>
  <c r="L6" i="3"/>
  <c r="M6" i="3"/>
  <c r="N6" i="3"/>
  <c r="D225" i="9"/>
  <c r="G225" i="9"/>
  <c r="M225" i="9"/>
  <c r="J225" i="9"/>
  <c r="J74" i="9"/>
  <c r="D74" i="9"/>
  <c r="G74" i="9"/>
  <c r="M74" i="9"/>
  <c r="M216" i="9"/>
  <c r="G216" i="9"/>
  <c r="J216" i="9"/>
  <c r="D216" i="9"/>
  <c r="G81" i="9"/>
  <c r="D81" i="9"/>
  <c r="J81" i="9"/>
  <c r="M81" i="9"/>
  <c r="D244" i="9" l="1"/>
  <c r="J244" i="9"/>
  <c r="J54" i="9"/>
  <c r="D282" i="9"/>
  <c r="D168" i="9"/>
  <c r="J92" i="9"/>
  <c r="G130" i="9"/>
  <c r="M206" i="9"/>
  <c r="D206" i="9"/>
  <c r="D54" i="9"/>
  <c r="E54" i="9"/>
  <c r="D16" i="9" s="1"/>
  <c r="B12" i="9" s="1"/>
  <c r="B14" i="9"/>
  <c r="B13" i="9"/>
  <c r="B7" i="9"/>
  <c r="B3" i="9"/>
  <c r="B9" i="9"/>
  <c r="B10" i="9"/>
  <c r="B6" i="9"/>
  <c r="B8" i="9"/>
  <c r="B15" i="9"/>
  <c r="B5" i="9"/>
  <c r="G282" i="9"/>
  <c r="J168" i="9"/>
  <c r="G92" i="9"/>
  <c r="J130" i="9"/>
  <c r="G206" i="9"/>
  <c r="M244" i="9"/>
  <c r="M282" i="9"/>
  <c r="M168" i="9"/>
  <c r="D92" i="9"/>
  <c r="D130" i="9"/>
  <c r="J206" i="9"/>
  <c r="G244" i="9"/>
  <c r="M54" i="9"/>
  <c r="G54" i="9"/>
  <c r="J282" i="9"/>
  <c r="G168" i="9"/>
  <c r="M92" i="9"/>
  <c r="M130" i="9"/>
  <c r="B16" i="9" l="1"/>
  <c r="B4" i="9"/>
  <c r="B11" i="9"/>
</calcChain>
</file>

<file path=xl/sharedStrings.xml><?xml version="1.0" encoding="utf-8"?>
<sst xmlns="http://schemas.openxmlformats.org/spreadsheetml/2006/main" count="5509" uniqueCount="335">
  <si>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</si>
  <si>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</si>
  <si>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</si>
  <si>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</si>
  <si>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</si>
  <si>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</si>
  <si>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</si>
  <si>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</si>
  <si>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</si>
  <si>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</si>
  <si>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</si>
  <si>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</si>
  <si>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</si>
  <si>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</si>
  <si>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</si>
  <si>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</si>
  <si>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</si>
  <si>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</si>
  <si>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</si>
  <si>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</si>
  <si>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</si>
  <si>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</si>
  <si>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</si>
  <si>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</si>
  <si>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</si>
  <si>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</si>
  <si>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</si>
  <si>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</si>
  <si>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</si>
  <si>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</si>
  <si>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</si>
  <si>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</si>
  <si>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</si>
  <si>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</si>
  <si>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</si>
  <si>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</si>
  <si>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</si>
  <si>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</si>
  <si>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</si>
  <si>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</si>
  <si>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</si>
  <si>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</si>
  <si>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</si>
  <si>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</si>
  <si>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</si>
  <si>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</si>
  <si>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</si>
  <si>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</si>
  <si>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</si>
  <si>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</si>
  <si>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</si>
  <si>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</si>
  <si>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</si>
  <si>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</si>
  <si>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</si>
  <si>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</si>
  <si>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</si>
  <si>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</si>
  <si>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</si>
  <si>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</si>
  <si>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</si>
  <si>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</si>
  <si>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</si>
  <si>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</si>
  <si>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</si>
  <si>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</si>
  <si>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</si>
  <si>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</si>
  <si>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</si>
  <si>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</si>
  <si>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</si>
  <si>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</si>
  <si>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</si>
  <si>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</si>
  <si>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</si>
  <si>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</si>
  <si>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</si>
  <si>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</si>
  <si>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</si>
  <si>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</si>
  <si>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</si>
  <si>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</si>
  <si>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</si>
  <si>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</si>
  <si>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</si>
  <si>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</si>
  <si>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</si>
  <si>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</si>
  <si>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</si>
  <si>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</si>
  <si>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</si>
  <si>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</si>
  <si>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</si>
  <si>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</si>
  <si>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</si>
  <si>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</si>
  <si>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</si>
  <si>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</si>
  <si>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</si>
  <si>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</si>
  <si>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</si>
  <si>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</si>
  <si>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</si>
  <si>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</si>
  <si>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</si>
  <si>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</si>
  <si>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</si>
  <si>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</si>
  <si>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</si>
  <si>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</si>
  <si>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</si>
  <si>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</si>
  <si>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</si>
  <si>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</si>
  <si>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</si>
  <si>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</si>
  <si>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</si>
  <si>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</si>
  <si>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</si>
  <si>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</si>
  <si>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</si>
  <si>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</si>
  <si>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</si>
  <si>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</si>
  <si>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</si>
  <si>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</si>
  <si>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</si>
  <si>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</si>
  <si>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</si>
  <si>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</si>
  <si>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</si>
  <si>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</si>
  <si>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</si>
  <si>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</si>
  <si>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</si>
  <si>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</si>
  <si>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</si>
  <si>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</si>
  <si>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</si>
  <si>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</si>
  <si>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</si>
  <si>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</si>
  <si>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</si>
  <si>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</si>
  <si>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</si>
  <si>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</si>
  <si>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</si>
  <si>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</si>
  <si>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</si>
  <si>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</si>
  <si>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</si>
  <si>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</si>
  <si>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</si>
  <si>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</si>
  <si>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</si>
  <si>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</si>
  <si>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</si>
  <si>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</si>
  <si>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</si>
  <si>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</si>
  <si>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</si>
  <si>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</si>
  <si>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</si>
  <si>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</si>
  <si>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</si>
  <si>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</si>
  <si>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</si>
  <si>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</si>
  <si>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</si>
  <si>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</si>
  <si>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</si>
  <si>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</si>
  <si>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</si>
  <si>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</si>
  <si>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</si>
  <si>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</si>
  <si>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</si>
  <si>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</si>
  <si>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</si>
  <si>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</si>
  <si>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</si>
  <si>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</si>
  <si>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</si>
  <si>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</si>
  <si>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</si>
  <si>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</si>
  <si>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</si>
  <si>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</si>
  <si>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</si>
  <si>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</si>
  <si>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</si>
  <si>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</si>
  <si>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</si>
  <si>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</si>
  <si>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</si>
  <si>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</si>
  <si>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</si>
  <si>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</si>
  <si>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</si>
  <si>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</si>
  <si>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</si>
  <si>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</si>
  <si>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</si>
  <si>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</si>
  <si>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</si>
  <si>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</si>
  <si>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</si>
  <si>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</si>
  <si>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</si>
  <si>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</si>
  <si>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</si>
  <si>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</si>
  <si>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</si>
  <si>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</si>
  <si>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</si>
  <si>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</si>
  <si>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</si>
  <si>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</si>
  <si>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</si>
  <si>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</si>
  <si>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</si>
  <si>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</si>
  <si>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</si>
  <si>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</si>
  <si>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</si>
  <si>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</si>
  <si>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</si>
  <si>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</si>
  <si>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</si>
  <si>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아인스타이늄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</si>
  <si>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</si>
  <si>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</si>
  <si>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</si>
  <si>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</si>
  <si>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</si>
  <si>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</si>
  <si>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</si>
  <si>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</si>
  <si>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</si>
  <si>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</si>
  <si>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</si>
  <si>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</si>
  <si>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</si>
  <si>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</si>
  <si>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</si>
  <si>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</si>
  <si>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</si>
  <si>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</si>
  <si>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</si>
  <si>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</si>
  <si>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</si>
  <si>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</si>
  <si>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</si>
  <si>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</si>
  <si>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</si>
  <si>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</si>
  <si>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</si>
  <si>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</si>
  <si>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</si>
  <si>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</si>
  <si>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</si>
  <si>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</si>
  <si>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</si>
  <si>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</si>
  <si>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</si>
  <si>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</si>
  <si>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</si>
  <si>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</si>
  <si>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</si>
  <si>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</si>
  <si>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</si>
  <si>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</si>
  <si>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</si>
  <si>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</si>
  <si>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</si>
  <si>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</si>
  <si>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</si>
  <si>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</si>
  <si>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</si>
  <si>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</si>
  <si>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</si>
  <si>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</si>
  <si>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</si>
  <si>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</si>
  <si>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</si>
  <si>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</si>
  <si>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</si>
  <si>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</si>
  <si>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</si>
  <si>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</si>
  <si>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</si>
  <si>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</si>
  <si>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</si>
  <si>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</si>
  <si>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</si>
  <si>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</si>
  <si>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</si>
  <si>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</si>
  <si>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</si>
  <si>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</si>
  <si>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</si>
  <si>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</si>
  <si>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</si>
  <si>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</si>
  <si>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</si>
  <si>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</si>
  <si>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</si>
  <si>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</si>
  <si>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</si>
  <si>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</si>
  <si>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</si>
  <si>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</si>
  <si>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</si>
  <si>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</si>
  <si>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</si>
  <si>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</si>
  <si>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</si>
  <si>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</si>
  <si>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</si>
  <si>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</si>
  <si>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</si>
  <si>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</si>
  <si>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</si>
  <si>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</si>
  <si>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</si>
  <si>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</si>
  <si>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</si>
  <si>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</si>
  <si>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</si>
  <si>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</si>
  <si>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</si>
  <si>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 xml:space="preserve"> </t>
    <phoneticPr fontId="1" type="noConversion"/>
  </si>
  <si>
    <t>리퍼리움</t>
    <phoneticPr fontId="1" type="noConversion"/>
  </si>
  <si>
    <t>2021.07.11</t>
    <phoneticPr fontId="1" type="noConversion"/>
  </si>
  <si>
    <t>2021.07.12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</si>
</sst>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87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744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9C480C8E-8CF4-433D-9422-577818DA2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6D8DAFC8-0296-453E-A956-D32220406D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F046F5E0-B283-4A66-943A-1A0CA2BB2C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D0F60CD6-DB37-410F-952E-7C7BA2E153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B628AB53-7348-4521-ABB9-1F754E5A79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18BC9EA1-6B44-405D-A010-9D312E0DFD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81515EEC-DAD2-4D22-AB62-9E2306BA54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FBB7C29E-6338-4881-B8A7-BBF48CFEB8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5182CD40-18C2-4D64-85A2-4264BA3E0B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9AB389B1-15D5-4E88-8637-2D4AF2B352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D7E93AF7-EE2F-4A8B-A09B-4F78E17DD5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FE8EEA8B-EF84-44A9-8511-0F6B1C51A6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99C6E145-FE5F-46E6-9BC3-41D308B102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F2043912-C241-4B18-AABC-2D09BC9CC5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A6572528-EEAB-4086-B607-79E8A99F59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7318E7D5-DA9F-4A9D-948B-FD8B9D9783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4F32D046-E082-419E-8945-20A96391AF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D608E214-3B64-4FCF-8F19-B5DEAA7EF0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3FBD4272-FA07-493E-862B-C26FB2B595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17866E9C-863D-4219-BD8D-4E2AAFA580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D9E1EC00-2FFD-442E-AC2E-394427B1AA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BC73EA68-5A94-49CE-A2F2-29AB8201BA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9317313A-258F-4777-998C-A0B716B5BC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FB3E1CC8-2822-4A77-B4B5-C7B3C12559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75E93678-CAC3-442A-A050-9A0EC9FF3C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10B61F81-0365-4067-9FCD-4A31DFD9A4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DC9A0115-C6A6-473C-B962-8E87057DDB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168F52C0-3881-4B01-A5E5-F9AB88DB13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AAE49EBA-EE05-4326-B2D8-5D6462E205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5A3D5FCC-B3BA-4F4A-B1C4-C3EE3A7CDD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37362A6-0DF3-48C6-8FAF-B4198EBE02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B108BD19-2C71-41FE-8D7B-33CC829E8A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A84F18B8-7E62-44C5-B2BD-F790D12463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E816AA40-CEFC-480F-816A-69E616DFFB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7BAD8E58-F960-47D8-8B15-B499A0F684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F344AB90-4671-42E6-825C-458DC52FDC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CF7E0D82-5EB8-46B1-AB93-A4E99A3C4D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D5E0994B-B36A-4230-A295-2CC6BACDDB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B2D6CE26-237D-4574-8385-E61F84C4C9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DE28A3C1-9EC8-4854-B050-2F2CAE8E4E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7045C1F3-E720-4624-8664-FE3307B0B8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FBF2D15E-C677-43E1-AD97-946C3910B4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CFFCD12B-240B-4B63-A392-80AA0A0D68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6A43584C-CE00-4E10-A5DE-17209769A6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29414504-A894-402B-ABE5-35F615710F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C580780-45D9-4F46-8A19-5D27CF1FEF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2F8AF0CE-59EE-4063-8AF9-C3684B8536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E27DE954-2D69-4024-A80C-D25753AA6D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98F7EE4-BA8D-4F2D-B58F-C9021FB3FB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73DC7E3C-E7A3-4497-AD42-45E3FD4655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FCBEDDAA-FBDA-4175-9A23-910A34DD12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E584FD8E-725F-49BC-B7F9-3EE23A738E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69D50A9D-09AF-4A1C-86BB-F3E2E69CE3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20AD7695-F082-40A2-9997-576EC63DED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20B502F-4AE1-4697-A287-EE5F103130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48B384DD-D981-47F2-A556-35B1F31AAC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DF4CA4F6-1155-4335-AB19-55009D0E25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29CC22DB-9730-4FEC-95A3-4DCFE4B50A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5DB3FB94-537C-471C-AF2F-430E969B21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EC85F83A-0AA0-4A42-95F4-1CFDE4EA24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4F15B1A9-F0EB-4714-9955-7DE30C2C8F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56106D72-8E5E-40EF-A87E-81536E14E3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A92BAEBF-9386-4B05-885B-B3908843AB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EAC73BE3-E625-4910-ABA9-18BFB33A07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F13E77CF-86A6-4954-AADC-95589B3729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AD7FAA9C-11EB-405C-9CEF-975EB3F26C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AAEA453A-598A-4EF9-9CA2-8AB60A656D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C527A49E-5190-4436-BF12-1A20CA46AF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1850BD0D-BBE5-4012-AA24-F9358BDD99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D3D38BCE-BC40-4DFA-BF4D-CB06FC68E4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4851BF7F-FB9A-4B0E-A1D1-4C6D693267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AFF1D8D5-9EB2-4466-AA67-59F3B2725A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55C5A5B7-68D1-462C-B74D-FC09B3881C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9B99DB6A-0E1A-4FFB-9812-E4D40B9113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E038366C-14B4-45FC-AD12-D0DF6205D5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4E2ACA9D-A0B7-4937-AAB9-97E6BA1987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C67C7892-0A28-485A-9E73-9AC22A3C2D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5D00D3A5-B333-4EC0-90AB-E537E63779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71423E16-10D3-44A4-8610-05D3121A8B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68CD3865-1D80-4C13-A299-FE411DC69F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820C7B1C-A275-41AD-9D18-A10B328BE5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DE0AC4D6-6F6E-45E5-8D01-B454094F7E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BD1DA726-4583-4812-8D2E-60C72C829D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4B6E7C17-61A4-42A6-9C11-26F46AA1BB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AF24603A-D460-4783-9C65-742CFB575E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95C703FD-F5F1-405A-84A7-C9C1860C42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9EB34DE1-066F-4650-A8F1-4E8C378966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E3FADA09-F617-431C-B876-818E6B47EB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D4581FA2-E475-4B69-9FFF-0220C5C031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DA7F7DA3-AB3E-4666-9CE4-18D9B4ADDF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C9D707D-66F3-4455-8464-DBA22922CE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F105C66B-2F2C-47D6-9A87-BA26597A15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F42BC513-5B0C-466C-BE63-3405B5FF1D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30985677-9A81-4BB1-BB51-EF8B18A958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BB804C56-C81E-4EC0-AAA0-7624946C9F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D7EF7421-2BEF-4D1D-B3D1-8FACCF4819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86D7DA5E-91D8-4E09-A7AD-EF1A7D34FE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F11F7C2-7C64-4E09-ABF4-0FD0DB0E11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8D194C96-B180-42B5-B5D4-B593DDC029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27F11745-04F4-4FCE-88D3-BD38F3FD84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783C917F-10D9-4662-BAC4-A6B32B7BBC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849A22F-B95F-4FDC-8636-ECC31C9015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104B62D-31B3-4545-B5F4-644748ECC0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9916F992-7A65-4309-A5F6-13C529988C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BEA65D56-234E-4B89-8B11-70E2C63E65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7198B9D0-0004-4269-8F25-FCC1FED128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8EA70EA2-41F2-4786-82C2-2334A53A72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C46EC254-0E7F-4333-80BF-E4F20FE7EA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98889A08-FB83-4365-BE72-CF00786F4E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3246DDBB-E765-4B26-90FC-4BC13E3124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D1DE2539-A8A9-4726-BE8D-6092D5FD21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2A511F5B-4CBD-401F-B23F-D4E713BA63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7C617DCB-9488-46BA-AC40-763207991B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508AEF63-B7E2-411D-B71E-2F9408A1E7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F2E54851-5A23-4FDE-B649-358E4D7DB6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A359DF29-8726-4A12-BAAB-7FCC90B814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81EAE8B4-B5F8-4F02-94EA-D2E20E11C3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C04AD326-04F3-421A-B527-E0150BDE9A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A78D6843-3A51-49D4-9600-E7FB8E4AB2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4A12F213-7ED6-406F-87D9-417F241B19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AAE3A3BF-8E8F-4ECC-A24F-055892E629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7CAFCF23-83BF-4B82-9675-757E0B0419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6BA83D76-D74D-4319-88EE-0BD32A03EE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BB0747D3-F9A2-41C4-ACEF-ADF0413740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894D45EC-E3CC-4D51-B1E5-45C281C455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CFB6E8A0-174F-4AF2-93D9-8389F55C2E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8C490AC0-199F-4A12-88F3-FD4C7A30A5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8D6BA481-BEDA-476F-8544-BBD1885A36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73A6ECCD-E8CF-4526-8A6C-2DCC6966CC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DC767915-046D-4C35-875A-3DC6E2D51A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E54E71C9-DF7C-46C7-B1D6-0F56409CD4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9BCBB35E-78EA-4E10-A163-EEFB55FF35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606468F-3B69-408E-99F5-A4B87275EF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99B3C917-45D3-49FF-9655-8686C6BF48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6F9A4FEC-E076-4618-A678-980FABFA82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FF32F98F-47FD-4AA9-AD4A-464C0A1341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706247A1-1CBA-4BD1-8481-1C8D481FFD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4FE6E2FE-271C-48EE-ABC6-3961174488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AC2F5BA4-C527-438C-8C1F-7A37420C1D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F89F262C-467D-4A2B-9486-9F74A82C06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7" t="s">
        <v>0</v>
      </c>
      <c r="B1" s="228"/>
      <c r="C1" s="228"/>
      <c r="D1" s="228"/>
      <c r="E1" s="228"/>
      <c r="F1" s="229"/>
      <c r="G1" s="258">
        <v>44287</v>
      </c>
      <c r="H1" s="259"/>
      <c r="I1" s="260"/>
      <c r="J1" s="227" t="s">
        <v>1</v>
      </c>
      <c r="K1" s="228"/>
      <c r="L1" s="228"/>
      <c r="M1" s="228"/>
      <c r="N1" s="228"/>
      <c r="O1" s="229"/>
      <c r="Q1" s="227" t="s">
        <v>2</v>
      </c>
      <c r="R1" s="229"/>
    </row>
    <row r="2" spans="1:19" ht="17.25" customHeight="1">
      <c r="A2" s="1" t="s">
        <v>3</v>
      </c>
      <c r="B2" s="261" t="s">
        <v>4</v>
      </c>
      <c r="C2" s="262"/>
      <c r="D2" s="262"/>
      <c r="E2" s="262"/>
      <c r="F2" s="263"/>
      <c r="G2" s="255" t="s">
        <v>46</v>
      </c>
      <c r="H2" s="256"/>
      <c r="I2" s="257"/>
      <c r="J2" s="1" t="s">
        <v>3</v>
      </c>
      <c r="K2" s="261" t="s">
        <v>5</v>
      </c>
      <c r="L2" s="262"/>
      <c r="M2" s="262"/>
      <c r="N2" s="262"/>
      <c r="O2" s="263"/>
      <c r="Q2" s="2" t="s">
        <v>6</v>
      </c>
      <c r="R2" s="3">
        <v>0.375</v>
      </c>
    </row>
    <row r="3" spans="1:19" ht="17.25" customHeight="1" thickBot="1">
      <c r="A3" s="4" t="s">
        <v>7</v>
      </c>
      <c r="B3" s="252" t="s">
        <v>8</v>
      </c>
      <c r="C3" s="253"/>
      <c r="D3" s="253"/>
      <c r="E3" s="253"/>
      <c r="F3" s="254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9"/>
      <c r="I3" s="250"/>
      <c r="J3" s="4" t="s">
        <v>7</v>
      </c>
      <c r="K3" s="252" t="s">
        <v>9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52" t="s">
        <v>12</v>
      </c>
      <c r="C4" s="253"/>
      <c r="D4" s="253"/>
      <c r="E4" s="253"/>
      <c r="F4" s="254"/>
      <c r="G4" s="255" t="s">
        <v>44</v>
      </c>
      <c r="H4" s="256"/>
      <c r="I4" s="257"/>
      <c r="J4" s="4" t="s">
        <v>11</v>
      </c>
      <c r="K4" s="252" t="s">
        <v>13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52" t="s">
        <v>16</v>
      </c>
      <c r="C5" s="253"/>
      <c r="D5" s="253"/>
      <c r="E5" s="253"/>
      <c r="F5" s="254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9"/>
      <c r="I5" s="250"/>
      <c r="J5" s="4" t="s">
        <v>15</v>
      </c>
      <c r="K5" s="252" t="s">
        <v>17</v>
      </c>
      <c r="L5" s="253"/>
      <c r="M5" s="253"/>
      <c r="N5" s="253"/>
      <c r="O5" s="254"/>
    </row>
    <row r="6" spans="1:19">
      <c r="A6" s="4" t="s">
        <v>18</v>
      </c>
      <c r="B6" s="252" t="s">
        <v>19</v>
      </c>
      <c r="C6" s="253"/>
      <c r="D6" s="253"/>
      <c r="E6" s="253"/>
      <c r="F6" s="254"/>
      <c r="G6" s="255" t="s">
        <v>45</v>
      </c>
      <c r="H6" s="256"/>
      <c r="I6" s="257"/>
      <c r="J6" s="4" t="s">
        <v>18</v>
      </c>
      <c r="K6" s="252" t="s">
        <v>20</v>
      </c>
      <c r="L6" s="253"/>
      <c r="M6" s="253"/>
      <c r="N6" s="253"/>
      <c r="O6" s="254"/>
    </row>
    <row r="7" spans="1:19" ht="17.25" thickBot="1">
      <c r="A7" s="4" t="s">
        <v>21</v>
      </c>
      <c r="B7" s="252" t="s">
        <v>22</v>
      </c>
      <c r="C7" s="253"/>
      <c r="D7" s="253"/>
      <c r="E7" s="253"/>
      <c r="F7" s="254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9"/>
      <c r="I7" s="250"/>
      <c r="J7" s="4" t="s">
        <v>21</v>
      </c>
      <c r="K7" s="252" t="s">
        <v>23</v>
      </c>
      <c r="L7" s="253"/>
      <c r="M7" s="253"/>
      <c r="N7" s="253"/>
      <c r="O7" s="254"/>
    </row>
    <row r="8" spans="1:19" ht="17.25" thickBot="1">
      <c r="A8" s="4" t="s">
        <v>24</v>
      </c>
      <c r="B8" s="252" t="s">
        <v>25</v>
      </c>
      <c r="C8" s="253"/>
      <c r="D8" s="253"/>
      <c r="E8" s="253"/>
      <c r="F8" s="254"/>
      <c r="G8" s="255" t="s">
        <v>256</v>
      </c>
      <c r="H8" s="256"/>
      <c r="I8" s="257"/>
      <c r="J8" s="4" t="s">
        <v>24</v>
      </c>
      <c r="K8" s="252" t="s">
        <v>26</v>
      </c>
      <c r="L8" s="253"/>
      <c r="M8" s="253"/>
      <c r="N8" s="253"/>
      <c r="O8" s="254"/>
      <c r="Q8" s="227" t="s">
        <v>27</v>
      </c>
      <c r="R8" s="229"/>
    </row>
    <row r="9" spans="1:19" ht="17.25" thickBot="1">
      <c r="A9" s="4" t="s">
        <v>28</v>
      </c>
      <c r="B9" s="252"/>
      <c r="C9" s="253"/>
      <c r="D9" s="253"/>
      <c r="E9" s="253"/>
      <c r="F9" s="254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9"/>
      <c r="I9" s="250"/>
      <c r="J9" s="4" t="s">
        <v>28</v>
      </c>
      <c r="K9" s="252" t="s">
        <v>264</v>
      </c>
      <c r="L9" s="253"/>
      <c r="M9" s="253"/>
      <c r="N9" s="253"/>
      <c r="O9" s="254"/>
      <c r="Q9" s="2" t="s">
        <v>29</v>
      </c>
      <c r="R9" s="6">
        <v>10</v>
      </c>
    </row>
    <row r="10" spans="1:19">
      <c r="A10" s="4" t="s">
        <v>30</v>
      </c>
      <c r="B10" s="252"/>
      <c r="C10" s="253"/>
      <c r="D10" s="253"/>
      <c r="E10" s="253"/>
      <c r="F10" s="254"/>
      <c r="G10" s="255" t="s">
        <v>47</v>
      </c>
      <c r="H10" s="256"/>
      <c r="I10" s="257"/>
      <c r="J10" s="4" t="s">
        <v>30</v>
      </c>
      <c r="K10" s="252"/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7" t="s">
        <v>32</v>
      </c>
      <c r="B11" s="245"/>
      <c r="C11" s="246"/>
      <c r="D11" s="246"/>
      <c r="E11" s="246"/>
      <c r="F11" s="247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45"/>
      <c r="L11" s="246"/>
      <c r="M11" s="246"/>
      <c r="N11" s="246"/>
      <c r="O11" s="247"/>
      <c r="Q11" s="65" t="s">
        <v>33</v>
      </c>
      <c r="R11" s="8">
        <v>1000</v>
      </c>
    </row>
    <row r="12" spans="1:19" ht="17.25" thickBot="1"/>
    <row r="13" spans="1:19" ht="17.25" customHeight="1" thickBot="1">
      <c r="A13" s="227" t="s">
        <v>34</v>
      </c>
      <c r="B13" s="228"/>
      <c r="C13" s="228"/>
      <c r="D13" s="228"/>
      <c r="E13" s="228"/>
      <c r="F13" s="228"/>
      <c r="G13" s="228"/>
      <c r="H13" s="228"/>
      <c r="I13" s="228"/>
      <c r="J13" s="228"/>
      <c r="K13" s="228"/>
      <c r="L13" s="228"/>
      <c r="M13" s="228"/>
      <c r="N13" s="228"/>
      <c r="O13" s="229"/>
      <c r="Q13" s="226"/>
      <c r="R13" s="226"/>
      <c r="S13" s="226"/>
    </row>
    <row r="14" spans="1:19" ht="17.25" customHeight="1" thickBot="1">
      <c r="A14" s="111" t="s">
        <v>35</v>
      </c>
      <c r="B14" s="227" t="s">
        <v>36</v>
      </c>
      <c r="C14" s="229"/>
      <c r="D14" s="227" t="s">
        <v>37</v>
      </c>
      <c r="E14" s="228"/>
      <c r="F14" s="229"/>
      <c r="G14" s="230">
        <f>_xlfn.IFNA(VLOOKUP(B14, 현재가테이블!$B$2:$D$200, 2, FALSE), "-")</f>
        <v>39916000</v>
      </c>
      <c r="H14" s="231"/>
      <c r="I14" s="232"/>
      <c r="J14" s="227" t="s">
        <v>38</v>
      </c>
      <c r="K14" s="228"/>
      <c r="L14" s="229"/>
      <c r="M14" s="233">
        <f>_xlfn.IFNA(VLOOKUP(B14, 현재가테이블!$B$2:$D$200, 3, FALSE), "-")</f>
        <v>7.3184273000000003E-3</v>
      </c>
      <c r="N14" s="234"/>
      <c r="O14" s="235"/>
      <c r="Q14" s="226"/>
      <c r="R14" s="226"/>
      <c r="S14" s="226"/>
    </row>
    <row r="15" spans="1:19" ht="17.25" customHeight="1" thickBot="1">
      <c r="A15" s="251" t="s">
        <v>39</v>
      </c>
      <c r="B15" s="243" t="str">
        <f>TEXT($G$1, "[$-ko-KR]yyyy-mm-dd(ddd) ") &amp; "오전 00:00"</f>
        <v>2021-04-01(목) 오전 00:00</v>
      </c>
      <c r="C15" s="244"/>
      <c r="D15" s="240" t="str">
        <f>TEXT($G$1, "[$-ko-KR]yyyy-mm-dd(ddd) ") &amp; "오후 14:00"</f>
        <v>2021-04-01(목) 오후 14:00</v>
      </c>
      <c r="E15" s="241"/>
      <c r="F15" s="242"/>
      <c r="G15" s="240" t="str">
        <f>TEXT($G$1, "[$-ko-KR]yyyy-mm-dd(ddd) ") &amp; "오후 19:00"</f>
        <v>2021-04-01(목) 오후 19:00</v>
      </c>
      <c r="H15" s="241"/>
      <c r="I15" s="242"/>
      <c r="J15" s="240" t="str">
        <f>TEXT($G$1, "[$-ko-KR]yyyy-mm-dd(ddd) ") &amp; "오후 21:00"</f>
        <v>2021-04-01(목) 오후 21:00</v>
      </c>
      <c r="K15" s="241"/>
      <c r="L15" s="242"/>
      <c r="M15" s="240" t="str">
        <f>TEXT($G$1+1, "[$-ko-KR]yyyy-mm-dd(ddd) ") &amp; "오전 00:00"</f>
        <v>2021-04-02(금) 오전 00:00</v>
      </c>
      <c r="N15" s="241"/>
      <c r="O15" s="242"/>
      <c r="Q15" s="226"/>
      <c r="R15" s="226"/>
      <c r="S15" s="226"/>
    </row>
    <row r="16" spans="1:19" ht="17.25" customHeight="1" thickBot="1">
      <c r="A16" s="25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6"/>
      <c r="R16" s="216"/>
      <c r="S16" s="216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6"/>
      <c r="R19" s="216"/>
      <c r="S19" s="216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6"/>
      <c r="R20" s="216"/>
      <c r="S20" s="216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6"/>
      <c r="R21" s="216"/>
      <c r="S21" s="216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6"/>
      <c r="R22" s="216"/>
      <c r="S22" s="216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6"/>
      <c r="R23" s="216"/>
      <c r="S23" s="216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6"/>
      <c r="R24" s="216"/>
      <c r="S24" s="216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6"/>
      <c r="R29" s="216"/>
      <c r="S29" s="216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6"/>
      <c r="R32" s="216"/>
      <c r="S32" s="216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6"/>
      <c r="R33" s="216"/>
      <c r="S33" s="216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6"/>
      <c r="R34" s="216"/>
      <c r="S34" s="216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5"/>
      <c r="R35" s="206"/>
      <c r="S35" s="20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8"/>
      <c r="R36" s="209"/>
      <c r="S36" s="210"/>
    </row>
    <row r="37" spans="1:19" ht="17.25" customHeight="1" thickBot="1">
      <c r="A37" s="26" t="s">
        <v>42</v>
      </c>
      <c r="B37" s="214">
        <v>300000</v>
      </c>
      <c r="C37" s="215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11"/>
      <c r="R37" s="212"/>
      <c r="S37" s="213"/>
    </row>
    <row r="38" spans="1:19" ht="17.25" customHeight="1"/>
    <row r="39" spans="1:19" ht="17.25" customHeight="1" thickBot="1"/>
    <row r="40" spans="1:19" ht="17.25" customHeight="1" thickBot="1">
      <c r="A40" s="227" t="s">
        <v>44</v>
      </c>
      <c r="B40" s="228"/>
      <c r="C40" s="228"/>
      <c r="D40" s="228"/>
      <c r="E40" s="228"/>
      <c r="F40" s="228"/>
      <c r="G40" s="228"/>
      <c r="H40" s="228"/>
      <c r="I40" s="228"/>
      <c r="J40" s="228"/>
      <c r="K40" s="228"/>
      <c r="L40" s="228"/>
      <c r="M40" s="228"/>
      <c r="N40" s="228"/>
      <c r="O40" s="229"/>
      <c r="Q40" s="226"/>
      <c r="R40" s="226"/>
      <c r="S40" s="226"/>
    </row>
    <row r="41" spans="1:19" ht="17.25" customHeight="1" thickBot="1">
      <c r="A41" s="111" t="s">
        <v>268</v>
      </c>
      <c r="B41" s="227" t="s">
        <v>49</v>
      </c>
      <c r="C41" s="229"/>
      <c r="D41" s="227" t="s">
        <v>58</v>
      </c>
      <c r="E41" s="228"/>
      <c r="F41" s="229"/>
      <c r="G41" s="230">
        <f>_xlfn.IFNA(VLOOKUP(B41, 현재가테이블!$B$2:$D$200, 2, FALSE), "-")</f>
        <v>39916000</v>
      </c>
      <c r="H41" s="231"/>
      <c r="I41" s="232"/>
      <c r="J41" s="227" t="s">
        <v>59</v>
      </c>
      <c r="K41" s="228"/>
      <c r="L41" s="229"/>
      <c r="M41" s="233">
        <f>_xlfn.IFNA(VLOOKUP(B41, 현재가테이블!$B$2:$D$200, 3, FALSE), "-")</f>
        <v>7.3184273000000003E-3</v>
      </c>
      <c r="N41" s="234"/>
      <c r="O41" s="235"/>
      <c r="Q41" s="226"/>
      <c r="R41" s="226"/>
      <c r="S41" s="226"/>
    </row>
    <row r="42" spans="1:19" ht="17.25" customHeight="1" thickBot="1">
      <c r="A42" s="236" t="s">
        <v>55</v>
      </c>
      <c r="B42" s="238" t="str">
        <f>TEXT($G$1, "[$-ko-KR]yyyy-mm-dd(ddd) ") &amp; "오전 00:00"</f>
        <v>2021-04-01(목) 오전 00:00</v>
      </c>
      <c r="C42" s="239"/>
      <c r="D42" s="240" t="str">
        <f>TEXT($G$1, "[$-ko-KR]yyyy-mm-dd(ddd) ") &amp; "오후 14:00"</f>
        <v>2021-04-01(목) 오후 14:00</v>
      </c>
      <c r="E42" s="241"/>
      <c r="F42" s="242"/>
      <c r="G42" s="240" t="str">
        <f>TEXT($G$1, "[$-ko-KR]yyyy-mm-dd(ddd) ") &amp; "오후 19:00"</f>
        <v>2021-04-01(목) 오후 19:00</v>
      </c>
      <c r="H42" s="241"/>
      <c r="I42" s="242"/>
      <c r="J42" s="240" t="str">
        <f>TEXT($G$1, "[$-ko-KR]yyyy-mm-dd(ddd) ") &amp; "오후 21:00"</f>
        <v>2021-04-01(목) 오후 21:00</v>
      </c>
      <c r="K42" s="241"/>
      <c r="L42" s="242"/>
      <c r="M42" s="240" t="str">
        <f>TEXT($G$1+1, "[$-ko-KR]yyyy-mm-dd(ddd) ") &amp; "오전 00:00"</f>
        <v>2021-04-02(금) 오전 00:00</v>
      </c>
      <c r="N42" s="241"/>
      <c r="O42" s="242"/>
      <c r="Q42" s="226"/>
      <c r="R42" s="226"/>
      <c r="S42" s="226"/>
    </row>
    <row r="43" spans="1:19" ht="17.25" customHeight="1" thickBot="1">
      <c r="A43" s="237"/>
      <c r="B43" s="2" t="s">
        <v>58</v>
      </c>
      <c r="C43" s="10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6"/>
      <c r="R43" s="216"/>
      <c r="S43" s="216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6"/>
      <c r="R44" s="226"/>
      <c r="S44" s="226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6"/>
      <c r="R45" s="226"/>
      <c r="S45" s="226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6"/>
      <c r="R46" s="216"/>
      <c r="S46" s="216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6"/>
      <c r="R47" s="216"/>
      <c r="S47" s="216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6"/>
      <c r="R48" s="216"/>
      <c r="S48" s="216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6"/>
      <c r="R49" s="216"/>
      <c r="S49" s="216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6"/>
      <c r="R50" s="216"/>
      <c r="S50" s="216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6"/>
      <c r="R51" s="216"/>
      <c r="S51" s="216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7"/>
      <c r="R53" s="218"/>
      <c r="S53" s="219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0"/>
      <c r="R54" s="221"/>
      <c r="S54" s="222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3"/>
      <c r="R55" s="224"/>
      <c r="S55" s="225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6"/>
      <c r="R56" s="216"/>
      <c r="S56" s="216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6"/>
      <c r="R57" s="226"/>
      <c r="S57" s="226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6"/>
      <c r="R58" s="226"/>
      <c r="S58" s="226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6"/>
      <c r="R59" s="216"/>
      <c r="S59" s="216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6"/>
      <c r="R60" s="216"/>
      <c r="S60" s="216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6"/>
      <c r="R61" s="216"/>
      <c r="S61" s="216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05"/>
      <c r="R62" s="206"/>
      <c r="S62" s="207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08"/>
      <c r="R63" s="209"/>
      <c r="S63" s="210"/>
    </row>
    <row r="64" spans="1:19" ht="17.25" customHeight="1" thickBot="1">
      <c r="A64" s="26" t="s">
        <v>271</v>
      </c>
      <c r="B64" s="214">
        <f>$B$37</f>
        <v>300000</v>
      </c>
      <c r="C64" s="215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11"/>
      <c r="R64" s="212"/>
      <c r="S64" s="213"/>
    </row>
    <row r="65" spans="1:19" ht="17.25" customHeight="1"/>
    <row r="66" spans="1:19" ht="17.25" customHeight="1" thickBot="1"/>
    <row r="67" spans="1:19" ht="17.25" thickBot="1">
      <c r="A67" s="227" t="s">
        <v>45</v>
      </c>
      <c r="B67" s="228"/>
      <c r="C67" s="228"/>
      <c r="D67" s="228"/>
      <c r="E67" s="228"/>
      <c r="F67" s="228"/>
      <c r="G67" s="228"/>
      <c r="H67" s="228"/>
      <c r="I67" s="228"/>
      <c r="J67" s="228"/>
      <c r="K67" s="228"/>
      <c r="L67" s="228"/>
      <c r="M67" s="228"/>
      <c r="N67" s="228"/>
      <c r="O67" s="229"/>
      <c r="Q67" s="226"/>
      <c r="R67" s="226"/>
      <c r="S67" s="226"/>
    </row>
    <row r="68" spans="1:19" ht="17.25" thickBot="1">
      <c r="A68" s="111" t="s">
        <v>268</v>
      </c>
      <c r="B68" s="227" t="s">
        <v>49</v>
      </c>
      <c r="C68" s="229"/>
      <c r="D68" s="227" t="s">
        <v>58</v>
      </c>
      <c r="E68" s="228"/>
      <c r="F68" s="229"/>
      <c r="G68" s="230">
        <f>_xlfn.IFNA(VLOOKUP(B68, 현재가테이블!$B$2:$D$200, 2, FALSE), "-")</f>
        <v>39916000</v>
      </c>
      <c r="H68" s="231"/>
      <c r="I68" s="232"/>
      <c r="J68" s="227" t="s">
        <v>59</v>
      </c>
      <c r="K68" s="228"/>
      <c r="L68" s="229"/>
      <c r="M68" s="233">
        <f>_xlfn.IFNA(VLOOKUP(B68, 현재가테이블!$B$2:$D$200, 3, FALSE), "-")</f>
        <v>7.3184273000000003E-3</v>
      </c>
      <c r="N68" s="234"/>
      <c r="O68" s="235"/>
      <c r="Q68" s="226"/>
      <c r="R68" s="226"/>
      <c r="S68" s="226"/>
    </row>
    <row r="69" spans="1:19" ht="17.25" thickBot="1">
      <c r="A69" s="236" t="s">
        <v>55</v>
      </c>
      <c r="B69" s="238" t="str">
        <f>TEXT($G$1, "[$-ko-KR]yyyy-mm-dd(ddd) ") &amp; "오전 00:00"</f>
        <v>2021-04-01(목) 오전 00:00</v>
      </c>
      <c r="C69" s="239"/>
      <c r="D69" s="240" t="str">
        <f>TEXT($G$1, "[$-ko-KR]yyyy-mm-dd(ddd) ") &amp; "오후 14:00"</f>
        <v>2021-04-01(목) 오후 14:00</v>
      </c>
      <c r="E69" s="241"/>
      <c r="F69" s="242"/>
      <c r="G69" s="240" t="str">
        <f>TEXT($G$1, "[$-ko-KR]yyyy-mm-dd(ddd) ") &amp; "오후 19:00"</f>
        <v>2021-04-01(목) 오후 19:00</v>
      </c>
      <c r="H69" s="241"/>
      <c r="I69" s="242"/>
      <c r="J69" s="240" t="str">
        <f>TEXT($G$1, "[$-ko-KR]yyyy-mm-dd(ddd) ") &amp; "오후 21:00"</f>
        <v>2021-04-01(목) 오후 21:00</v>
      </c>
      <c r="K69" s="241"/>
      <c r="L69" s="242"/>
      <c r="M69" s="240" t="str">
        <f>TEXT($G$1+1, "[$-ko-KR]yyyy-mm-dd(ddd) ") &amp; "오전 00:00"</f>
        <v>2021-04-02(금) 오전 00:00</v>
      </c>
      <c r="N69" s="241"/>
      <c r="O69" s="242"/>
      <c r="Q69" s="226"/>
      <c r="R69" s="226"/>
      <c r="S69" s="226"/>
    </row>
    <row r="70" spans="1:19" ht="17.25" thickBot="1">
      <c r="A70" s="237"/>
      <c r="B70" s="2" t="s">
        <v>58</v>
      </c>
      <c r="C70" s="10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6"/>
      <c r="R70" s="216"/>
      <c r="S70" s="216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6"/>
      <c r="R71" s="226"/>
      <c r="S71" s="226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6"/>
      <c r="R72" s="226"/>
      <c r="S72" s="226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6"/>
      <c r="R73" s="216"/>
      <c r="S73" s="216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6"/>
      <c r="R74" s="216"/>
      <c r="S74" s="216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6"/>
      <c r="R75" s="216"/>
      <c r="S75" s="216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6"/>
      <c r="R76" s="216"/>
      <c r="S76" s="216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6"/>
      <c r="R77" s="216"/>
      <c r="S77" s="216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6"/>
      <c r="R78" s="216"/>
      <c r="S78" s="216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7"/>
      <c r="R80" s="218"/>
      <c r="S80" s="219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0"/>
      <c r="R81" s="221"/>
      <c r="S81" s="222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3"/>
      <c r="R82" s="224"/>
      <c r="S82" s="225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6"/>
      <c r="R83" s="216"/>
      <c r="S83" s="216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6"/>
      <c r="R84" s="226"/>
      <c r="S84" s="226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6"/>
      <c r="R85" s="226"/>
      <c r="S85" s="226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6"/>
      <c r="R86" s="216"/>
      <c r="S86" s="216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6"/>
      <c r="R87" s="216"/>
      <c r="S87" s="216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6"/>
      <c r="R88" s="216"/>
      <c r="S88" s="216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05"/>
      <c r="R89" s="206"/>
      <c r="S89" s="207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08"/>
      <c r="R90" s="209"/>
      <c r="S90" s="210"/>
    </row>
    <row r="91" spans="1:19" ht="17.25" thickBot="1">
      <c r="A91" s="26" t="s">
        <v>271</v>
      </c>
      <c r="B91" s="214">
        <f>$B$37</f>
        <v>300000</v>
      </c>
      <c r="C91" s="215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11"/>
      <c r="R91" s="212"/>
      <c r="S91" s="213"/>
    </row>
    <row r="93" spans="1:19" ht="17.25" thickBot="1"/>
    <row r="94" spans="1:19" ht="17.25" thickBot="1">
      <c r="A94" s="227" t="s">
        <v>46</v>
      </c>
      <c r="B94" s="228"/>
      <c r="C94" s="228"/>
      <c r="D94" s="228"/>
      <c r="E94" s="228"/>
      <c r="F94" s="228"/>
      <c r="G94" s="228"/>
      <c r="H94" s="228"/>
      <c r="I94" s="228"/>
      <c r="J94" s="228"/>
      <c r="K94" s="228"/>
      <c r="L94" s="228"/>
      <c r="M94" s="228"/>
      <c r="N94" s="228"/>
      <c r="O94" s="229"/>
      <c r="Q94" s="226"/>
      <c r="R94" s="226"/>
      <c r="S94" s="226"/>
    </row>
    <row r="95" spans="1:19" ht="17.25" thickBot="1">
      <c r="A95" s="111" t="s">
        <v>268</v>
      </c>
      <c r="B95" s="227" t="s">
        <v>49</v>
      </c>
      <c r="C95" s="229"/>
      <c r="D95" s="227" t="s">
        <v>58</v>
      </c>
      <c r="E95" s="228"/>
      <c r="F95" s="229"/>
      <c r="G95" s="230">
        <f>_xlfn.IFNA(VLOOKUP(B95, 현재가테이블!$B$2:$D$200, 2, FALSE), "-")</f>
        <v>39916000</v>
      </c>
      <c r="H95" s="231"/>
      <c r="I95" s="232"/>
      <c r="J95" s="227" t="s">
        <v>59</v>
      </c>
      <c r="K95" s="228"/>
      <c r="L95" s="229"/>
      <c r="M95" s="233">
        <f>_xlfn.IFNA(VLOOKUP(B95, 현재가테이블!$B$2:$D$200, 3, FALSE), "-")</f>
        <v>7.3184273000000003E-3</v>
      </c>
      <c r="N95" s="234"/>
      <c r="O95" s="235"/>
      <c r="Q95" s="226"/>
      <c r="R95" s="226"/>
      <c r="S95" s="226"/>
    </row>
    <row r="96" spans="1:19" ht="17.25" thickBot="1">
      <c r="A96" s="236" t="s">
        <v>55</v>
      </c>
      <c r="B96" s="238" t="str">
        <f>TEXT($G$1, "[$-ko-KR]yyyy-mm-dd(ddd) ") &amp; "오전 00:00"</f>
        <v>2021-04-01(목) 오전 00:00</v>
      </c>
      <c r="C96" s="239"/>
      <c r="D96" s="240" t="str">
        <f>TEXT($G$1, "[$-ko-KR]yyyy-mm-dd(ddd) ") &amp; "오후 14:00"</f>
        <v>2021-04-01(목) 오후 14:00</v>
      </c>
      <c r="E96" s="241"/>
      <c r="F96" s="242"/>
      <c r="G96" s="240" t="str">
        <f>TEXT($G$1, "[$-ko-KR]yyyy-mm-dd(ddd) ") &amp; "오후 19:00"</f>
        <v>2021-04-01(목) 오후 19:00</v>
      </c>
      <c r="H96" s="241"/>
      <c r="I96" s="242"/>
      <c r="J96" s="240" t="str">
        <f>TEXT($G$1, "[$-ko-KR]yyyy-mm-dd(ddd) ") &amp; "오후 21:00"</f>
        <v>2021-04-01(목) 오후 21:00</v>
      </c>
      <c r="K96" s="241"/>
      <c r="L96" s="242"/>
      <c r="M96" s="240" t="str">
        <f>TEXT($G$1+1, "[$-ko-KR]yyyy-mm-dd(ddd) ") &amp; "오전 00:00"</f>
        <v>2021-04-02(금) 오전 00:00</v>
      </c>
      <c r="N96" s="241"/>
      <c r="O96" s="242"/>
      <c r="Q96" s="226"/>
      <c r="R96" s="226"/>
      <c r="S96" s="226"/>
    </row>
    <row r="97" spans="1:19" ht="17.25" thickBot="1">
      <c r="A97" s="237"/>
      <c r="B97" s="2" t="s">
        <v>58</v>
      </c>
      <c r="C97" s="10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6"/>
      <c r="R97" s="216"/>
      <c r="S97" s="216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6"/>
      <c r="R98" s="226"/>
      <c r="S98" s="226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6"/>
      <c r="R99" s="226"/>
      <c r="S99" s="226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6"/>
      <c r="R100" s="216"/>
      <c r="S100" s="216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6"/>
      <c r="R101" s="216"/>
      <c r="S101" s="216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6"/>
      <c r="R102" s="216"/>
      <c r="S102" s="216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6"/>
      <c r="R103" s="216"/>
      <c r="S103" s="216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6"/>
      <c r="R104" s="216"/>
      <c r="S104" s="216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6"/>
      <c r="R105" s="216"/>
      <c r="S105" s="216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7"/>
      <c r="R107" s="218"/>
      <c r="S107" s="219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0"/>
      <c r="R108" s="221"/>
      <c r="S108" s="222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3"/>
      <c r="R109" s="224"/>
      <c r="S109" s="225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6"/>
      <c r="R110" s="216"/>
      <c r="S110" s="216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6"/>
      <c r="R111" s="226"/>
      <c r="S111" s="226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6"/>
      <c r="R112" s="226"/>
      <c r="S112" s="226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6"/>
      <c r="R113" s="216"/>
      <c r="S113" s="216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6"/>
      <c r="R114" s="216"/>
      <c r="S114" s="216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6"/>
      <c r="R115" s="216"/>
      <c r="S115" s="216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05"/>
      <c r="R116" s="206"/>
      <c r="S116" s="207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08"/>
      <c r="R117" s="209"/>
      <c r="S117" s="210"/>
    </row>
    <row r="118" spans="1:19" ht="17.25" thickBot="1">
      <c r="A118" s="26" t="s">
        <v>271</v>
      </c>
      <c r="B118" s="214">
        <f>$B$37</f>
        <v>300000</v>
      </c>
      <c r="C118" s="215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11"/>
      <c r="R118" s="212"/>
      <c r="S118" s="213"/>
    </row>
    <row r="120" spans="1:19" ht="17.25" thickBot="1"/>
    <row r="121" spans="1:19" ht="17.25" thickBot="1">
      <c r="A121" s="227" t="s">
        <v>259</v>
      </c>
      <c r="B121" s="228"/>
      <c r="C121" s="228"/>
      <c r="D121" s="228"/>
      <c r="E121" s="228"/>
      <c r="F121" s="228"/>
      <c r="G121" s="228"/>
      <c r="H121" s="228"/>
      <c r="I121" s="228"/>
      <c r="J121" s="228"/>
      <c r="K121" s="228"/>
      <c r="L121" s="228"/>
      <c r="M121" s="228"/>
      <c r="N121" s="228"/>
      <c r="O121" s="229"/>
      <c r="Q121" s="226"/>
      <c r="R121" s="226"/>
      <c r="S121" s="226"/>
    </row>
    <row r="122" spans="1:19" ht="17.25" thickBot="1">
      <c r="A122" s="111" t="s">
        <v>268</v>
      </c>
      <c r="B122" s="227" t="s">
        <v>49</v>
      </c>
      <c r="C122" s="229"/>
      <c r="D122" s="227" t="s">
        <v>58</v>
      </c>
      <c r="E122" s="228"/>
      <c r="F122" s="229"/>
      <c r="G122" s="230">
        <f>_xlfn.IFNA(VLOOKUP(B122, 현재가테이블!$B$2:$D$200, 2, FALSE), "-")</f>
        <v>39916000</v>
      </c>
      <c r="H122" s="231"/>
      <c r="I122" s="232"/>
      <c r="J122" s="227" t="s">
        <v>59</v>
      </c>
      <c r="K122" s="228"/>
      <c r="L122" s="229"/>
      <c r="M122" s="233">
        <f>_xlfn.IFNA(VLOOKUP(B122, 현재가테이블!$B$2:$D$200, 3, FALSE), "-")</f>
        <v>7.3184273000000003E-3</v>
      </c>
      <c r="N122" s="234"/>
      <c r="O122" s="235"/>
      <c r="Q122" s="226"/>
      <c r="R122" s="226"/>
      <c r="S122" s="226"/>
    </row>
    <row r="123" spans="1:19" ht="17.25" thickBot="1">
      <c r="A123" s="236" t="s">
        <v>55</v>
      </c>
      <c r="B123" s="238" t="str">
        <f>TEXT($G$1, "[$-ko-KR]yyyy-mm-dd(ddd) ") &amp; "오전 00:00"</f>
        <v>2021-04-01(목) 오전 00:00</v>
      </c>
      <c r="C123" s="239"/>
      <c r="D123" s="240" t="str">
        <f>TEXT($G$1, "[$-ko-KR]yyyy-mm-dd(ddd) ") &amp; "오후 14:00"</f>
        <v>2021-04-01(목) 오후 14:00</v>
      </c>
      <c r="E123" s="241"/>
      <c r="F123" s="242"/>
      <c r="G123" s="240" t="str">
        <f>TEXT($G$1, "[$-ko-KR]yyyy-mm-dd(ddd) ") &amp; "오후 19:00"</f>
        <v>2021-04-01(목) 오후 19:00</v>
      </c>
      <c r="H123" s="241"/>
      <c r="I123" s="242"/>
      <c r="J123" s="240" t="str">
        <f>TEXT($G$1, "[$-ko-KR]yyyy-mm-dd(ddd) ") &amp; "오후 21:00"</f>
        <v>2021-04-01(목) 오후 21:00</v>
      </c>
      <c r="K123" s="241"/>
      <c r="L123" s="242"/>
      <c r="M123" s="240" t="str">
        <f>TEXT($G$1+1, "[$-ko-KR]yyyy-mm-dd(ddd) ") &amp; "오전 00:00"</f>
        <v>2021-04-02(금) 오전 00:00</v>
      </c>
      <c r="N123" s="241"/>
      <c r="O123" s="242"/>
      <c r="Q123" s="226"/>
      <c r="R123" s="226"/>
      <c r="S123" s="226"/>
    </row>
    <row r="124" spans="1:19" ht="17.25" thickBot="1">
      <c r="A124" s="237"/>
      <c r="B124" s="2" t="s">
        <v>58</v>
      </c>
      <c r="C124" s="10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6"/>
      <c r="R124" s="216"/>
      <c r="S124" s="216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6"/>
      <c r="R125" s="226"/>
      <c r="S125" s="226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6"/>
      <c r="R126" s="226"/>
      <c r="S126" s="226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6"/>
      <c r="R127" s="216"/>
      <c r="S127" s="216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6"/>
      <c r="R128" s="216"/>
      <c r="S128" s="216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6"/>
      <c r="R129" s="216"/>
      <c r="S129" s="216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6"/>
      <c r="R130" s="216"/>
      <c r="S130" s="216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6"/>
      <c r="R131" s="216"/>
      <c r="S131" s="216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6"/>
      <c r="R132" s="216"/>
      <c r="S132" s="216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7"/>
      <c r="R134" s="218"/>
      <c r="S134" s="219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0"/>
      <c r="R135" s="221"/>
      <c r="S135" s="222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3"/>
      <c r="R136" s="224"/>
      <c r="S136" s="225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6"/>
      <c r="R137" s="216"/>
      <c r="S137" s="216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6"/>
      <c r="R138" s="226"/>
      <c r="S138" s="226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6"/>
      <c r="R139" s="226"/>
      <c r="S139" s="226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6"/>
      <c r="R140" s="216"/>
      <c r="S140" s="216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6"/>
      <c r="R141" s="216"/>
      <c r="S141" s="216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6"/>
      <c r="R142" s="216"/>
      <c r="S142" s="216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05"/>
      <c r="R143" s="206"/>
      <c r="S143" s="207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08"/>
      <c r="R144" s="209"/>
      <c r="S144" s="210"/>
    </row>
    <row r="145" spans="1:19" ht="17.25" thickBot="1">
      <c r="A145" s="26" t="s">
        <v>271</v>
      </c>
      <c r="B145" s="214">
        <f>$B$37</f>
        <v>300000</v>
      </c>
      <c r="C145" s="215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11"/>
      <c r="R145" s="212"/>
      <c r="S145" s="213"/>
    </row>
    <row r="147" spans="1:19" ht="17.25" thickBot="1"/>
    <row r="148" spans="1:19" ht="17.25" thickBot="1">
      <c r="A148" s="227" t="s">
        <v>260</v>
      </c>
      <c r="B148" s="228"/>
      <c r="C148" s="228"/>
      <c r="D148" s="228"/>
      <c r="E148" s="228"/>
      <c r="F148" s="228"/>
      <c r="G148" s="228"/>
      <c r="H148" s="228"/>
      <c r="I148" s="228"/>
      <c r="J148" s="228"/>
      <c r="K148" s="228"/>
      <c r="L148" s="228"/>
      <c r="M148" s="228"/>
      <c r="N148" s="228"/>
      <c r="O148" s="229"/>
      <c r="Q148" s="226"/>
      <c r="R148" s="226"/>
      <c r="S148" s="226"/>
    </row>
    <row r="149" spans="1:19" ht="17.25" thickBot="1">
      <c r="A149" s="111" t="s">
        <v>268</v>
      </c>
      <c r="B149" s="227" t="s">
        <v>49</v>
      </c>
      <c r="C149" s="229"/>
      <c r="D149" s="227" t="s">
        <v>58</v>
      </c>
      <c r="E149" s="228"/>
      <c r="F149" s="229"/>
      <c r="G149" s="230">
        <f>_xlfn.IFNA(VLOOKUP(B149, 현재가테이블!$B$2:$D$200, 2, FALSE), "-")</f>
        <v>39916000</v>
      </c>
      <c r="H149" s="231"/>
      <c r="I149" s="232"/>
      <c r="J149" s="227" t="s">
        <v>59</v>
      </c>
      <c r="K149" s="228"/>
      <c r="L149" s="229"/>
      <c r="M149" s="233">
        <f>_xlfn.IFNA(VLOOKUP(B149, 현재가테이블!$B$2:$D$200, 3, FALSE), "-")</f>
        <v>7.3184273000000003E-3</v>
      </c>
      <c r="N149" s="234"/>
      <c r="O149" s="235"/>
      <c r="Q149" s="226"/>
      <c r="R149" s="226"/>
      <c r="S149" s="226"/>
    </row>
    <row r="150" spans="1:19" ht="17.25" thickBot="1">
      <c r="A150" s="236" t="s">
        <v>55</v>
      </c>
      <c r="B150" s="238" t="str">
        <f>TEXT($G$1, "[$-ko-KR]yyyy-mm-dd(ddd) ") &amp; "오전 00:00"</f>
        <v>2021-04-01(목) 오전 00:00</v>
      </c>
      <c r="C150" s="239"/>
      <c r="D150" s="240" t="str">
        <f>TEXT($G$1, "[$-ko-KR]yyyy-mm-dd(ddd) ") &amp; "오후 14:00"</f>
        <v>2021-04-01(목) 오후 14:00</v>
      </c>
      <c r="E150" s="241"/>
      <c r="F150" s="242"/>
      <c r="G150" s="240" t="str">
        <f>TEXT($G$1, "[$-ko-KR]yyyy-mm-dd(ddd) ") &amp; "오후 19:00"</f>
        <v>2021-04-01(목) 오후 19:00</v>
      </c>
      <c r="H150" s="241"/>
      <c r="I150" s="242"/>
      <c r="J150" s="240" t="str">
        <f>TEXT($G$1, "[$-ko-KR]yyyy-mm-dd(ddd) ") &amp; "오후 21:00"</f>
        <v>2021-04-01(목) 오후 21:00</v>
      </c>
      <c r="K150" s="241"/>
      <c r="L150" s="242"/>
      <c r="M150" s="240" t="str">
        <f>TEXT($G$1+1, "[$-ko-KR]yyyy-mm-dd(ddd) ") &amp; "오전 00:00"</f>
        <v>2021-04-02(금) 오전 00:00</v>
      </c>
      <c r="N150" s="241"/>
      <c r="O150" s="242"/>
      <c r="Q150" s="226"/>
      <c r="R150" s="226"/>
      <c r="S150" s="226"/>
    </row>
    <row r="151" spans="1:19" ht="17.25" thickBot="1">
      <c r="A151" s="237"/>
      <c r="B151" s="2" t="s">
        <v>58</v>
      </c>
      <c r="C151" s="10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6"/>
      <c r="R151" s="216"/>
      <c r="S151" s="216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6"/>
      <c r="R152" s="226"/>
      <c r="S152" s="226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6"/>
      <c r="R153" s="226"/>
      <c r="S153" s="226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6"/>
      <c r="R154" s="216"/>
      <c r="S154" s="216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6"/>
      <c r="R155" s="216"/>
      <c r="S155" s="216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6"/>
      <c r="R156" s="216"/>
      <c r="S156" s="216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6"/>
      <c r="R157" s="216"/>
      <c r="S157" s="216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6"/>
      <c r="R158" s="216"/>
      <c r="S158" s="216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6"/>
      <c r="R159" s="216"/>
      <c r="S159" s="216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7"/>
      <c r="R161" s="218"/>
      <c r="S161" s="219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0"/>
      <c r="R162" s="221"/>
      <c r="S162" s="222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3"/>
      <c r="R163" s="224"/>
      <c r="S163" s="225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6"/>
      <c r="R164" s="216"/>
      <c r="S164" s="216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6"/>
      <c r="R165" s="226"/>
      <c r="S165" s="226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6"/>
      <c r="R166" s="226"/>
      <c r="S166" s="226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6"/>
      <c r="R167" s="216"/>
      <c r="S167" s="216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6"/>
      <c r="R168" s="216"/>
      <c r="S168" s="216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6"/>
      <c r="R169" s="216"/>
      <c r="S169" s="216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05"/>
      <c r="R170" s="206"/>
      <c r="S170" s="207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08"/>
      <c r="R171" s="209"/>
      <c r="S171" s="210"/>
    </row>
    <row r="172" spans="1:19" ht="17.25" thickBot="1">
      <c r="A172" s="26" t="s">
        <v>271</v>
      </c>
      <c r="B172" s="214">
        <f>$B$37</f>
        <v>300000</v>
      </c>
      <c r="C172" s="215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11"/>
      <c r="R172" s="212"/>
      <c r="S172" s="213"/>
    </row>
    <row r="174" spans="1:19" ht="17.25" thickBot="1"/>
    <row r="175" spans="1:19" ht="17.25" thickBot="1">
      <c r="A175" s="227" t="s">
        <v>256</v>
      </c>
      <c r="B175" s="228"/>
      <c r="C175" s="228"/>
      <c r="D175" s="228"/>
      <c r="E175" s="228"/>
      <c r="F175" s="228"/>
      <c r="G175" s="228"/>
      <c r="H175" s="228"/>
      <c r="I175" s="228"/>
      <c r="J175" s="228"/>
      <c r="K175" s="228"/>
      <c r="L175" s="228"/>
      <c r="M175" s="228"/>
      <c r="N175" s="228"/>
      <c r="O175" s="229"/>
      <c r="Q175" s="226"/>
      <c r="R175" s="226"/>
      <c r="S175" s="226"/>
    </row>
    <row r="176" spans="1:19" ht="17.25" thickBot="1">
      <c r="A176" s="111" t="s">
        <v>268</v>
      </c>
      <c r="B176" s="227" t="s">
        <v>49</v>
      </c>
      <c r="C176" s="229"/>
      <c r="D176" s="227" t="s">
        <v>58</v>
      </c>
      <c r="E176" s="228"/>
      <c r="F176" s="229"/>
      <c r="G176" s="230">
        <f>_xlfn.IFNA(VLOOKUP(B176, 현재가테이블!$B$2:$D$200, 2, FALSE), "-")</f>
        <v>39916000</v>
      </c>
      <c r="H176" s="231"/>
      <c r="I176" s="232"/>
      <c r="J176" s="227" t="s">
        <v>59</v>
      </c>
      <c r="K176" s="228"/>
      <c r="L176" s="229"/>
      <c r="M176" s="233">
        <f>_xlfn.IFNA(VLOOKUP(B176, 현재가테이블!$B$2:$D$200, 3, FALSE), "-")</f>
        <v>7.3184273000000003E-3</v>
      </c>
      <c r="N176" s="234"/>
      <c r="O176" s="235"/>
      <c r="Q176" s="226"/>
      <c r="R176" s="226"/>
      <c r="S176" s="226"/>
    </row>
    <row r="177" spans="1:19" ht="17.25" thickBot="1">
      <c r="A177" s="236" t="s">
        <v>55</v>
      </c>
      <c r="B177" s="238" t="str">
        <f>TEXT($G$1, "[$-ko-KR]yyyy-mm-dd(ddd) ") &amp; "오전 00:00"</f>
        <v>2021-04-01(목) 오전 00:00</v>
      </c>
      <c r="C177" s="239"/>
      <c r="D177" s="240" t="str">
        <f>TEXT($G$1, "[$-ko-KR]yyyy-mm-dd(ddd) ") &amp; "오후 14:00"</f>
        <v>2021-04-01(목) 오후 14:00</v>
      </c>
      <c r="E177" s="241"/>
      <c r="F177" s="242"/>
      <c r="G177" s="240" t="str">
        <f>TEXT($G$1, "[$-ko-KR]yyyy-mm-dd(ddd) ") &amp; "오후 19:00"</f>
        <v>2021-04-01(목) 오후 19:00</v>
      </c>
      <c r="H177" s="241"/>
      <c r="I177" s="242"/>
      <c r="J177" s="240" t="str">
        <f>TEXT($G$1, "[$-ko-KR]yyyy-mm-dd(ddd) ") &amp; "오후 21:00"</f>
        <v>2021-04-01(목) 오후 21:00</v>
      </c>
      <c r="K177" s="241"/>
      <c r="L177" s="242"/>
      <c r="M177" s="240" t="str">
        <f>TEXT($G$1+1, "[$-ko-KR]yyyy-mm-dd(ddd) ") &amp; "오전 00:00"</f>
        <v>2021-04-02(금) 오전 00:00</v>
      </c>
      <c r="N177" s="241"/>
      <c r="O177" s="242"/>
      <c r="Q177" s="226"/>
      <c r="R177" s="226"/>
      <c r="S177" s="226"/>
    </row>
    <row r="178" spans="1:19" ht="17.25" thickBot="1">
      <c r="A178" s="237"/>
      <c r="B178" s="2" t="s">
        <v>58</v>
      </c>
      <c r="C178" s="10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6"/>
      <c r="R178" s="216"/>
      <c r="S178" s="216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6"/>
      <c r="R179" s="226"/>
      <c r="S179" s="226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6"/>
      <c r="R180" s="226"/>
      <c r="S180" s="226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6"/>
      <c r="R181" s="216"/>
      <c r="S181" s="216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6"/>
      <c r="R182" s="216"/>
      <c r="S182" s="216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6"/>
      <c r="R183" s="216"/>
      <c r="S183" s="216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6"/>
      <c r="R184" s="216"/>
      <c r="S184" s="216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6"/>
      <c r="R185" s="216"/>
      <c r="S185" s="216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6"/>
      <c r="R186" s="216"/>
      <c r="S186" s="216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7"/>
      <c r="R188" s="218"/>
      <c r="S188" s="219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0"/>
      <c r="R189" s="221"/>
      <c r="S189" s="222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3"/>
      <c r="R190" s="224"/>
      <c r="S190" s="225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6"/>
      <c r="R191" s="216"/>
      <c r="S191" s="216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6"/>
      <c r="R192" s="226"/>
      <c r="S192" s="226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6"/>
      <c r="R193" s="226"/>
      <c r="S193" s="226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6"/>
      <c r="R194" s="216"/>
      <c r="S194" s="216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6"/>
      <c r="R195" s="216"/>
      <c r="S195" s="216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6"/>
      <c r="R196" s="216"/>
      <c r="S196" s="216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05"/>
      <c r="R197" s="206"/>
      <c r="S197" s="207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08"/>
      <c r="R198" s="209"/>
      <c r="S198" s="210"/>
    </row>
    <row r="199" spans="1:19" ht="17.25" thickBot="1">
      <c r="A199" s="26" t="s">
        <v>271</v>
      </c>
      <c r="B199" s="214">
        <f>$B$37</f>
        <v>300000</v>
      </c>
      <c r="C199" s="215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11"/>
      <c r="R199" s="212"/>
      <c r="S199" s="2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74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74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74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74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73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73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73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73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73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73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733" priority="157">
      <formula>AND($N17 &gt; 0, ISNUMBER($N17))</formula>
    </cfRule>
    <cfRule type="expression" dxfId="2732" priority="158">
      <formula>AND($N17 = 0 * ISNUMBER($N17))</formula>
    </cfRule>
    <cfRule type="expression" dxfId="2731" priority="159">
      <formula>AND($N17 &lt; 0, ISNUMBER($N17))</formula>
    </cfRule>
  </conditionalFormatting>
  <conditionalFormatting sqref="A17:F36">
    <cfRule type="expression" dxfId="2730" priority="166">
      <formula>AND($E17 &gt; 0, ISNUMBER($E17))</formula>
    </cfRule>
    <cfRule type="expression" dxfId="2729" priority="167">
      <formula>AND($E17 = 0 * ISNUMBER($E17))</formula>
    </cfRule>
    <cfRule type="expression" dxfId="2728" priority="168">
      <formula>AND($E17 &lt; 0, ISNUMBER($E17))</formula>
    </cfRule>
  </conditionalFormatting>
  <conditionalFormatting sqref="A17:C36 G17:I36">
    <cfRule type="expression" dxfId="2727" priority="163">
      <formula>AND($H17 &gt; 0, ISNUMBER($H17))</formula>
    </cfRule>
    <cfRule type="expression" dxfId="2726" priority="164">
      <formula>AND($H17 = 0 * ISNUMBER($H17))</formula>
    </cfRule>
    <cfRule type="expression" dxfId="2725" priority="165">
      <formula>AND($H17 &lt; 0, ISNUMBER($H17))</formula>
    </cfRule>
  </conditionalFormatting>
  <conditionalFormatting sqref="A17:C36 J17:L36">
    <cfRule type="expression" dxfId="2724" priority="160">
      <formula>AND($K17 &gt; 0, ISNUMBER($K17))</formula>
    </cfRule>
    <cfRule type="expression" dxfId="2723" priority="161">
      <formula>AND($K17 = 0 * ISNUMBER($K17))</formula>
    </cfRule>
    <cfRule type="expression" dxfId="2722" priority="162">
      <formula>AND($K17 &lt; 0, ISNUMBER($K17))</formula>
    </cfRule>
  </conditionalFormatting>
  <conditionalFormatting sqref="D15:F16 E37:F37">
    <cfRule type="expression" dxfId="2721" priority="154">
      <formula>$E$37 &gt; 0</formula>
    </cfRule>
    <cfRule type="expression" dxfId="2720" priority="155">
      <formula>$E$37 = 0</formula>
    </cfRule>
    <cfRule type="expression" dxfId="2719" priority="156">
      <formula>$E$37 &lt; 0</formula>
    </cfRule>
  </conditionalFormatting>
  <conditionalFormatting sqref="G15:I16 H37:I37">
    <cfRule type="expression" dxfId="2718" priority="151">
      <formula>$H$37 &gt; 0</formula>
    </cfRule>
    <cfRule type="expression" dxfId="2717" priority="152">
      <formula>$H$37 = 0</formula>
    </cfRule>
    <cfRule type="expression" dxfId="2716" priority="153">
      <formula>$H$37 &lt; 0</formula>
    </cfRule>
  </conditionalFormatting>
  <conditionalFormatting sqref="J15:L16 K37:L37">
    <cfRule type="expression" dxfId="2715" priority="148">
      <formula>$K$37 &gt; 0</formula>
    </cfRule>
    <cfRule type="expression" dxfId="2714" priority="149">
      <formula>$K$37 = 0</formula>
    </cfRule>
    <cfRule type="expression" dxfId="2713" priority="150">
      <formula>$K$37 &lt; 0</formula>
    </cfRule>
  </conditionalFormatting>
  <conditionalFormatting sqref="M15:O16 N37:O37">
    <cfRule type="expression" dxfId="2712" priority="145">
      <formula>$N$37 &gt; 0</formula>
    </cfRule>
    <cfRule type="expression" dxfId="2711" priority="146">
      <formula>$N$37 = 0</formula>
    </cfRule>
    <cfRule type="expression" dxfId="2710" priority="147">
      <formula>$N$37 &lt; 0</formula>
    </cfRule>
  </conditionalFormatting>
  <conditionalFormatting sqref="A44:C63 M44:O63">
    <cfRule type="expression" dxfId="2709" priority="133">
      <formula>AND($N44 &gt; 0, ISNUMBER($N44))</formula>
    </cfRule>
    <cfRule type="expression" dxfId="2708" priority="134">
      <formula>AND($N44 = 0 * ISNUMBER($N44))</formula>
    </cfRule>
    <cfRule type="expression" dxfId="2707" priority="135">
      <formula>AND($N44 &lt; 0, ISNUMBER($N44))</formula>
    </cfRule>
  </conditionalFormatting>
  <conditionalFormatting sqref="A44:F63">
    <cfRule type="expression" dxfId="2706" priority="142">
      <formula>AND($E44 &gt; 0, ISNUMBER($E44))</formula>
    </cfRule>
    <cfRule type="expression" dxfId="2705" priority="143">
      <formula>AND($E44 = 0 * ISNUMBER($E44))</formula>
    </cfRule>
    <cfRule type="expression" dxfId="2704" priority="144">
      <formula>AND($E44 &lt; 0, ISNUMBER($E44))</formula>
    </cfRule>
  </conditionalFormatting>
  <conditionalFormatting sqref="A44:C63 G44:I63">
    <cfRule type="expression" dxfId="2703" priority="139">
      <formula>AND($H44 &gt; 0, ISNUMBER($H44))</formula>
    </cfRule>
    <cfRule type="expression" dxfId="2702" priority="140">
      <formula>AND($H44 = 0 * ISNUMBER($H44))</formula>
    </cfRule>
    <cfRule type="expression" dxfId="2701" priority="141">
      <formula>AND($H44 &lt; 0, ISNUMBER($H44))</formula>
    </cfRule>
  </conditionalFormatting>
  <conditionalFormatting sqref="A44:C63 J44:L63">
    <cfRule type="expression" dxfId="2700" priority="136">
      <formula>AND($K44 &gt; 0, ISNUMBER($K44))</formula>
    </cfRule>
    <cfRule type="expression" dxfId="2699" priority="137">
      <formula>AND($K44 = 0 * ISNUMBER($K44))</formula>
    </cfRule>
    <cfRule type="expression" dxfId="2698" priority="138">
      <formula>AND($K44 &lt; 0, ISNUMBER($K44))</formula>
    </cfRule>
  </conditionalFormatting>
  <conditionalFormatting sqref="D42:F43 E64:F64">
    <cfRule type="expression" dxfId="2697" priority="130">
      <formula>$E$64 &gt; 0</formula>
    </cfRule>
    <cfRule type="expression" dxfId="2696" priority="131">
      <formula>$E$64 = 0</formula>
    </cfRule>
    <cfRule type="expression" dxfId="2695" priority="132">
      <formula>$E$64 &lt; 0</formula>
    </cfRule>
  </conditionalFormatting>
  <conditionalFormatting sqref="G42:I43 H64:I64">
    <cfRule type="expression" dxfId="2694" priority="127">
      <formula>$H$64 &gt; 0</formula>
    </cfRule>
    <cfRule type="expression" dxfId="2693" priority="128">
      <formula>$H$64 = 0</formula>
    </cfRule>
    <cfRule type="expression" dxfId="2692" priority="129">
      <formula>$H$64 &lt; 0</formula>
    </cfRule>
  </conditionalFormatting>
  <conditionalFormatting sqref="J42:L43 K64:L64">
    <cfRule type="expression" dxfId="2691" priority="124">
      <formula>$K$64 &gt; 0</formula>
    </cfRule>
    <cfRule type="expression" dxfId="2690" priority="125">
      <formula>$K$64 = 0</formula>
    </cfRule>
    <cfRule type="expression" dxfId="2689" priority="126">
      <formula>$K$64 &lt; 0</formula>
    </cfRule>
  </conditionalFormatting>
  <conditionalFormatting sqref="M42:O43 N64:O64">
    <cfRule type="expression" dxfId="2688" priority="121">
      <formula>$N$64 &gt; 0</formula>
    </cfRule>
    <cfRule type="expression" dxfId="2687" priority="122">
      <formula>$N$64 = 0</formula>
    </cfRule>
    <cfRule type="expression" dxfId="2686" priority="123">
      <formula>$N$64 &lt; 0</formula>
    </cfRule>
  </conditionalFormatting>
  <conditionalFormatting sqref="A71:C90 M71:O90">
    <cfRule type="expression" dxfId="2685" priority="109">
      <formula>AND($N71 &gt; 0, ISNUMBER($N71))</formula>
    </cfRule>
    <cfRule type="expression" dxfId="2684" priority="110">
      <formula>AND($N71 = 0 * ISNUMBER($N71))</formula>
    </cfRule>
    <cfRule type="expression" dxfId="2683" priority="111">
      <formula>AND($N71 &lt; 0, ISNUMBER($N71))</formula>
    </cfRule>
  </conditionalFormatting>
  <conditionalFormatting sqref="A71:F90">
    <cfRule type="expression" dxfId="2682" priority="118">
      <formula>AND($E71 &gt; 0, ISNUMBER($E71))</formula>
    </cfRule>
    <cfRule type="expression" dxfId="2681" priority="119">
      <formula>AND($E71 = 0 * ISNUMBER($E71))</formula>
    </cfRule>
    <cfRule type="expression" dxfId="2680" priority="120">
      <formula>AND($E71 &lt; 0, ISNUMBER($E71))</formula>
    </cfRule>
  </conditionalFormatting>
  <conditionalFormatting sqref="A71:C90 G71:I90">
    <cfRule type="expression" dxfId="2679" priority="115">
      <formula>AND($H71 &gt; 0, ISNUMBER($H71))</formula>
    </cfRule>
    <cfRule type="expression" dxfId="2678" priority="116">
      <formula>AND($H71 = 0 * ISNUMBER($H71))</formula>
    </cfRule>
    <cfRule type="expression" dxfId="2677" priority="117">
      <formula>AND($H71 &lt; 0, ISNUMBER($H71))</formula>
    </cfRule>
  </conditionalFormatting>
  <conditionalFormatting sqref="A71:C90 J71:L90">
    <cfRule type="expression" dxfId="2676" priority="112">
      <formula>AND($K71 &gt; 0, ISNUMBER($K71))</formula>
    </cfRule>
    <cfRule type="expression" dxfId="2675" priority="113">
      <formula>AND($K71 = 0 * ISNUMBER($K71))</formula>
    </cfRule>
    <cfRule type="expression" dxfId="2674" priority="114">
      <formula>AND($K71 &lt; 0, ISNUMBER($K71))</formula>
    </cfRule>
  </conditionalFormatting>
  <conditionalFormatting sqref="D69:F70 E91:F91">
    <cfRule type="expression" dxfId="2673" priority="106">
      <formula>$E$91 &gt; 0</formula>
    </cfRule>
    <cfRule type="expression" dxfId="2672" priority="107">
      <formula>$E$91 = 0</formula>
    </cfRule>
    <cfRule type="expression" dxfId="2671" priority="108">
      <formula>$E$91 &lt; 0</formula>
    </cfRule>
  </conditionalFormatting>
  <conditionalFormatting sqref="G69:I70 H91:I91">
    <cfRule type="expression" dxfId="2670" priority="103">
      <formula>$H$91 &gt; 0</formula>
    </cfRule>
    <cfRule type="expression" dxfId="2669" priority="104">
      <formula>$H$91 = 0</formula>
    </cfRule>
    <cfRule type="expression" dxfId="2668" priority="105">
      <formula>$H$91 &lt; 0</formula>
    </cfRule>
  </conditionalFormatting>
  <conditionalFormatting sqref="J69:L70 K91:L91">
    <cfRule type="expression" dxfId="2667" priority="100">
      <formula>$K$91 &gt; 0</formula>
    </cfRule>
    <cfRule type="expression" dxfId="2666" priority="101">
      <formula>$K$91 = 0</formula>
    </cfRule>
    <cfRule type="expression" dxfId="2665" priority="102">
      <formula>$K$91 &lt; 0</formula>
    </cfRule>
  </conditionalFormatting>
  <conditionalFormatting sqref="M69:O70 N91:O91">
    <cfRule type="expression" dxfId="2664" priority="97">
      <formula>$N$91 &gt; 0</formula>
    </cfRule>
    <cfRule type="expression" dxfId="2663" priority="98">
      <formula>$N$91 = 0</formula>
    </cfRule>
    <cfRule type="expression" dxfId="2662" priority="99">
      <formula>$N$91 &lt; 0</formula>
    </cfRule>
  </conditionalFormatting>
  <conditionalFormatting sqref="A98:C117 M98:O117">
    <cfRule type="expression" dxfId="2661" priority="85">
      <formula>AND($N98 &gt; 0, ISNUMBER($N98))</formula>
    </cfRule>
    <cfRule type="expression" dxfId="2660" priority="86">
      <formula>AND($N98 = 0 * ISNUMBER($N98))</formula>
    </cfRule>
    <cfRule type="expression" dxfId="2659" priority="87">
      <formula>AND($N98 &lt; 0, ISNUMBER($N98))</formula>
    </cfRule>
  </conditionalFormatting>
  <conditionalFormatting sqref="A98:F117">
    <cfRule type="expression" dxfId="2658" priority="94">
      <formula>AND($E98 &gt; 0, ISNUMBER($E98))</formula>
    </cfRule>
    <cfRule type="expression" dxfId="2657" priority="95">
      <formula>AND($E98 = 0 * ISNUMBER($E98))</formula>
    </cfRule>
    <cfRule type="expression" dxfId="2656" priority="96">
      <formula>AND($E98 &lt; 0, ISNUMBER($E98))</formula>
    </cfRule>
  </conditionalFormatting>
  <conditionalFormatting sqref="A98:C117 G98:I117">
    <cfRule type="expression" dxfId="2655" priority="91">
      <formula>AND($H98 &gt; 0, ISNUMBER($H98))</formula>
    </cfRule>
    <cfRule type="expression" dxfId="2654" priority="92">
      <formula>AND($H98 = 0 * ISNUMBER($H98))</formula>
    </cfRule>
    <cfRule type="expression" dxfId="2653" priority="93">
      <formula>AND($H98 &lt; 0, ISNUMBER($H98))</formula>
    </cfRule>
  </conditionalFormatting>
  <conditionalFormatting sqref="A98:C117 J98:L117">
    <cfRule type="expression" dxfId="2652" priority="88">
      <formula>AND($K98 &gt; 0, ISNUMBER($K98))</formula>
    </cfRule>
    <cfRule type="expression" dxfId="2651" priority="89">
      <formula>AND($K98 = 0 * ISNUMBER($K98))</formula>
    </cfRule>
    <cfRule type="expression" dxfId="2650" priority="90">
      <formula>AND($K98 &lt; 0, ISNUMBER($K98))</formula>
    </cfRule>
  </conditionalFormatting>
  <conditionalFormatting sqref="D96:F97 E118:F118">
    <cfRule type="expression" dxfId="2649" priority="82">
      <formula>$E$118 &gt; 0</formula>
    </cfRule>
    <cfRule type="expression" dxfId="2648" priority="83">
      <formula>$E$118 = 0</formula>
    </cfRule>
    <cfRule type="expression" dxfId="2647" priority="84">
      <formula>$E$118 &lt; 0</formula>
    </cfRule>
  </conditionalFormatting>
  <conditionalFormatting sqref="G96:I97 H118:I118">
    <cfRule type="expression" dxfId="2646" priority="79">
      <formula>$H$118 &gt; 0</formula>
    </cfRule>
    <cfRule type="expression" dxfId="2645" priority="80">
      <formula>$H$118 = 0</formula>
    </cfRule>
    <cfRule type="expression" dxfId="2644" priority="81">
      <formula>$H$118 &lt; 0</formula>
    </cfRule>
  </conditionalFormatting>
  <conditionalFormatting sqref="J96:L97 K118:L118">
    <cfRule type="expression" dxfId="2643" priority="76">
      <formula>$K$118 &gt; 0</formula>
    </cfRule>
    <cfRule type="expression" dxfId="2642" priority="77">
      <formula>$K$118 = 0</formula>
    </cfRule>
    <cfRule type="expression" dxfId="2641" priority="78">
      <formula>$K$118 &lt; 0</formula>
    </cfRule>
  </conditionalFormatting>
  <conditionalFormatting sqref="M96:O97 N118:O118">
    <cfRule type="expression" dxfId="2640" priority="73">
      <formula>$N$118 &gt; 0</formula>
    </cfRule>
    <cfRule type="expression" dxfId="2639" priority="74">
      <formula>$N$118 = 0</formula>
    </cfRule>
    <cfRule type="expression" dxfId="2638" priority="75">
      <formula>$N$118 &lt; 0</formula>
    </cfRule>
  </conditionalFormatting>
  <conditionalFormatting sqref="A125:C144 M125:O144">
    <cfRule type="expression" dxfId="2637" priority="61">
      <formula>AND($N125 &gt; 0, ISNUMBER($N125))</formula>
    </cfRule>
    <cfRule type="expression" dxfId="2636" priority="62">
      <formula>AND($N125 = 0 * ISNUMBER($N125))</formula>
    </cfRule>
    <cfRule type="expression" dxfId="2635" priority="63">
      <formula>AND($N125 &lt; 0, ISNUMBER($N125))</formula>
    </cfRule>
  </conditionalFormatting>
  <conditionalFormatting sqref="A125:F144">
    <cfRule type="expression" dxfId="2634" priority="70">
      <formula>AND($E125 &gt; 0, ISNUMBER($E125))</formula>
    </cfRule>
    <cfRule type="expression" dxfId="2633" priority="71">
      <formula>AND($E125 = 0 * ISNUMBER($E125))</formula>
    </cfRule>
    <cfRule type="expression" dxfId="2632" priority="72">
      <formula>AND($E125 &lt; 0, ISNUMBER($E125))</formula>
    </cfRule>
  </conditionalFormatting>
  <conditionalFormatting sqref="A125:C144 G125:I144">
    <cfRule type="expression" dxfId="2631" priority="67">
      <formula>AND($H125 &gt; 0, ISNUMBER($H125))</formula>
    </cfRule>
    <cfRule type="expression" dxfId="2630" priority="68">
      <formula>AND($H125 = 0 * ISNUMBER($H125))</formula>
    </cfRule>
    <cfRule type="expression" dxfId="2629" priority="69">
      <formula>AND($H125 &lt; 0, ISNUMBER($H125))</formula>
    </cfRule>
  </conditionalFormatting>
  <conditionalFormatting sqref="A125:C144 J125:L144">
    <cfRule type="expression" dxfId="2628" priority="64">
      <formula>AND($K125 &gt; 0, ISNUMBER($K125))</formula>
    </cfRule>
    <cfRule type="expression" dxfId="2627" priority="65">
      <formula>AND($K125 = 0 * ISNUMBER($K125))</formula>
    </cfRule>
    <cfRule type="expression" dxfId="2626" priority="66">
      <formula>AND($K125 &lt; 0, ISNUMBER($K125))</formula>
    </cfRule>
  </conditionalFormatting>
  <conditionalFormatting sqref="D123:F124 E145:F145">
    <cfRule type="expression" dxfId="2625" priority="58">
      <formula>$E$145 &gt; 0</formula>
    </cfRule>
    <cfRule type="expression" dxfId="2624" priority="59">
      <formula>$E$145 = 0</formula>
    </cfRule>
    <cfRule type="expression" dxfId="2623" priority="60">
      <formula>$E$145 &lt; 0</formula>
    </cfRule>
  </conditionalFormatting>
  <conditionalFormatting sqref="G123:I124 H145:I145">
    <cfRule type="expression" dxfId="2622" priority="55">
      <formula>$H$145 &gt; 0</formula>
    </cfRule>
    <cfRule type="expression" dxfId="2621" priority="56">
      <formula>$H$145 = 0</formula>
    </cfRule>
    <cfRule type="expression" dxfId="2620" priority="57">
      <formula>$H$145 &lt; 0</formula>
    </cfRule>
  </conditionalFormatting>
  <conditionalFormatting sqref="J123:L124 K145:L145">
    <cfRule type="expression" dxfId="2619" priority="52">
      <formula>$K$145 &gt; 0</formula>
    </cfRule>
    <cfRule type="expression" dxfId="2618" priority="53">
      <formula>$K$145 = 0</formula>
    </cfRule>
    <cfRule type="expression" dxfId="2617" priority="54">
      <formula>$K$145 &lt; 0</formula>
    </cfRule>
  </conditionalFormatting>
  <conditionalFormatting sqref="M123:O124 N145:O145">
    <cfRule type="expression" dxfId="2616" priority="49">
      <formula>$N$145 &gt; 0</formula>
    </cfRule>
    <cfRule type="expression" dxfId="2615" priority="50">
      <formula>$N$145 = 0</formula>
    </cfRule>
    <cfRule type="expression" dxfId="2614" priority="51">
      <formula>$N$145 &lt; 0</formula>
    </cfRule>
  </conditionalFormatting>
  <conditionalFormatting sqref="A152:C171 M152:O171">
    <cfRule type="expression" dxfId="2613" priority="37">
      <formula>AND($N152 &gt; 0, ISNUMBER($N152))</formula>
    </cfRule>
    <cfRule type="expression" dxfId="2612" priority="38">
      <formula>AND($N152 = 0 * ISNUMBER($N152))</formula>
    </cfRule>
    <cfRule type="expression" dxfId="2611" priority="39">
      <formula>AND($N152 &lt; 0, ISNUMBER($N152))</formula>
    </cfRule>
  </conditionalFormatting>
  <conditionalFormatting sqref="A152:F171">
    <cfRule type="expression" dxfId="2610" priority="46">
      <formula>AND($E152 &gt; 0, ISNUMBER($E152))</formula>
    </cfRule>
    <cfRule type="expression" dxfId="2609" priority="47">
      <formula>AND($E152 = 0 * ISNUMBER($E152))</formula>
    </cfRule>
    <cfRule type="expression" dxfId="2608" priority="48">
      <formula>AND($E152 &lt; 0, ISNUMBER($E152))</formula>
    </cfRule>
  </conditionalFormatting>
  <conditionalFormatting sqref="A152:C171 G152:I171">
    <cfRule type="expression" dxfId="2607" priority="43">
      <formula>AND($H152 &gt; 0, ISNUMBER($H152))</formula>
    </cfRule>
    <cfRule type="expression" dxfId="2606" priority="44">
      <formula>AND($H152 = 0 * ISNUMBER($H152))</formula>
    </cfRule>
    <cfRule type="expression" dxfId="2605" priority="45">
      <formula>AND($H152 &lt; 0, ISNUMBER($H152))</formula>
    </cfRule>
  </conditionalFormatting>
  <conditionalFormatting sqref="A152:C171 J152:L171">
    <cfRule type="expression" dxfId="2604" priority="40">
      <formula>AND($K152 &gt; 0, ISNUMBER($K152))</formula>
    </cfRule>
    <cfRule type="expression" dxfId="2603" priority="41">
      <formula>AND($K152 = 0 * ISNUMBER($K152))</formula>
    </cfRule>
    <cfRule type="expression" dxfId="2602" priority="42">
      <formula>AND($K152 &lt; 0, ISNUMBER($K152))</formula>
    </cfRule>
  </conditionalFormatting>
  <conditionalFormatting sqref="D150:F151 E172:F172">
    <cfRule type="expression" dxfId="2601" priority="34">
      <formula>$E$172 &gt; 0</formula>
    </cfRule>
    <cfRule type="expression" dxfId="2600" priority="35">
      <formula>$E$172 = 0</formula>
    </cfRule>
    <cfRule type="expression" dxfId="2599" priority="36">
      <formula>$E$172 &lt; 0</formula>
    </cfRule>
  </conditionalFormatting>
  <conditionalFormatting sqref="G150:I151 H172:I172">
    <cfRule type="expression" dxfId="2598" priority="31">
      <formula>$H$172 &gt; 0</formula>
    </cfRule>
    <cfRule type="expression" dxfId="2597" priority="32">
      <formula>$H$172 = 0</formula>
    </cfRule>
    <cfRule type="expression" dxfId="2596" priority="33">
      <formula>$H$172 &lt; 0</formula>
    </cfRule>
  </conditionalFormatting>
  <conditionalFormatting sqref="J150:L151 K172:L172">
    <cfRule type="expression" dxfId="2595" priority="28">
      <formula>$K$172 &gt; 0</formula>
    </cfRule>
    <cfRule type="expression" dxfId="2594" priority="29">
      <formula>$K$172 = 0</formula>
    </cfRule>
    <cfRule type="expression" dxfId="2593" priority="30">
      <formula>$K$172 &lt; 0</formula>
    </cfRule>
  </conditionalFormatting>
  <conditionalFormatting sqref="M150:O151 N172:O172">
    <cfRule type="expression" dxfId="2592" priority="25">
      <formula>$N$172 &gt; 0</formula>
    </cfRule>
    <cfRule type="expression" dxfId="2591" priority="26">
      <formula>$N$172 = 0</formula>
    </cfRule>
    <cfRule type="expression" dxfId="2590" priority="27">
      <formula>$N$172 &lt; 0</formula>
    </cfRule>
  </conditionalFormatting>
  <conditionalFormatting sqref="A179:C198 M179:O198">
    <cfRule type="expression" dxfId="2589" priority="13">
      <formula>AND($N179 &gt; 0, ISNUMBER($N179))</formula>
    </cfRule>
    <cfRule type="expression" dxfId="2588" priority="14">
      <formula>AND($N179 = 0 * ISNUMBER($N179))</formula>
    </cfRule>
    <cfRule type="expression" dxfId="2587" priority="15">
      <formula>AND($N179 &lt; 0, ISNUMBER($N179))</formula>
    </cfRule>
  </conditionalFormatting>
  <conditionalFormatting sqref="A179:F198">
    <cfRule type="expression" dxfId="2586" priority="22">
      <formula>AND($E179 &gt; 0, ISNUMBER($E179))</formula>
    </cfRule>
    <cfRule type="expression" dxfId="2585" priority="23">
      <formula>AND($E179 = 0 * ISNUMBER($E179))</formula>
    </cfRule>
    <cfRule type="expression" dxfId="2584" priority="24">
      <formula>AND($E179 &lt; 0, ISNUMBER($E179))</formula>
    </cfRule>
  </conditionalFormatting>
  <conditionalFormatting sqref="A179:C198 G179:I198">
    <cfRule type="expression" dxfId="2583" priority="19">
      <formula>AND($H179 &gt; 0, ISNUMBER($H179))</formula>
    </cfRule>
    <cfRule type="expression" dxfId="2582" priority="20">
      <formula>AND($H179 = 0 * ISNUMBER($H179))</formula>
    </cfRule>
    <cfRule type="expression" dxfId="2581" priority="21">
      <formula>AND($H179 &lt; 0, ISNUMBER($H179))</formula>
    </cfRule>
  </conditionalFormatting>
  <conditionalFormatting sqref="A179:C198 J179:L198">
    <cfRule type="expression" dxfId="2580" priority="16">
      <formula>AND($K179 &gt; 0, ISNUMBER($K179))</formula>
    </cfRule>
    <cfRule type="expression" dxfId="2579" priority="17">
      <formula>AND($K179 = 0 * ISNUMBER($K179))</formula>
    </cfRule>
    <cfRule type="expression" dxfId="2578" priority="18">
      <formula>AND($K179 &lt; 0, ISNUMBER($K179))</formula>
    </cfRule>
  </conditionalFormatting>
  <conditionalFormatting sqref="D177:F178 E199:F199">
    <cfRule type="expression" dxfId="2577" priority="10">
      <formula>$E$199 &gt; 0</formula>
    </cfRule>
    <cfRule type="expression" dxfId="2576" priority="11">
      <formula>$E$199 = 0</formula>
    </cfRule>
    <cfRule type="expression" dxfId="2575" priority="12">
      <formula>$E$199 &lt; 0</formula>
    </cfRule>
  </conditionalFormatting>
  <conditionalFormatting sqref="G177:I178 H199:I199">
    <cfRule type="expression" dxfId="2574" priority="7">
      <formula>$H$199 &gt; 0</formula>
    </cfRule>
    <cfRule type="expression" dxfId="2573" priority="8">
      <formula>$H$199 = 0</formula>
    </cfRule>
    <cfRule type="expression" dxfId="2572" priority="9">
      <formula>$H$199 &lt; 0</formula>
    </cfRule>
  </conditionalFormatting>
  <conditionalFormatting sqref="J177:L178 K199:L199">
    <cfRule type="expression" dxfId="2571" priority="4">
      <formula>$K$199 &gt; 0</formula>
    </cfRule>
    <cfRule type="expression" dxfId="2570" priority="5">
      <formula>$K$199 = 0</formula>
    </cfRule>
    <cfRule type="expression" dxfId="2569" priority="6">
      <formula>$K$199 &lt; 0</formula>
    </cfRule>
  </conditionalFormatting>
  <conditionalFormatting sqref="M177:O178 N199:O199">
    <cfRule type="expression" dxfId="2568" priority="1">
      <formula>$N$199 &gt; 0</formula>
    </cfRule>
    <cfRule type="expression" dxfId="2567" priority="2">
      <formula>$N$199 = 0</formula>
    </cfRule>
    <cfRule type="expression" dxfId="256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7" t="s">
        <v>0</v>
      </c>
      <c r="B1" s="228"/>
      <c r="C1" s="228"/>
      <c r="D1" s="228"/>
      <c r="E1" s="228"/>
      <c r="F1" s="229"/>
      <c r="G1" s="258">
        <v>44378</v>
      </c>
      <c r="H1" s="259"/>
      <c r="I1" s="260"/>
      <c r="J1" s="227" t="s">
        <v>1</v>
      </c>
      <c r="K1" s="228"/>
      <c r="L1" s="228"/>
      <c r="M1" s="228"/>
      <c r="N1" s="228"/>
      <c r="O1" s="229"/>
      <c r="Q1" s="227" t="s">
        <v>2</v>
      </c>
      <c r="R1" s="229"/>
    </row>
    <row r="2" spans="1:19" ht="17.25" customHeight="1">
      <c r="A2" s="117" t="s">
        <v>3</v>
      </c>
      <c r="B2" s="261" t="s">
        <v>8</v>
      </c>
      <c r="C2" s="262"/>
      <c r="D2" s="262"/>
      <c r="E2" s="262"/>
      <c r="F2" s="263"/>
      <c r="G2" s="255" t="s">
        <v>46</v>
      </c>
      <c r="H2" s="256"/>
      <c r="I2" s="257"/>
      <c r="J2" s="1" t="s">
        <v>3</v>
      </c>
      <c r="K2" s="261" t="s">
        <v>321</v>
      </c>
      <c r="L2" s="262"/>
      <c r="M2" s="262"/>
      <c r="N2" s="262"/>
      <c r="O2" s="263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329</v>
      </c>
      <c r="C3" s="253"/>
      <c r="D3" s="253"/>
      <c r="E3" s="253"/>
      <c r="F3" s="254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9"/>
      <c r="I3" s="250"/>
      <c r="J3" s="4" t="s">
        <v>7</v>
      </c>
      <c r="K3" s="252" t="s">
        <v>322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55" t="s">
        <v>44</v>
      </c>
      <c r="H4" s="256"/>
      <c r="I4" s="257"/>
      <c r="J4" s="4" t="s">
        <v>11</v>
      </c>
      <c r="K4" s="252" t="s">
        <v>323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320</v>
      </c>
      <c r="C5" s="253"/>
      <c r="D5" s="253"/>
      <c r="E5" s="253"/>
      <c r="F5" s="254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9"/>
      <c r="I5" s="250"/>
      <c r="J5" s="4" t="s">
        <v>15</v>
      </c>
      <c r="K5" s="252" t="s">
        <v>324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55" t="s">
        <v>45</v>
      </c>
      <c r="H6" s="256"/>
      <c r="I6" s="257"/>
      <c r="J6" s="4" t="s">
        <v>18</v>
      </c>
      <c r="K6" s="252" t="s">
        <v>325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9"/>
      <c r="I7" s="250"/>
      <c r="J7" s="4" t="s">
        <v>21</v>
      </c>
      <c r="K7" s="252" t="s">
        <v>326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55" t="s">
        <v>256</v>
      </c>
      <c r="H8" s="256"/>
      <c r="I8" s="257"/>
      <c r="J8" s="4" t="s">
        <v>24</v>
      </c>
      <c r="K8" s="252"/>
      <c r="L8" s="253"/>
      <c r="M8" s="253"/>
      <c r="N8" s="253"/>
      <c r="O8" s="254"/>
      <c r="Q8" s="227" t="s">
        <v>27</v>
      </c>
      <c r="R8" s="229"/>
    </row>
    <row r="9" spans="1:19" ht="17.25" thickBot="1">
      <c r="A9" s="118" t="s">
        <v>28</v>
      </c>
      <c r="B9" s="252"/>
      <c r="C9" s="253"/>
      <c r="D9" s="253"/>
      <c r="E9" s="253"/>
      <c r="F9" s="254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9"/>
      <c r="I9" s="250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55" t="s">
        <v>47</v>
      </c>
      <c r="H10" s="256"/>
      <c r="I10" s="257"/>
      <c r="J10" s="4" t="s">
        <v>30</v>
      </c>
      <c r="K10" s="252" t="s">
        <v>327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45" t="s">
        <v>328</v>
      </c>
      <c r="C11" s="246"/>
      <c r="D11" s="246"/>
      <c r="E11" s="246"/>
      <c r="F11" s="247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45" t="s">
        <v>319</v>
      </c>
      <c r="L11" s="246"/>
      <c r="M11" s="246"/>
      <c r="N11" s="246"/>
      <c r="O11" s="247"/>
      <c r="Q11" s="65" t="s">
        <v>33</v>
      </c>
      <c r="R11" s="8">
        <v>1000</v>
      </c>
    </row>
    <row r="12" spans="1:19" ht="17.25" thickBot="1"/>
    <row r="13" spans="1:19" ht="17.25" customHeight="1" thickBot="1">
      <c r="A13" s="227" t="s">
        <v>34</v>
      </c>
      <c r="B13" s="228"/>
      <c r="C13" s="228"/>
      <c r="D13" s="228"/>
      <c r="E13" s="228"/>
      <c r="F13" s="228"/>
      <c r="G13" s="228"/>
      <c r="H13" s="228"/>
      <c r="I13" s="228"/>
      <c r="J13" s="228"/>
      <c r="K13" s="228"/>
      <c r="L13" s="228"/>
      <c r="M13" s="228"/>
      <c r="N13" s="228"/>
      <c r="O13" s="229"/>
      <c r="Q13" s="226"/>
      <c r="R13" s="226"/>
      <c r="S13" s="226"/>
    </row>
    <row r="14" spans="1:19" ht="17.25" customHeight="1" thickBot="1">
      <c r="A14" s="116" t="s">
        <v>35</v>
      </c>
      <c r="B14" s="227" t="s">
        <v>36</v>
      </c>
      <c r="C14" s="229"/>
      <c r="D14" s="227" t="s">
        <v>37</v>
      </c>
      <c r="E14" s="228"/>
      <c r="F14" s="229"/>
      <c r="G14" s="230">
        <f>_xlfn.IFNA(VLOOKUP(B14, 현재가테이블!$B$2:$D$200, 2, FALSE), "-")</f>
        <v>39916000</v>
      </c>
      <c r="H14" s="231"/>
      <c r="I14" s="232"/>
      <c r="J14" s="227" t="s">
        <v>38</v>
      </c>
      <c r="K14" s="228"/>
      <c r="L14" s="229"/>
      <c r="M14" s="233">
        <f>_xlfn.IFNA(VLOOKUP(B14, 현재가테이블!$B$2:$D$200, 3, FALSE), "-")</f>
        <v>7.3184273000000003E-3</v>
      </c>
      <c r="N14" s="234"/>
      <c r="O14" s="235"/>
      <c r="Q14" s="226"/>
      <c r="R14" s="226"/>
      <c r="S14" s="226"/>
    </row>
    <row r="15" spans="1:19" ht="17.25" customHeight="1" thickBot="1">
      <c r="A15" s="264" t="s">
        <v>39</v>
      </c>
      <c r="B15" s="265" t="str">
        <f>TEXT($G$1, "[$-ko-KR]yyyy-mm-dd(ddd) ") &amp; "오전 00:00"</f>
        <v>2021-07-01(목) 오전 00:00</v>
      </c>
      <c r="C15" s="266"/>
      <c r="D15" s="240" t="str">
        <f>TEXT($G$1, "[$-ko-KR]yyyy-mm-dd(ddd) ") &amp; "오후 14:00"</f>
        <v>2021-07-01(목) 오후 14:00</v>
      </c>
      <c r="E15" s="241"/>
      <c r="F15" s="242"/>
      <c r="G15" s="240" t="str">
        <f>TEXT($G$1, "[$-ko-KR]yyyy-mm-dd(ddd) ") &amp; "오후 19:00"</f>
        <v>2021-07-01(목) 오후 19:00</v>
      </c>
      <c r="H15" s="241"/>
      <c r="I15" s="242"/>
      <c r="J15" s="240" t="str">
        <f>TEXT($G$1, "[$-ko-KR]yyyy-mm-dd(ddd) ") &amp; "오후 21:00"</f>
        <v>2021-07-01(목) 오후 21:00</v>
      </c>
      <c r="K15" s="241"/>
      <c r="L15" s="242"/>
      <c r="M15" s="240" t="str">
        <f>TEXT($G$1+1, "[$-ko-KR]yyyy-mm-dd(ddd) ") &amp; "오전 00:00"</f>
        <v>2021-07-02(금) 오전 00:00</v>
      </c>
      <c r="N15" s="241"/>
      <c r="O15" s="242"/>
      <c r="Q15" s="226"/>
      <c r="R15" s="226"/>
      <c r="S15" s="226"/>
    </row>
    <row r="16" spans="1:19" ht="17.25" customHeight="1" thickBot="1">
      <c r="A16" s="26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16"/>
      <c r="R16" s="216"/>
      <c r="S16" s="21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6"/>
      <c r="R19" s="216"/>
      <c r="S19" s="21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6"/>
      <c r="R20" s="216"/>
      <c r="S20" s="21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6"/>
      <c r="R21" s="216"/>
      <c r="S21" s="21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6"/>
      <c r="R22" s="216"/>
      <c r="S22" s="21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6"/>
      <c r="R23" s="216"/>
      <c r="S23" s="21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6"/>
      <c r="R24" s="216"/>
      <c r="S24" s="21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6"/>
      <c r="R29" s="216"/>
      <c r="S29" s="21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6"/>
      <c r="R32" s="216"/>
      <c r="S32" s="21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6"/>
      <c r="R33" s="216"/>
      <c r="S33" s="21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6"/>
      <c r="R34" s="216"/>
      <c r="S34" s="21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5"/>
      <c r="R35" s="206"/>
      <c r="S35" s="2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8"/>
      <c r="R36" s="209"/>
      <c r="S36" s="210"/>
    </row>
    <row r="37" spans="1:19" ht="17.25" customHeight="1" thickBot="1">
      <c r="A37" s="132" t="s">
        <v>42</v>
      </c>
      <c r="B37" s="269">
        <v>100000</v>
      </c>
      <c r="C37" s="27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1"/>
      <c r="R37" s="212"/>
      <c r="S37" s="213"/>
    </row>
    <row r="38" spans="1:19" ht="17.25" customHeight="1"/>
    <row r="39" spans="1:19" ht="17.25" customHeight="1" thickBot="1"/>
    <row r="40" spans="1:19" ht="17.25" customHeight="1" thickBot="1">
      <c r="A40" s="227" t="s">
        <v>44</v>
      </c>
      <c r="B40" s="228"/>
      <c r="C40" s="228"/>
      <c r="D40" s="228"/>
      <c r="E40" s="228"/>
      <c r="F40" s="228"/>
      <c r="G40" s="228"/>
      <c r="H40" s="228"/>
      <c r="I40" s="228"/>
      <c r="J40" s="228"/>
      <c r="K40" s="228"/>
      <c r="L40" s="228"/>
      <c r="M40" s="228"/>
      <c r="N40" s="228"/>
      <c r="O40" s="229"/>
      <c r="Q40" s="226"/>
      <c r="R40" s="226"/>
      <c r="S40" s="226"/>
    </row>
    <row r="41" spans="1:19" ht="17.25" customHeight="1" thickBot="1">
      <c r="A41" s="116" t="s">
        <v>268</v>
      </c>
      <c r="B41" s="227" t="s">
        <v>49</v>
      </c>
      <c r="C41" s="229"/>
      <c r="D41" s="227" t="s">
        <v>58</v>
      </c>
      <c r="E41" s="228"/>
      <c r="F41" s="229"/>
      <c r="G41" s="230">
        <f>_xlfn.IFNA(VLOOKUP(B41, 현재가테이블!$B$2:$D$200, 2, FALSE), "-")</f>
        <v>39916000</v>
      </c>
      <c r="H41" s="231"/>
      <c r="I41" s="232"/>
      <c r="J41" s="227" t="s">
        <v>59</v>
      </c>
      <c r="K41" s="228"/>
      <c r="L41" s="229"/>
      <c r="M41" s="233">
        <f>_xlfn.IFNA(VLOOKUP(B41, 현재가테이블!$B$2:$D$200, 3, FALSE), "-")</f>
        <v>7.3184273000000003E-3</v>
      </c>
      <c r="N41" s="234"/>
      <c r="O41" s="235"/>
      <c r="Q41" s="226"/>
      <c r="R41" s="226"/>
      <c r="S41" s="226"/>
    </row>
    <row r="42" spans="1:19" ht="17.25" customHeight="1" thickBot="1">
      <c r="A42" s="271" t="s">
        <v>55</v>
      </c>
      <c r="B42" s="267" t="str">
        <f>TEXT($G$1, "[$-ko-KR]yyyy-mm-dd(ddd) ") &amp; "오전 00:00"</f>
        <v>2021-07-01(목) 오전 00:00</v>
      </c>
      <c r="C42" s="268"/>
      <c r="D42" s="240" t="str">
        <f>TEXT($G$1, "[$-ko-KR]yyyy-mm-dd(ddd) ") &amp; "오후 14:00"</f>
        <v>2021-07-01(목) 오후 14:00</v>
      </c>
      <c r="E42" s="241"/>
      <c r="F42" s="242"/>
      <c r="G42" s="240" t="str">
        <f>TEXT($G$1, "[$-ko-KR]yyyy-mm-dd(ddd) ") &amp; "오후 19:00"</f>
        <v>2021-07-01(목) 오후 19:00</v>
      </c>
      <c r="H42" s="241"/>
      <c r="I42" s="242"/>
      <c r="J42" s="240" t="str">
        <f>TEXT($G$1, "[$-ko-KR]yyyy-mm-dd(ddd) ") &amp; "오후 21:00"</f>
        <v>2021-07-01(목) 오후 21:00</v>
      </c>
      <c r="K42" s="241"/>
      <c r="L42" s="242"/>
      <c r="M42" s="240" t="str">
        <f>TEXT($G$1+1, "[$-ko-KR]yyyy-mm-dd(ddd) ") &amp; "오전 00:00"</f>
        <v>2021-07-02(금) 오전 00:00</v>
      </c>
      <c r="N42" s="241"/>
      <c r="O42" s="242"/>
      <c r="Q42" s="226"/>
      <c r="R42" s="226"/>
      <c r="S42" s="226"/>
    </row>
    <row r="43" spans="1:19" ht="17.25" customHeight="1" thickBot="1">
      <c r="A43" s="27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6"/>
      <c r="R43" s="216"/>
      <c r="S43" s="216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6"/>
      <c r="R44" s="226"/>
      <c r="S44" s="226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6"/>
      <c r="R45" s="226"/>
      <c r="S45" s="226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6"/>
      <c r="R46" s="216"/>
      <c r="S46" s="216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6"/>
      <c r="R47" s="216"/>
      <c r="S47" s="216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6"/>
      <c r="R48" s="216"/>
      <c r="S48" s="216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6"/>
      <c r="R49" s="216"/>
      <c r="S49" s="216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6"/>
      <c r="R50" s="216"/>
      <c r="S50" s="216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6"/>
      <c r="R51" s="216"/>
      <c r="S51" s="216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7"/>
      <c r="R53" s="218"/>
      <c r="S53" s="219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0"/>
      <c r="R54" s="221"/>
      <c r="S54" s="222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3"/>
      <c r="R55" s="224"/>
      <c r="S55" s="225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6"/>
      <c r="R56" s="216"/>
      <c r="S56" s="216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6"/>
      <c r="R57" s="226"/>
      <c r="S57" s="226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6"/>
      <c r="R58" s="226"/>
      <c r="S58" s="226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6"/>
      <c r="R59" s="216"/>
      <c r="S59" s="216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6"/>
      <c r="R60" s="216"/>
      <c r="S60" s="216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6"/>
      <c r="R61" s="216"/>
      <c r="S61" s="216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05"/>
      <c r="R62" s="206"/>
      <c r="S62" s="207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08"/>
      <c r="R63" s="209"/>
      <c r="S63" s="210"/>
    </row>
    <row r="64" spans="1:19" ht="17.25" customHeight="1" thickBot="1">
      <c r="A64" s="132" t="s">
        <v>271</v>
      </c>
      <c r="B64" s="269">
        <f>$B$37</f>
        <v>100000</v>
      </c>
      <c r="C64" s="270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11"/>
      <c r="R64" s="212"/>
      <c r="S64" s="213"/>
    </row>
    <row r="65" spans="1:19" ht="17.25" customHeight="1"/>
    <row r="66" spans="1:19" ht="17.25" customHeight="1" thickBot="1"/>
    <row r="67" spans="1:19" ht="17.25" thickBot="1">
      <c r="A67" s="227" t="s">
        <v>45</v>
      </c>
      <c r="B67" s="228"/>
      <c r="C67" s="228"/>
      <c r="D67" s="228"/>
      <c r="E67" s="228"/>
      <c r="F67" s="228"/>
      <c r="G67" s="228"/>
      <c r="H67" s="228"/>
      <c r="I67" s="228"/>
      <c r="J67" s="228"/>
      <c r="K67" s="228"/>
      <c r="L67" s="228"/>
      <c r="M67" s="228"/>
      <c r="N67" s="228"/>
      <c r="O67" s="229"/>
      <c r="Q67" s="226"/>
      <c r="R67" s="226"/>
      <c r="S67" s="226"/>
    </row>
    <row r="68" spans="1:19" ht="17.25" thickBot="1">
      <c r="A68" s="116" t="s">
        <v>268</v>
      </c>
      <c r="B68" s="227" t="s">
        <v>49</v>
      </c>
      <c r="C68" s="229"/>
      <c r="D68" s="227" t="s">
        <v>58</v>
      </c>
      <c r="E68" s="228"/>
      <c r="F68" s="229"/>
      <c r="G68" s="230">
        <f>_xlfn.IFNA(VLOOKUP(B68, 현재가테이블!$B$2:$D$200, 2, FALSE), "-")</f>
        <v>39916000</v>
      </c>
      <c r="H68" s="231"/>
      <c r="I68" s="232"/>
      <c r="J68" s="227" t="s">
        <v>59</v>
      </c>
      <c r="K68" s="228"/>
      <c r="L68" s="229"/>
      <c r="M68" s="233">
        <f>_xlfn.IFNA(VLOOKUP(B68, 현재가테이블!$B$2:$D$200, 3, FALSE), "-")</f>
        <v>7.3184273000000003E-3</v>
      </c>
      <c r="N68" s="234"/>
      <c r="O68" s="235"/>
      <c r="Q68" s="226"/>
      <c r="R68" s="226"/>
      <c r="S68" s="226"/>
    </row>
    <row r="69" spans="1:19" ht="17.25" thickBot="1">
      <c r="A69" s="271" t="s">
        <v>55</v>
      </c>
      <c r="B69" s="267" t="str">
        <f>TEXT($G$1, "[$-ko-KR]yyyy-mm-dd(ddd) ") &amp; "오전 00:00"</f>
        <v>2021-07-01(목) 오전 00:00</v>
      </c>
      <c r="C69" s="268"/>
      <c r="D69" s="240" t="str">
        <f>TEXT($G$1, "[$-ko-KR]yyyy-mm-dd(ddd) ") &amp; "오후 14:00"</f>
        <v>2021-07-01(목) 오후 14:00</v>
      </c>
      <c r="E69" s="241"/>
      <c r="F69" s="242"/>
      <c r="G69" s="240" t="str">
        <f>TEXT($G$1, "[$-ko-KR]yyyy-mm-dd(ddd) ") &amp; "오후 19:00"</f>
        <v>2021-07-01(목) 오후 19:00</v>
      </c>
      <c r="H69" s="241"/>
      <c r="I69" s="242"/>
      <c r="J69" s="240" t="str">
        <f>TEXT($G$1, "[$-ko-KR]yyyy-mm-dd(ddd) ") &amp; "오후 21:00"</f>
        <v>2021-07-01(목) 오후 21:00</v>
      </c>
      <c r="K69" s="241"/>
      <c r="L69" s="242"/>
      <c r="M69" s="240" t="str">
        <f>TEXT($G$1+1, "[$-ko-KR]yyyy-mm-dd(ddd) ") &amp; "오전 00:00"</f>
        <v>2021-07-02(금) 오전 00:00</v>
      </c>
      <c r="N69" s="241"/>
      <c r="O69" s="242"/>
      <c r="Q69" s="226"/>
      <c r="R69" s="226"/>
      <c r="S69" s="226"/>
    </row>
    <row r="70" spans="1:19" ht="17.25" thickBot="1">
      <c r="A70" s="27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6"/>
      <c r="R70" s="216"/>
      <c r="S70" s="216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6"/>
      <c r="R71" s="226"/>
      <c r="S71" s="226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6"/>
      <c r="R72" s="226"/>
      <c r="S72" s="226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6"/>
      <c r="R73" s="216"/>
      <c r="S73" s="216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6"/>
      <c r="R74" s="216"/>
      <c r="S74" s="216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6"/>
      <c r="R75" s="216"/>
      <c r="S75" s="216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6"/>
      <c r="R76" s="216"/>
      <c r="S76" s="216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6"/>
      <c r="R77" s="216"/>
      <c r="S77" s="216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6"/>
      <c r="R78" s="216"/>
      <c r="S78" s="216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7"/>
      <c r="R80" s="218"/>
      <c r="S80" s="219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0"/>
      <c r="R81" s="221"/>
      <c r="S81" s="222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3"/>
      <c r="R82" s="224"/>
      <c r="S82" s="225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6"/>
      <c r="R83" s="216"/>
      <c r="S83" s="216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6"/>
      <c r="R84" s="226"/>
      <c r="S84" s="226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6"/>
      <c r="R85" s="226"/>
      <c r="S85" s="226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6"/>
      <c r="R86" s="216"/>
      <c r="S86" s="216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6"/>
      <c r="R87" s="216"/>
      <c r="S87" s="216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6"/>
      <c r="R88" s="216"/>
      <c r="S88" s="216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05"/>
      <c r="R89" s="206"/>
      <c r="S89" s="207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08"/>
      <c r="R90" s="209"/>
      <c r="S90" s="210"/>
    </row>
    <row r="91" spans="1:19" ht="17.25" thickBot="1">
      <c r="A91" s="132" t="s">
        <v>271</v>
      </c>
      <c r="B91" s="269">
        <f>$B$37</f>
        <v>100000</v>
      </c>
      <c r="C91" s="270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11"/>
      <c r="R91" s="212"/>
      <c r="S91" s="213"/>
    </row>
    <row r="93" spans="1:19" ht="17.25" thickBot="1"/>
    <row r="94" spans="1:19" ht="17.25" thickBot="1">
      <c r="A94" s="227" t="s">
        <v>46</v>
      </c>
      <c r="B94" s="228"/>
      <c r="C94" s="228"/>
      <c r="D94" s="228"/>
      <c r="E94" s="228"/>
      <c r="F94" s="228"/>
      <c r="G94" s="228"/>
      <c r="H94" s="228"/>
      <c r="I94" s="228"/>
      <c r="J94" s="228"/>
      <c r="K94" s="228"/>
      <c r="L94" s="228"/>
      <c r="M94" s="228"/>
      <c r="N94" s="228"/>
      <c r="O94" s="229"/>
      <c r="Q94" s="226"/>
      <c r="R94" s="226"/>
      <c r="S94" s="226"/>
    </row>
    <row r="95" spans="1:19" ht="17.25" thickBot="1">
      <c r="A95" s="116" t="s">
        <v>268</v>
      </c>
      <c r="B95" s="227" t="s">
        <v>49</v>
      </c>
      <c r="C95" s="229"/>
      <c r="D95" s="227" t="s">
        <v>58</v>
      </c>
      <c r="E95" s="228"/>
      <c r="F95" s="229"/>
      <c r="G95" s="230">
        <f>_xlfn.IFNA(VLOOKUP(B95, 현재가테이블!$B$2:$D$200, 2, FALSE), "-")</f>
        <v>39916000</v>
      </c>
      <c r="H95" s="231"/>
      <c r="I95" s="232"/>
      <c r="J95" s="227" t="s">
        <v>59</v>
      </c>
      <c r="K95" s="228"/>
      <c r="L95" s="229"/>
      <c r="M95" s="233">
        <f>_xlfn.IFNA(VLOOKUP(B95, 현재가테이블!$B$2:$D$200, 3, FALSE), "-")</f>
        <v>7.3184273000000003E-3</v>
      </c>
      <c r="N95" s="234"/>
      <c r="O95" s="235"/>
      <c r="Q95" s="226"/>
      <c r="R95" s="226"/>
      <c r="S95" s="226"/>
    </row>
    <row r="96" spans="1:19" ht="17.25" thickBot="1">
      <c r="A96" s="271" t="s">
        <v>55</v>
      </c>
      <c r="B96" s="267" t="str">
        <f>TEXT($G$1, "[$-ko-KR]yyyy-mm-dd(ddd) ") &amp; "오전 00:00"</f>
        <v>2021-07-01(목) 오전 00:00</v>
      </c>
      <c r="C96" s="268"/>
      <c r="D96" s="240" t="str">
        <f>TEXT($G$1, "[$-ko-KR]yyyy-mm-dd(ddd) ") &amp; "오후 14:00"</f>
        <v>2021-07-01(목) 오후 14:00</v>
      </c>
      <c r="E96" s="241"/>
      <c r="F96" s="242"/>
      <c r="G96" s="240" t="str">
        <f>TEXT($G$1, "[$-ko-KR]yyyy-mm-dd(ddd) ") &amp; "오후 19:00"</f>
        <v>2021-07-01(목) 오후 19:00</v>
      </c>
      <c r="H96" s="241"/>
      <c r="I96" s="242"/>
      <c r="J96" s="240" t="str">
        <f>TEXT($G$1, "[$-ko-KR]yyyy-mm-dd(ddd) ") &amp; "오후 21:00"</f>
        <v>2021-07-01(목) 오후 21:00</v>
      </c>
      <c r="K96" s="241"/>
      <c r="L96" s="242"/>
      <c r="M96" s="240" t="str">
        <f>TEXT($G$1+1, "[$-ko-KR]yyyy-mm-dd(ddd) ") &amp; "오전 00:00"</f>
        <v>2021-07-02(금) 오전 00:00</v>
      </c>
      <c r="N96" s="241"/>
      <c r="O96" s="242"/>
      <c r="Q96" s="226"/>
      <c r="R96" s="226"/>
      <c r="S96" s="226"/>
    </row>
    <row r="97" spans="1:19" ht="17.25" thickBot="1">
      <c r="A97" s="27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6"/>
      <c r="R97" s="216"/>
      <c r="S97" s="216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6"/>
      <c r="R98" s="226"/>
      <c r="S98" s="226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6"/>
      <c r="R99" s="226"/>
      <c r="S99" s="226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6"/>
      <c r="R100" s="216"/>
      <c r="S100" s="216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6"/>
      <c r="R101" s="216"/>
      <c r="S101" s="216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6"/>
      <c r="R102" s="216"/>
      <c r="S102" s="216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6"/>
      <c r="R103" s="216"/>
      <c r="S103" s="216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6"/>
      <c r="R104" s="216"/>
      <c r="S104" s="216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6"/>
      <c r="R105" s="216"/>
      <c r="S105" s="216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7"/>
      <c r="R107" s="218"/>
      <c r="S107" s="219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0"/>
      <c r="R108" s="221"/>
      <c r="S108" s="222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3"/>
      <c r="R109" s="224"/>
      <c r="S109" s="225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6"/>
      <c r="R110" s="216"/>
      <c r="S110" s="216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6"/>
      <c r="R111" s="226"/>
      <c r="S111" s="226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6"/>
      <c r="R112" s="226"/>
      <c r="S112" s="226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6"/>
      <c r="R113" s="216"/>
      <c r="S113" s="216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6"/>
      <c r="R114" s="216"/>
      <c r="S114" s="216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6"/>
      <c r="R115" s="216"/>
      <c r="S115" s="216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05"/>
      <c r="R116" s="206"/>
      <c r="S116" s="207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08"/>
      <c r="R117" s="209"/>
      <c r="S117" s="210"/>
    </row>
    <row r="118" spans="1:19" ht="17.25" thickBot="1">
      <c r="A118" s="132" t="s">
        <v>271</v>
      </c>
      <c r="B118" s="269">
        <f>$B$37</f>
        <v>100000</v>
      </c>
      <c r="C118" s="270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11"/>
      <c r="R118" s="212"/>
      <c r="S118" s="213"/>
    </row>
    <row r="120" spans="1:19" ht="17.25" thickBot="1"/>
    <row r="121" spans="1:19" ht="17.25" thickBot="1">
      <c r="A121" s="227" t="s">
        <v>259</v>
      </c>
      <c r="B121" s="228"/>
      <c r="C121" s="228"/>
      <c r="D121" s="228"/>
      <c r="E121" s="228"/>
      <c r="F121" s="228"/>
      <c r="G121" s="228"/>
      <c r="H121" s="228"/>
      <c r="I121" s="228"/>
      <c r="J121" s="228"/>
      <c r="K121" s="228"/>
      <c r="L121" s="228"/>
      <c r="M121" s="228"/>
      <c r="N121" s="228"/>
      <c r="O121" s="229"/>
      <c r="Q121" s="226"/>
      <c r="R121" s="226"/>
      <c r="S121" s="226"/>
    </row>
    <row r="122" spans="1:19" ht="17.25" thickBot="1">
      <c r="A122" s="116" t="s">
        <v>268</v>
      </c>
      <c r="B122" s="227" t="s">
        <v>49</v>
      </c>
      <c r="C122" s="229"/>
      <c r="D122" s="227" t="s">
        <v>58</v>
      </c>
      <c r="E122" s="228"/>
      <c r="F122" s="229"/>
      <c r="G122" s="230">
        <f>_xlfn.IFNA(VLOOKUP(B122, 현재가테이블!$B$2:$D$200, 2, FALSE), "-")</f>
        <v>39916000</v>
      </c>
      <c r="H122" s="231"/>
      <c r="I122" s="232"/>
      <c r="J122" s="227" t="s">
        <v>59</v>
      </c>
      <c r="K122" s="228"/>
      <c r="L122" s="229"/>
      <c r="M122" s="233">
        <f>_xlfn.IFNA(VLOOKUP(B122, 현재가테이블!$B$2:$D$200, 3, FALSE), "-")</f>
        <v>7.3184273000000003E-3</v>
      </c>
      <c r="N122" s="234"/>
      <c r="O122" s="235"/>
      <c r="Q122" s="226"/>
      <c r="R122" s="226"/>
      <c r="S122" s="226"/>
    </row>
    <row r="123" spans="1:19" ht="17.25" thickBot="1">
      <c r="A123" s="271" t="s">
        <v>55</v>
      </c>
      <c r="B123" s="267" t="str">
        <f>TEXT($G$1, "[$-ko-KR]yyyy-mm-dd(ddd) ") &amp; "오전 00:00"</f>
        <v>2021-07-01(목) 오전 00:00</v>
      </c>
      <c r="C123" s="268"/>
      <c r="D123" s="240" t="str">
        <f>TEXT($G$1, "[$-ko-KR]yyyy-mm-dd(ddd) ") &amp; "오후 14:00"</f>
        <v>2021-07-01(목) 오후 14:00</v>
      </c>
      <c r="E123" s="241"/>
      <c r="F123" s="242"/>
      <c r="G123" s="240" t="str">
        <f>TEXT($G$1, "[$-ko-KR]yyyy-mm-dd(ddd) ") &amp; "오후 19:00"</f>
        <v>2021-07-01(목) 오후 19:00</v>
      </c>
      <c r="H123" s="241"/>
      <c r="I123" s="242"/>
      <c r="J123" s="240" t="str">
        <f>TEXT($G$1, "[$-ko-KR]yyyy-mm-dd(ddd) ") &amp; "오후 21:00"</f>
        <v>2021-07-01(목) 오후 21:00</v>
      </c>
      <c r="K123" s="241"/>
      <c r="L123" s="242"/>
      <c r="M123" s="240" t="str">
        <f>TEXT($G$1+1, "[$-ko-KR]yyyy-mm-dd(ddd) ") &amp; "오전 00:00"</f>
        <v>2021-07-02(금) 오전 00:00</v>
      </c>
      <c r="N123" s="241"/>
      <c r="O123" s="242"/>
      <c r="Q123" s="226"/>
      <c r="R123" s="226"/>
      <c r="S123" s="226"/>
    </row>
    <row r="124" spans="1:19" ht="17.25" thickBot="1">
      <c r="A124" s="27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6"/>
      <c r="R124" s="216"/>
      <c r="S124" s="216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6"/>
      <c r="R125" s="226"/>
      <c r="S125" s="226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6"/>
      <c r="R126" s="226"/>
      <c r="S126" s="226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6"/>
      <c r="R127" s="216"/>
      <c r="S127" s="216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6"/>
      <c r="R128" s="216"/>
      <c r="S128" s="216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6"/>
      <c r="R129" s="216"/>
      <c r="S129" s="216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6"/>
      <c r="R130" s="216"/>
      <c r="S130" s="216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6"/>
      <c r="R131" s="216"/>
      <c r="S131" s="216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6"/>
      <c r="R132" s="216"/>
      <c r="S132" s="216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7"/>
      <c r="R134" s="218"/>
      <c r="S134" s="219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0"/>
      <c r="R135" s="221"/>
      <c r="S135" s="222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3"/>
      <c r="R136" s="224"/>
      <c r="S136" s="225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6"/>
      <c r="R137" s="216"/>
      <c r="S137" s="216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6"/>
      <c r="R138" s="226"/>
      <c r="S138" s="226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6"/>
      <c r="R139" s="226"/>
      <c r="S139" s="226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6"/>
      <c r="R140" s="216"/>
      <c r="S140" s="216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6"/>
      <c r="R141" s="216"/>
      <c r="S141" s="216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6"/>
      <c r="R142" s="216"/>
      <c r="S142" s="216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05"/>
      <c r="R143" s="206"/>
      <c r="S143" s="207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08"/>
      <c r="R144" s="209"/>
      <c r="S144" s="210"/>
    </row>
    <row r="145" spans="1:19" ht="17.25" thickBot="1">
      <c r="A145" s="132" t="s">
        <v>271</v>
      </c>
      <c r="B145" s="269">
        <f>$B$37</f>
        <v>100000</v>
      </c>
      <c r="C145" s="270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11"/>
      <c r="R145" s="212"/>
      <c r="S145" s="213"/>
    </row>
    <row r="147" spans="1:19" ht="17.25" thickBot="1"/>
    <row r="148" spans="1:19" ht="17.25" thickBot="1">
      <c r="A148" s="227" t="s">
        <v>260</v>
      </c>
      <c r="B148" s="228"/>
      <c r="C148" s="228"/>
      <c r="D148" s="228"/>
      <c r="E148" s="228"/>
      <c r="F148" s="228"/>
      <c r="G148" s="228"/>
      <c r="H148" s="228"/>
      <c r="I148" s="228"/>
      <c r="J148" s="228"/>
      <c r="K148" s="228"/>
      <c r="L148" s="228"/>
      <c r="M148" s="228"/>
      <c r="N148" s="228"/>
      <c r="O148" s="229"/>
      <c r="Q148" s="226"/>
      <c r="R148" s="226"/>
      <c r="S148" s="226"/>
    </row>
    <row r="149" spans="1:19" ht="17.25" thickBot="1">
      <c r="A149" s="116" t="s">
        <v>268</v>
      </c>
      <c r="B149" s="227" t="s">
        <v>49</v>
      </c>
      <c r="C149" s="229"/>
      <c r="D149" s="227" t="s">
        <v>58</v>
      </c>
      <c r="E149" s="228"/>
      <c r="F149" s="229"/>
      <c r="G149" s="230">
        <f>_xlfn.IFNA(VLOOKUP(B149, 현재가테이블!$B$2:$D$200, 2, FALSE), "-")</f>
        <v>39916000</v>
      </c>
      <c r="H149" s="231"/>
      <c r="I149" s="232"/>
      <c r="J149" s="227" t="s">
        <v>59</v>
      </c>
      <c r="K149" s="228"/>
      <c r="L149" s="229"/>
      <c r="M149" s="233">
        <f>_xlfn.IFNA(VLOOKUP(B149, 현재가테이블!$B$2:$D$200, 3, FALSE), "-")</f>
        <v>7.3184273000000003E-3</v>
      </c>
      <c r="N149" s="234"/>
      <c r="O149" s="235"/>
      <c r="Q149" s="226"/>
      <c r="R149" s="226"/>
      <c r="S149" s="226"/>
    </row>
    <row r="150" spans="1:19" ht="17.25" thickBot="1">
      <c r="A150" s="271" t="s">
        <v>55</v>
      </c>
      <c r="B150" s="267" t="str">
        <f>TEXT($G$1, "[$-ko-KR]yyyy-mm-dd(ddd) ") &amp; "오전 00:00"</f>
        <v>2021-07-01(목) 오전 00:00</v>
      </c>
      <c r="C150" s="268"/>
      <c r="D150" s="240" t="str">
        <f>TEXT($G$1, "[$-ko-KR]yyyy-mm-dd(ddd) ") &amp; "오후 14:00"</f>
        <v>2021-07-01(목) 오후 14:00</v>
      </c>
      <c r="E150" s="241"/>
      <c r="F150" s="242"/>
      <c r="G150" s="240" t="str">
        <f>TEXT($G$1, "[$-ko-KR]yyyy-mm-dd(ddd) ") &amp; "오후 19:00"</f>
        <v>2021-07-01(목) 오후 19:00</v>
      </c>
      <c r="H150" s="241"/>
      <c r="I150" s="242"/>
      <c r="J150" s="240" t="str">
        <f>TEXT($G$1, "[$-ko-KR]yyyy-mm-dd(ddd) ") &amp; "오후 21:00"</f>
        <v>2021-07-01(목) 오후 21:00</v>
      </c>
      <c r="K150" s="241"/>
      <c r="L150" s="242"/>
      <c r="M150" s="240" t="str">
        <f>TEXT($G$1+1, "[$-ko-KR]yyyy-mm-dd(ddd) ") &amp; "오전 00:00"</f>
        <v>2021-07-02(금) 오전 00:00</v>
      </c>
      <c r="N150" s="241"/>
      <c r="O150" s="242"/>
      <c r="Q150" s="226"/>
      <c r="R150" s="226"/>
      <c r="S150" s="226"/>
    </row>
    <row r="151" spans="1:19" ht="17.25" thickBot="1">
      <c r="A151" s="27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6"/>
      <c r="R151" s="216"/>
      <c r="S151" s="216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6"/>
      <c r="R152" s="226"/>
      <c r="S152" s="226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6"/>
      <c r="R153" s="226"/>
      <c r="S153" s="226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6"/>
      <c r="R154" s="216"/>
      <c r="S154" s="216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6"/>
      <c r="R155" s="216"/>
      <c r="S155" s="216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6"/>
      <c r="R156" s="216"/>
      <c r="S156" s="216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6"/>
      <c r="R157" s="216"/>
      <c r="S157" s="216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6"/>
      <c r="R158" s="216"/>
      <c r="S158" s="216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6"/>
      <c r="R159" s="216"/>
      <c r="S159" s="216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7"/>
      <c r="R161" s="218"/>
      <c r="S161" s="219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0"/>
      <c r="R162" s="221"/>
      <c r="S162" s="222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3"/>
      <c r="R163" s="224"/>
      <c r="S163" s="225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6"/>
      <c r="R164" s="216"/>
      <c r="S164" s="216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6"/>
      <c r="R165" s="226"/>
      <c r="S165" s="226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6"/>
      <c r="R166" s="226"/>
      <c r="S166" s="226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6"/>
      <c r="R167" s="216"/>
      <c r="S167" s="216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6"/>
      <c r="R168" s="216"/>
      <c r="S168" s="216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6"/>
      <c r="R169" s="216"/>
      <c r="S169" s="216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05"/>
      <c r="R170" s="206"/>
      <c r="S170" s="207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08"/>
      <c r="R171" s="209"/>
      <c r="S171" s="210"/>
    </row>
    <row r="172" spans="1:19" ht="17.25" thickBot="1">
      <c r="A172" s="132" t="s">
        <v>271</v>
      </c>
      <c r="B172" s="269">
        <f>$B$37</f>
        <v>100000</v>
      </c>
      <c r="C172" s="270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11"/>
      <c r="R172" s="212"/>
      <c r="S172" s="213"/>
    </row>
    <row r="174" spans="1:19" ht="17.25" thickBot="1"/>
    <row r="175" spans="1:19" ht="17.25" thickBot="1">
      <c r="A175" s="227" t="s">
        <v>256</v>
      </c>
      <c r="B175" s="228"/>
      <c r="C175" s="228"/>
      <c r="D175" s="228"/>
      <c r="E175" s="228"/>
      <c r="F175" s="228"/>
      <c r="G175" s="228"/>
      <c r="H175" s="228"/>
      <c r="I175" s="228"/>
      <c r="J175" s="228"/>
      <c r="K175" s="228"/>
      <c r="L175" s="228"/>
      <c r="M175" s="228"/>
      <c r="N175" s="228"/>
      <c r="O175" s="229"/>
      <c r="Q175" s="226"/>
      <c r="R175" s="226"/>
      <c r="S175" s="226"/>
    </row>
    <row r="176" spans="1:19" ht="17.25" thickBot="1">
      <c r="A176" s="116" t="s">
        <v>268</v>
      </c>
      <c r="B176" s="227" t="s">
        <v>49</v>
      </c>
      <c r="C176" s="229"/>
      <c r="D176" s="227" t="s">
        <v>58</v>
      </c>
      <c r="E176" s="228"/>
      <c r="F176" s="229"/>
      <c r="G176" s="230">
        <f>_xlfn.IFNA(VLOOKUP(B176, 현재가테이블!$B$2:$D$200, 2, FALSE), "-")</f>
        <v>39916000</v>
      </c>
      <c r="H176" s="231"/>
      <c r="I176" s="232"/>
      <c r="J176" s="227" t="s">
        <v>59</v>
      </c>
      <c r="K176" s="228"/>
      <c r="L176" s="229"/>
      <c r="M176" s="233">
        <f>_xlfn.IFNA(VLOOKUP(B176, 현재가테이블!$B$2:$D$200, 3, FALSE), "-")</f>
        <v>7.3184273000000003E-3</v>
      </c>
      <c r="N176" s="234"/>
      <c r="O176" s="235"/>
      <c r="Q176" s="226"/>
      <c r="R176" s="226"/>
      <c r="S176" s="226"/>
    </row>
    <row r="177" spans="1:19" ht="17.25" thickBot="1">
      <c r="A177" s="271" t="s">
        <v>55</v>
      </c>
      <c r="B177" s="267" t="str">
        <f>TEXT($G$1, "[$-ko-KR]yyyy-mm-dd(ddd) ") &amp; "오전 00:00"</f>
        <v>2021-07-01(목) 오전 00:00</v>
      </c>
      <c r="C177" s="268"/>
      <c r="D177" s="240" t="str">
        <f>TEXT($G$1, "[$-ko-KR]yyyy-mm-dd(ddd) ") &amp; "오후 14:00"</f>
        <v>2021-07-01(목) 오후 14:00</v>
      </c>
      <c r="E177" s="241"/>
      <c r="F177" s="242"/>
      <c r="G177" s="240" t="str">
        <f>TEXT($G$1, "[$-ko-KR]yyyy-mm-dd(ddd) ") &amp; "오후 19:00"</f>
        <v>2021-07-01(목) 오후 19:00</v>
      </c>
      <c r="H177" s="241"/>
      <c r="I177" s="242"/>
      <c r="J177" s="240" t="str">
        <f>TEXT($G$1, "[$-ko-KR]yyyy-mm-dd(ddd) ") &amp; "오후 21:00"</f>
        <v>2021-07-01(목) 오후 21:00</v>
      </c>
      <c r="K177" s="241"/>
      <c r="L177" s="242"/>
      <c r="M177" s="240" t="str">
        <f>TEXT($G$1+1, "[$-ko-KR]yyyy-mm-dd(ddd) ") &amp; "오전 00:00"</f>
        <v>2021-07-02(금) 오전 00:00</v>
      </c>
      <c r="N177" s="241"/>
      <c r="O177" s="242"/>
      <c r="Q177" s="226"/>
      <c r="R177" s="226"/>
      <c r="S177" s="226"/>
    </row>
    <row r="178" spans="1:19" ht="17.25" thickBot="1">
      <c r="A178" s="27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6"/>
      <c r="R178" s="216"/>
      <c r="S178" s="216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6"/>
      <c r="R179" s="226"/>
      <c r="S179" s="226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6"/>
      <c r="R180" s="226"/>
      <c r="S180" s="226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6"/>
      <c r="R181" s="216"/>
      <c r="S181" s="216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6"/>
      <c r="R182" s="216"/>
      <c r="S182" s="216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6"/>
      <c r="R183" s="216"/>
      <c r="S183" s="216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6"/>
      <c r="R184" s="216"/>
      <c r="S184" s="216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6"/>
      <c r="R185" s="216"/>
      <c r="S185" s="216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6"/>
      <c r="R186" s="216"/>
      <c r="S186" s="216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7"/>
      <c r="R188" s="218"/>
      <c r="S188" s="219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0"/>
      <c r="R189" s="221"/>
      <c r="S189" s="222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3"/>
      <c r="R190" s="224"/>
      <c r="S190" s="225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6"/>
      <c r="R191" s="216"/>
      <c r="S191" s="216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6"/>
      <c r="R192" s="226"/>
      <c r="S192" s="226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6"/>
      <c r="R193" s="226"/>
      <c r="S193" s="226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6"/>
      <c r="R194" s="216"/>
      <c r="S194" s="216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6"/>
      <c r="R195" s="216"/>
      <c r="S195" s="216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6"/>
      <c r="R196" s="216"/>
      <c r="S196" s="216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05"/>
      <c r="R197" s="206"/>
      <c r="S197" s="207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08"/>
      <c r="R198" s="209"/>
      <c r="S198" s="210"/>
    </row>
    <row r="199" spans="1:19" ht="17.25" thickBot="1">
      <c r="A199" s="132" t="s">
        <v>271</v>
      </c>
      <c r="B199" s="269">
        <f>$B$37</f>
        <v>100000</v>
      </c>
      <c r="C199" s="270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11"/>
      <c r="R199" s="212"/>
      <c r="S199" s="213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2565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64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63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62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561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560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559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558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557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556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555" priority="289">
      <formula>AND($N17 &gt; 0, ISNUMBER($N17))</formula>
    </cfRule>
    <cfRule type="expression" dxfId="2554" priority="290">
      <formula>AND($N17 = 0 * ISNUMBER($N17))</formula>
    </cfRule>
    <cfRule type="expression" dxfId="2553" priority="291">
      <formula>AND($N17 &lt; 0, ISNUMBER($N17))</formula>
    </cfRule>
  </conditionalFormatting>
  <conditionalFormatting sqref="A17:C36 D17:F36">
    <cfRule type="expression" dxfId="2552" priority="298">
      <formula>AND($E17 &gt; 0, ISNUMBER($E17))</formula>
    </cfRule>
    <cfRule type="expression" dxfId="2551" priority="299">
      <formula>AND($E17 = 0 * ISNUMBER($E17))</formula>
    </cfRule>
    <cfRule type="expression" dxfId="2550" priority="300">
      <formula>AND($E17 &lt; 0, ISNUMBER($E17))</formula>
    </cfRule>
  </conditionalFormatting>
  <conditionalFormatting sqref="A17:C36 G17:I36">
    <cfRule type="expression" dxfId="2549" priority="295">
      <formula>AND($H17 &gt; 0, ISNUMBER($H17))</formula>
    </cfRule>
    <cfRule type="expression" dxfId="2548" priority="296">
      <formula>AND($H17 = 0 * ISNUMBER($H17))</formula>
    </cfRule>
    <cfRule type="expression" dxfId="2547" priority="297">
      <formula>AND($H17 &lt; 0, ISNUMBER($H17))</formula>
    </cfRule>
  </conditionalFormatting>
  <conditionalFormatting sqref="A17:C36 J17:L36">
    <cfRule type="expression" dxfId="2546" priority="292">
      <formula>AND($K17 &gt; 0, ISNUMBER($K17))</formula>
    </cfRule>
    <cfRule type="expression" dxfId="2545" priority="293">
      <formula>AND($K17 = 0 * ISNUMBER($K17))</formula>
    </cfRule>
    <cfRule type="expression" dxfId="2544" priority="294">
      <formula>AND($K17 &lt; 0, ISNUMBER($K17))</formula>
    </cfRule>
  </conditionalFormatting>
  <conditionalFormatting sqref="D15:F16 E37:F37">
    <cfRule type="expression" dxfId="2543" priority="286">
      <formula>$E$37 &gt; 0</formula>
    </cfRule>
    <cfRule type="expression" dxfId="2542" priority="287">
      <formula>$E$37 = 0</formula>
    </cfRule>
    <cfRule type="expression" dxfId="2541" priority="288">
      <formula>$E$37 &lt; 0</formula>
    </cfRule>
  </conditionalFormatting>
  <conditionalFormatting sqref="G15:I16 H37:I37">
    <cfRule type="expression" dxfId="2540" priority="283">
      <formula>$H$37 &gt; 0</formula>
    </cfRule>
    <cfRule type="expression" dxfId="2539" priority="284">
      <formula>$H$37 = 0</formula>
    </cfRule>
    <cfRule type="expression" dxfId="2538" priority="285">
      <formula>$H$37 &lt; 0</formula>
    </cfRule>
  </conditionalFormatting>
  <conditionalFormatting sqref="J15:L16 K37:L37">
    <cfRule type="expression" dxfId="2537" priority="280">
      <formula>$K$37 &gt; 0</formula>
    </cfRule>
    <cfRule type="expression" dxfId="2536" priority="281">
      <formula>$K$37 = 0</formula>
    </cfRule>
    <cfRule type="expression" dxfId="2535" priority="282">
      <formula>$K$37 &lt; 0</formula>
    </cfRule>
  </conditionalFormatting>
  <conditionalFormatting sqref="M15:O16 N37:O37">
    <cfRule type="expression" dxfId="2534" priority="277">
      <formula>$N$37 &gt; 0</formula>
    </cfRule>
    <cfRule type="expression" dxfId="2533" priority="278">
      <formula>$N$37 = 0</formula>
    </cfRule>
    <cfRule type="expression" dxfId="2532" priority="279">
      <formula>$N$37 &lt; 0</formula>
    </cfRule>
  </conditionalFormatting>
  <conditionalFormatting sqref="A44:C63 M44:O63">
    <cfRule type="expression" dxfId="2531" priority="265">
      <formula>AND($N44 &gt; 0, ISNUMBER($N44))</formula>
    </cfRule>
    <cfRule type="expression" dxfId="2530" priority="266">
      <formula>AND($N44 = 0 * ISNUMBER($N44))</formula>
    </cfRule>
    <cfRule type="expression" dxfId="2529" priority="267">
      <formula>AND($N44 &lt; 0, ISNUMBER($N44))</formula>
    </cfRule>
  </conditionalFormatting>
  <conditionalFormatting sqref="A44:F63">
    <cfRule type="expression" dxfId="2528" priority="274">
      <formula>AND($E44 &gt; 0, ISNUMBER($E44))</formula>
    </cfRule>
    <cfRule type="expression" dxfId="2527" priority="275">
      <formula>AND($E44 = 0 * ISNUMBER($E44))</formula>
    </cfRule>
    <cfRule type="expression" dxfId="2526" priority="276">
      <formula>AND($E44 &lt; 0, ISNUMBER($E44))</formula>
    </cfRule>
  </conditionalFormatting>
  <conditionalFormatting sqref="A44:C63 G44:I63">
    <cfRule type="expression" dxfId="2525" priority="271">
      <formula>AND($H44 &gt; 0, ISNUMBER($H44))</formula>
    </cfRule>
    <cfRule type="expression" dxfId="2524" priority="272">
      <formula>AND($H44 = 0 * ISNUMBER($H44))</formula>
    </cfRule>
    <cfRule type="expression" dxfId="2523" priority="273">
      <formula>AND($H44 &lt; 0, ISNUMBER($H44))</formula>
    </cfRule>
  </conditionalFormatting>
  <conditionalFormatting sqref="A44:C63 J44:L63">
    <cfRule type="expression" dxfId="2522" priority="268">
      <formula>AND($K44 &gt; 0, ISNUMBER($K44))</formula>
    </cfRule>
    <cfRule type="expression" dxfId="2521" priority="269">
      <formula>AND($K44 = 0 * ISNUMBER($K44))</formula>
    </cfRule>
    <cfRule type="expression" dxfId="2520" priority="270">
      <formula>AND($K44 &lt; 0, ISNUMBER($K44))</formula>
    </cfRule>
  </conditionalFormatting>
  <conditionalFormatting sqref="D42:F43 E64:F64">
    <cfRule type="expression" dxfId="2519" priority="262">
      <formula>$E$64 &gt; 0</formula>
    </cfRule>
    <cfRule type="expression" dxfId="2518" priority="263">
      <formula>$E$64 = 0</formula>
    </cfRule>
    <cfRule type="expression" dxfId="2517" priority="264">
      <formula>$E$64 &lt; 0</formula>
    </cfRule>
  </conditionalFormatting>
  <conditionalFormatting sqref="G42:I43 H64:I64">
    <cfRule type="expression" dxfId="2516" priority="259">
      <formula>$H$64 &gt; 0</formula>
    </cfRule>
    <cfRule type="expression" dxfId="2515" priority="260">
      <formula>$H$64 = 0</formula>
    </cfRule>
    <cfRule type="expression" dxfId="2514" priority="261">
      <formula>$H$64 &lt; 0</formula>
    </cfRule>
  </conditionalFormatting>
  <conditionalFormatting sqref="J42:L43 K64:L64">
    <cfRule type="expression" dxfId="2513" priority="256">
      <formula>$K$64 &gt; 0</formula>
    </cfRule>
    <cfRule type="expression" dxfId="2512" priority="257">
      <formula>$K$64 = 0</formula>
    </cfRule>
    <cfRule type="expression" dxfId="2511" priority="258">
      <formula>$K$64 &lt; 0</formula>
    </cfRule>
  </conditionalFormatting>
  <conditionalFormatting sqref="M42:O43 N64:O64">
    <cfRule type="expression" dxfId="2510" priority="253">
      <formula>$N$64 &gt; 0</formula>
    </cfRule>
    <cfRule type="expression" dxfId="2509" priority="254">
      <formula>$N$64 = 0</formula>
    </cfRule>
    <cfRule type="expression" dxfId="2508" priority="255">
      <formula>$N$64 &lt; 0</formula>
    </cfRule>
  </conditionalFormatting>
  <conditionalFormatting sqref="A71:C90 M71:O90">
    <cfRule type="expression" dxfId="2507" priority="109">
      <formula>AND($N71 &gt; 0, ISNUMBER($N71))</formula>
    </cfRule>
    <cfRule type="expression" dxfId="2506" priority="110">
      <formula>AND($N71 = 0 * ISNUMBER($N71))</formula>
    </cfRule>
    <cfRule type="expression" dxfId="2505" priority="111">
      <formula>AND($N71 &lt; 0, ISNUMBER($N71))</formula>
    </cfRule>
  </conditionalFormatting>
  <conditionalFormatting sqref="A71:F90">
    <cfRule type="expression" dxfId="2504" priority="118">
      <formula>AND($E71 &gt; 0, ISNUMBER($E71))</formula>
    </cfRule>
    <cfRule type="expression" dxfId="2503" priority="119">
      <formula>AND($E71 = 0 * ISNUMBER($E71))</formula>
    </cfRule>
    <cfRule type="expression" dxfId="2502" priority="120">
      <formula>AND($E71 &lt; 0, ISNUMBER($E71))</formula>
    </cfRule>
  </conditionalFormatting>
  <conditionalFormatting sqref="A71:C90 G71:I90">
    <cfRule type="expression" dxfId="2501" priority="115">
      <formula>AND($H71 &gt; 0, ISNUMBER($H71))</formula>
    </cfRule>
    <cfRule type="expression" dxfId="2500" priority="116">
      <formula>AND($H71 = 0 * ISNUMBER($H71))</formula>
    </cfRule>
    <cfRule type="expression" dxfId="2499" priority="117">
      <formula>AND($H71 &lt; 0, ISNUMBER($H71))</formula>
    </cfRule>
  </conditionalFormatting>
  <conditionalFormatting sqref="A71:C90 J71:L90">
    <cfRule type="expression" dxfId="2498" priority="112">
      <formula>AND($K71 &gt; 0, ISNUMBER($K71))</formula>
    </cfRule>
    <cfRule type="expression" dxfId="2497" priority="113">
      <formula>AND($K71 = 0 * ISNUMBER($K71))</formula>
    </cfRule>
    <cfRule type="expression" dxfId="2496" priority="114">
      <formula>AND($K71 &lt; 0, ISNUMBER($K71))</formula>
    </cfRule>
  </conditionalFormatting>
  <conditionalFormatting sqref="D69:F70 E91:F91">
    <cfRule type="expression" dxfId="2495" priority="106">
      <formula>$E$91 &gt; 0</formula>
    </cfRule>
    <cfRule type="expression" dxfId="2494" priority="107">
      <formula>$E$91 = 0</formula>
    </cfRule>
    <cfRule type="expression" dxfId="2493" priority="108">
      <formula>$E$91 &lt; 0</formula>
    </cfRule>
  </conditionalFormatting>
  <conditionalFormatting sqref="G69:I70 H91:I91">
    <cfRule type="expression" dxfId="2492" priority="103">
      <formula>$H$91 &gt; 0</formula>
    </cfRule>
    <cfRule type="expression" dxfId="2491" priority="104">
      <formula>$H$91 = 0</formula>
    </cfRule>
    <cfRule type="expression" dxfId="2490" priority="105">
      <formula>$H$91 &lt; 0</formula>
    </cfRule>
  </conditionalFormatting>
  <conditionalFormatting sqref="J69:L70 K91:L91">
    <cfRule type="expression" dxfId="2489" priority="100">
      <formula>$K$91 &gt; 0</formula>
    </cfRule>
    <cfRule type="expression" dxfId="2488" priority="101">
      <formula>$K$91 = 0</formula>
    </cfRule>
    <cfRule type="expression" dxfId="2487" priority="102">
      <formula>$K$91 &lt; 0</formula>
    </cfRule>
  </conditionalFormatting>
  <conditionalFormatting sqref="M69:O70 N91:O91">
    <cfRule type="expression" dxfId="2486" priority="97">
      <formula>$N$91 &gt; 0</formula>
    </cfRule>
    <cfRule type="expression" dxfId="2485" priority="98">
      <formula>$N$91 = 0</formula>
    </cfRule>
    <cfRule type="expression" dxfId="2484" priority="99">
      <formula>$N$91 &lt; 0</formula>
    </cfRule>
  </conditionalFormatting>
  <conditionalFormatting sqref="A98:C117 M98:O117">
    <cfRule type="expression" dxfId="2483" priority="85">
      <formula>AND($N98 &gt; 0, ISNUMBER($N98))</formula>
    </cfRule>
    <cfRule type="expression" dxfId="2482" priority="86">
      <formula>AND($N98 = 0 * ISNUMBER($N98))</formula>
    </cfRule>
    <cfRule type="expression" dxfId="2481" priority="87">
      <formula>AND($N98 &lt; 0, ISNUMBER($N98))</formula>
    </cfRule>
  </conditionalFormatting>
  <conditionalFormatting sqref="A98:F117">
    <cfRule type="expression" dxfId="2480" priority="94">
      <formula>AND($E98 &gt; 0, ISNUMBER($E98))</formula>
    </cfRule>
    <cfRule type="expression" dxfId="2479" priority="95">
      <formula>AND($E98 = 0 * ISNUMBER($E98))</formula>
    </cfRule>
    <cfRule type="expression" dxfId="2478" priority="96">
      <formula>AND($E98 &lt; 0, ISNUMBER($E98))</formula>
    </cfRule>
  </conditionalFormatting>
  <conditionalFormatting sqref="A98:C117 G98:I117">
    <cfRule type="expression" dxfId="2477" priority="91">
      <formula>AND($H98 &gt; 0, ISNUMBER($H98))</formula>
    </cfRule>
    <cfRule type="expression" dxfId="2476" priority="92">
      <formula>AND($H98 = 0 * ISNUMBER($H98))</formula>
    </cfRule>
    <cfRule type="expression" dxfId="2475" priority="93">
      <formula>AND($H98 &lt; 0, ISNUMBER($H98))</formula>
    </cfRule>
  </conditionalFormatting>
  <conditionalFormatting sqref="A98:C117 J98:L117">
    <cfRule type="expression" dxfId="2474" priority="88">
      <formula>AND($K98 &gt; 0, ISNUMBER($K98))</formula>
    </cfRule>
    <cfRule type="expression" dxfId="2473" priority="89">
      <formula>AND($K98 = 0 * ISNUMBER($K98))</formula>
    </cfRule>
    <cfRule type="expression" dxfId="2472" priority="90">
      <formula>AND($K98 &lt; 0, ISNUMBER($K98))</formula>
    </cfRule>
  </conditionalFormatting>
  <conditionalFormatting sqref="D96:F97 E118:F118">
    <cfRule type="expression" dxfId="2471" priority="82">
      <formula>$E$118 &gt; 0</formula>
    </cfRule>
    <cfRule type="expression" dxfId="2470" priority="83">
      <formula>$E$118 = 0</formula>
    </cfRule>
    <cfRule type="expression" dxfId="2469" priority="84">
      <formula>$E$118 &lt; 0</formula>
    </cfRule>
  </conditionalFormatting>
  <conditionalFormatting sqref="G96:I97 H118:I118">
    <cfRule type="expression" dxfId="2468" priority="79">
      <formula>$H$118 &gt; 0</formula>
    </cfRule>
    <cfRule type="expression" dxfId="2467" priority="80">
      <formula>$H$118 = 0</formula>
    </cfRule>
    <cfRule type="expression" dxfId="2466" priority="81">
      <formula>$H$118 &lt; 0</formula>
    </cfRule>
  </conditionalFormatting>
  <conditionalFormatting sqref="J96:L97 K118:L118">
    <cfRule type="expression" dxfId="2465" priority="76">
      <formula>$K$118 &gt; 0</formula>
    </cfRule>
    <cfRule type="expression" dxfId="2464" priority="77">
      <formula>$K$118 = 0</formula>
    </cfRule>
    <cfRule type="expression" dxfId="2463" priority="78">
      <formula>$K$118 &lt; 0</formula>
    </cfRule>
  </conditionalFormatting>
  <conditionalFormatting sqref="M96:O97 N118:O118">
    <cfRule type="expression" dxfId="2462" priority="73">
      <formula>$N$118 &gt; 0</formula>
    </cfRule>
    <cfRule type="expression" dxfId="2461" priority="74">
      <formula>$N$118 = 0</formula>
    </cfRule>
    <cfRule type="expression" dxfId="2460" priority="75">
      <formula>$N$118 &lt; 0</formula>
    </cfRule>
  </conditionalFormatting>
  <conditionalFormatting sqref="A125:C144 M125:O144">
    <cfRule type="expression" dxfId="2459" priority="61">
      <formula>AND($N125 &gt; 0, ISNUMBER($N125))</formula>
    </cfRule>
    <cfRule type="expression" dxfId="2458" priority="62">
      <formula>AND($N125 = 0 * ISNUMBER($N125))</formula>
    </cfRule>
    <cfRule type="expression" dxfId="2457" priority="63">
      <formula>AND($N125 &lt; 0, ISNUMBER($N125))</formula>
    </cfRule>
  </conditionalFormatting>
  <conditionalFormatting sqref="A125:F144">
    <cfRule type="expression" dxfId="2456" priority="70">
      <formula>AND($E125 &gt; 0, ISNUMBER($E125))</formula>
    </cfRule>
    <cfRule type="expression" dxfId="2455" priority="71">
      <formula>AND($E125 = 0 * ISNUMBER($E125))</formula>
    </cfRule>
    <cfRule type="expression" dxfId="2454" priority="72">
      <formula>AND($E125 &lt; 0, ISNUMBER($E125))</formula>
    </cfRule>
  </conditionalFormatting>
  <conditionalFormatting sqref="A125:C144 G125:I144">
    <cfRule type="expression" dxfId="2453" priority="67">
      <formula>AND($H125 &gt; 0, ISNUMBER($H125))</formula>
    </cfRule>
    <cfRule type="expression" dxfId="2452" priority="68">
      <formula>AND($H125 = 0 * ISNUMBER($H125))</formula>
    </cfRule>
    <cfRule type="expression" dxfId="2451" priority="69">
      <formula>AND($H125 &lt; 0, ISNUMBER($H125))</formula>
    </cfRule>
  </conditionalFormatting>
  <conditionalFormatting sqref="A125:C144 J125:L144">
    <cfRule type="expression" dxfId="2450" priority="64">
      <formula>AND($K125 &gt; 0, ISNUMBER($K125))</formula>
    </cfRule>
    <cfRule type="expression" dxfId="2449" priority="65">
      <formula>AND($K125 = 0 * ISNUMBER($K125))</formula>
    </cfRule>
    <cfRule type="expression" dxfId="2448" priority="66">
      <formula>AND($K125 &lt; 0, ISNUMBER($K125))</formula>
    </cfRule>
  </conditionalFormatting>
  <conditionalFormatting sqref="D123:F124 E145:F145">
    <cfRule type="expression" dxfId="2447" priority="58">
      <formula>$E$145 &gt; 0</formula>
    </cfRule>
    <cfRule type="expression" dxfId="2446" priority="59">
      <formula>$E$145 = 0</formula>
    </cfRule>
    <cfRule type="expression" dxfId="2445" priority="60">
      <formula>$E$145 &lt; 0</formula>
    </cfRule>
  </conditionalFormatting>
  <conditionalFormatting sqref="G123:I124 H145:I145">
    <cfRule type="expression" dxfId="2444" priority="55">
      <formula>$H$145 &gt; 0</formula>
    </cfRule>
    <cfRule type="expression" dxfId="2443" priority="56">
      <formula>$H$145 = 0</formula>
    </cfRule>
    <cfRule type="expression" dxfId="2442" priority="57">
      <formula>$H$145 &lt; 0</formula>
    </cfRule>
  </conditionalFormatting>
  <conditionalFormatting sqref="J123:L124 K145:L145">
    <cfRule type="expression" dxfId="2441" priority="52">
      <formula>$K$145 &gt; 0</formula>
    </cfRule>
    <cfRule type="expression" dxfId="2440" priority="53">
      <formula>$K$145 = 0</formula>
    </cfRule>
    <cfRule type="expression" dxfId="2439" priority="54">
      <formula>$K$145 &lt; 0</formula>
    </cfRule>
  </conditionalFormatting>
  <conditionalFormatting sqref="M123:O124 N145:O145">
    <cfRule type="expression" dxfId="2438" priority="49">
      <formula>$N$145 &gt; 0</formula>
    </cfRule>
    <cfRule type="expression" dxfId="2437" priority="50">
      <formula>$N$145 = 0</formula>
    </cfRule>
    <cfRule type="expression" dxfId="2436" priority="51">
      <formula>$N$145 &lt; 0</formula>
    </cfRule>
  </conditionalFormatting>
  <conditionalFormatting sqref="A152:C171 M152:O171">
    <cfRule type="expression" dxfId="2435" priority="37">
      <formula>AND($N152 &gt; 0, ISNUMBER($N152))</formula>
    </cfRule>
    <cfRule type="expression" dxfId="2434" priority="38">
      <formula>AND($N152 = 0 * ISNUMBER($N152))</formula>
    </cfRule>
    <cfRule type="expression" dxfId="2433" priority="39">
      <formula>AND($N152 &lt; 0, ISNUMBER($N152))</formula>
    </cfRule>
  </conditionalFormatting>
  <conditionalFormatting sqref="A152:F171">
    <cfRule type="expression" dxfId="2432" priority="46">
      <formula>AND($E152 &gt; 0, ISNUMBER($E152))</formula>
    </cfRule>
    <cfRule type="expression" dxfId="2431" priority="47">
      <formula>AND($E152 = 0 * ISNUMBER($E152))</formula>
    </cfRule>
    <cfRule type="expression" dxfId="2430" priority="48">
      <formula>AND($E152 &lt; 0, ISNUMBER($E152))</formula>
    </cfRule>
  </conditionalFormatting>
  <conditionalFormatting sqref="A152:C171 G152:I171">
    <cfRule type="expression" dxfId="2429" priority="43">
      <formula>AND($H152 &gt; 0, ISNUMBER($H152))</formula>
    </cfRule>
    <cfRule type="expression" dxfId="2428" priority="44">
      <formula>AND($H152 = 0 * ISNUMBER($H152))</formula>
    </cfRule>
    <cfRule type="expression" dxfId="2427" priority="45">
      <formula>AND($H152 &lt; 0, ISNUMBER($H152))</formula>
    </cfRule>
  </conditionalFormatting>
  <conditionalFormatting sqref="A152:C171 J152:L171">
    <cfRule type="expression" dxfId="2426" priority="40">
      <formula>AND($K152 &gt; 0, ISNUMBER($K152))</formula>
    </cfRule>
    <cfRule type="expression" dxfId="2425" priority="41">
      <formula>AND($K152 = 0 * ISNUMBER($K152))</formula>
    </cfRule>
    <cfRule type="expression" dxfId="2424" priority="42">
      <formula>AND($K152 &lt; 0, ISNUMBER($K152))</formula>
    </cfRule>
  </conditionalFormatting>
  <conditionalFormatting sqref="D150:F151 E172:F172">
    <cfRule type="expression" dxfId="2423" priority="34">
      <formula>$E$172 &gt; 0</formula>
    </cfRule>
    <cfRule type="expression" dxfId="2422" priority="35">
      <formula>$E$172 = 0</formula>
    </cfRule>
    <cfRule type="expression" dxfId="2421" priority="36">
      <formula>$E$172 &lt; 0</formula>
    </cfRule>
  </conditionalFormatting>
  <conditionalFormatting sqref="G150:I151 H172:I172">
    <cfRule type="expression" dxfId="2420" priority="31">
      <formula>$H$172 &gt; 0</formula>
    </cfRule>
    <cfRule type="expression" dxfId="2419" priority="32">
      <formula>$H$172 = 0</formula>
    </cfRule>
    <cfRule type="expression" dxfId="2418" priority="33">
      <formula>$H$172 &lt; 0</formula>
    </cfRule>
  </conditionalFormatting>
  <conditionalFormatting sqref="J150:L151 K172:L172">
    <cfRule type="expression" dxfId="2417" priority="28">
      <formula>$K$172 &gt; 0</formula>
    </cfRule>
    <cfRule type="expression" dxfId="2416" priority="29">
      <formula>$K$172 = 0</formula>
    </cfRule>
    <cfRule type="expression" dxfId="2415" priority="30">
      <formula>$K$172 &lt; 0</formula>
    </cfRule>
  </conditionalFormatting>
  <conditionalFormatting sqref="M150:O151 N172:O172">
    <cfRule type="expression" dxfId="2414" priority="25">
      <formula>$N$172 &gt; 0</formula>
    </cfRule>
    <cfRule type="expression" dxfId="2413" priority="26">
      <formula>$N$172 = 0</formula>
    </cfRule>
    <cfRule type="expression" dxfId="2412" priority="27">
      <formula>$N$172 &lt; 0</formula>
    </cfRule>
  </conditionalFormatting>
  <conditionalFormatting sqref="A179:C198 M179:O198">
    <cfRule type="expression" dxfId="2411" priority="13">
      <formula>AND($N179 &gt; 0, ISNUMBER($N179))</formula>
    </cfRule>
    <cfRule type="expression" dxfId="2410" priority="14">
      <formula>AND($N179 = 0 * ISNUMBER($N179))</formula>
    </cfRule>
    <cfRule type="expression" dxfId="2409" priority="15">
      <formula>AND($N179 &lt; 0, ISNUMBER($N179))</formula>
    </cfRule>
  </conditionalFormatting>
  <conditionalFormatting sqref="A179:F198">
    <cfRule type="expression" dxfId="2408" priority="22">
      <formula>AND($E179 &gt; 0, ISNUMBER($E179))</formula>
    </cfRule>
    <cfRule type="expression" dxfId="2407" priority="23">
      <formula>AND($E179 = 0 * ISNUMBER($E179))</formula>
    </cfRule>
    <cfRule type="expression" dxfId="2406" priority="24">
      <formula>AND($E179 &lt; 0, ISNUMBER($E179))</formula>
    </cfRule>
  </conditionalFormatting>
  <conditionalFormatting sqref="A179:C198 G179:I198">
    <cfRule type="expression" dxfId="2405" priority="19">
      <formula>AND($H179 &gt; 0, ISNUMBER($H179))</formula>
    </cfRule>
    <cfRule type="expression" dxfId="2404" priority="20">
      <formula>AND($H179 = 0 * ISNUMBER($H179))</formula>
    </cfRule>
    <cfRule type="expression" dxfId="2403" priority="21">
      <formula>AND($H179 &lt; 0, ISNUMBER($H179))</formula>
    </cfRule>
  </conditionalFormatting>
  <conditionalFormatting sqref="A179:C198 J179:L198">
    <cfRule type="expression" dxfId="2402" priority="16">
      <formula>AND($K179 &gt; 0, ISNUMBER($K179))</formula>
    </cfRule>
    <cfRule type="expression" dxfId="2401" priority="17">
      <formula>AND($K179 = 0 * ISNUMBER($K179))</formula>
    </cfRule>
    <cfRule type="expression" dxfId="2400" priority="18">
      <formula>AND($K179 &lt; 0, ISNUMBER($K179))</formula>
    </cfRule>
  </conditionalFormatting>
  <conditionalFormatting sqref="D177:F178 E199:F199">
    <cfRule type="expression" dxfId="2399" priority="10">
      <formula>$E$199 &gt; 0</formula>
    </cfRule>
    <cfRule type="expression" dxfId="2398" priority="11">
      <formula>$E$199 = 0</formula>
    </cfRule>
    <cfRule type="expression" dxfId="2397" priority="12">
      <formula>$E$199 &lt; 0</formula>
    </cfRule>
  </conditionalFormatting>
  <conditionalFormatting sqref="G177:I178 H199:I199">
    <cfRule type="expression" dxfId="2396" priority="7">
      <formula>$H$199 &gt; 0</formula>
    </cfRule>
    <cfRule type="expression" dxfId="2395" priority="8">
      <formula>$H$199 = 0</formula>
    </cfRule>
    <cfRule type="expression" dxfId="2394" priority="9">
      <formula>$H$199 &lt; 0</formula>
    </cfRule>
  </conditionalFormatting>
  <conditionalFormatting sqref="J177:L178 K199:L199">
    <cfRule type="expression" dxfId="2393" priority="4">
      <formula>$K$199 &gt; 0</formula>
    </cfRule>
    <cfRule type="expression" dxfId="2392" priority="5">
      <formula>$K$199 = 0</formula>
    </cfRule>
    <cfRule type="expression" dxfId="2391" priority="6">
      <formula>$K$199 &lt; 0</formula>
    </cfRule>
  </conditionalFormatting>
  <conditionalFormatting sqref="M177:O178 N199:O199">
    <cfRule type="expression" dxfId="2390" priority="1">
      <formula>$N$199 &gt; 0</formula>
    </cfRule>
    <cfRule type="expression" dxfId="2389" priority="2">
      <formula>$N$199 = 0</formula>
    </cfRule>
    <cfRule type="expression" dxfId="238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66</v>
      </c>
      <c r="B2" s="11" t="s">
        <v>67</v>
      </c>
      <c r="C2" s="95">
        <v>4135</v>
      </c>
      <c r="D2" s="92">
        <v>0.32532051280000002</v>
      </c>
      <c r="E2" s="93">
        <v>102515952.73101903</v>
      </c>
      <c r="F2" s="35"/>
      <c r="G2" s="54"/>
      <c r="H2" s="35"/>
      <c r="I2" s="35"/>
    </row>
    <row r="3" spans="1:18" ht="17.25" thickBot="1">
      <c r="A3" s="40" t="s">
        <v>119</v>
      </c>
      <c r="B3" s="11" t="s">
        <v>120</v>
      </c>
      <c r="C3" s="95">
        <v>2885</v>
      </c>
      <c r="D3" s="92">
        <v>0.1182170543</v>
      </c>
      <c r="E3" s="93">
        <v>39871169.420358852</v>
      </c>
      <c r="F3" s="35"/>
      <c r="G3" s="271" t="s">
        <v>261</v>
      </c>
      <c r="H3" s="283" t="s">
        <v>333</v>
      </c>
      <c r="I3" s="283"/>
      <c r="K3" s="227" t="s">
        <v>34</v>
      </c>
      <c r="L3" s="228"/>
      <c r="M3" s="228"/>
      <c r="N3" s="229"/>
      <c r="O3" s="227" t="s">
        <v>263</v>
      </c>
      <c r="P3" s="228"/>
      <c r="Q3" s="228"/>
      <c r="R3" s="229"/>
    </row>
    <row r="4" spans="1:18" ht="17.25" thickBot="1">
      <c r="A4" s="40" t="s">
        <v>193</v>
      </c>
      <c r="B4" s="11" t="s">
        <v>194</v>
      </c>
      <c r="C4" s="95">
        <v>136</v>
      </c>
      <c r="D4" s="92">
        <v>0.1056910569</v>
      </c>
      <c r="E4" s="93">
        <v>253614125.80860037</v>
      </c>
      <c r="F4" s="35"/>
      <c r="G4" s="272"/>
      <c r="H4" s="284"/>
      <c r="I4" s="284"/>
      <c r="K4" s="264" t="s">
        <v>55</v>
      </c>
      <c r="L4" s="280">
        <f ca="1">NOW()</f>
        <v>44389.02419236111</v>
      </c>
      <c r="M4" s="281"/>
      <c r="N4" s="282"/>
      <c r="O4" s="279" t="s">
        <v>55</v>
      </c>
      <c r="P4" s="280">
        <f ca="1">NOW()</f>
        <v>44389.02419236111</v>
      </c>
      <c r="Q4" s="281"/>
      <c r="R4" s="282"/>
    </row>
    <row r="5" spans="1:18" ht="17.25" thickBot="1">
      <c r="A5" s="40" t="s">
        <v>155</v>
      </c>
      <c r="B5" s="11" t="s">
        <v>156</v>
      </c>
      <c r="C5" s="95">
        <v>1635</v>
      </c>
      <c r="D5" s="92">
        <v>7.9207920799999998E-2</v>
      </c>
      <c r="E5" s="93">
        <v>13817610.43187744</v>
      </c>
      <c r="F5" s="35"/>
      <c r="K5" s="272"/>
      <c r="L5" s="36" t="s">
        <v>58</v>
      </c>
      <c r="M5" s="73" t="s">
        <v>59</v>
      </c>
      <c r="N5" s="69" t="s">
        <v>265</v>
      </c>
      <c r="O5" s="272"/>
      <c r="P5" s="36" t="s">
        <v>58</v>
      </c>
      <c r="Q5" s="73" t="s">
        <v>59</v>
      </c>
      <c r="R5" s="69" t="s">
        <v>265</v>
      </c>
    </row>
    <row r="6" spans="1:18" ht="17.25" thickBot="1">
      <c r="A6" s="40" t="s">
        <v>167</v>
      </c>
      <c r="B6" s="11" t="s">
        <v>168</v>
      </c>
      <c r="C6" s="95">
        <v>1560</v>
      </c>
      <c r="D6" s="92">
        <v>6.4846416399999995E-2</v>
      </c>
      <c r="E6" s="93">
        <v>121770922.90110008</v>
      </c>
      <c r="F6" s="35"/>
      <c r="G6" s="227" t="s">
        <v>52</v>
      </c>
      <c r="H6" s="228"/>
      <c r="I6" s="229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코박토큰</v>
      </c>
      <c r="P6" s="38">
        <f t="shared" ref="P6:P25" si="2">_xlfn.IFNA(VLOOKUP(O6, $B$2:$D$200, 2, FALSE), "")</f>
        <v>4135</v>
      </c>
      <c r="Q6" s="76">
        <f t="shared" ref="Q6:Q25" si="3">_xlfn.IFNA(VLOOKUP(O6, $B$2:$D$200, 3, FALSE), "")</f>
        <v>0.32532051280000002</v>
      </c>
      <c r="R6" s="85">
        <f>_xlfn.IFNA(VLOOKUP(O6, $B$2:$E$200, 4, FALSE), "")</f>
        <v>102515952.73101903</v>
      </c>
    </row>
    <row r="7" spans="1:18">
      <c r="A7" s="40" t="s">
        <v>117</v>
      </c>
      <c r="B7" s="11" t="s">
        <v>118</v>
      </c>
      <c r="C7" s="95">
        <v>149</v>
      </c>
      <c r="D7" s="92">
        <v>6.4285714300000005E-2</v>
      </c>
      <c r="E7" s="93">
        <v>70178283.026569098</v>
      </c>
      <c r="F7" s="35"/>
      <c r="G7" s="255" t="s">
        <v>36</v>
      </c>
      <c r="H7" s="256"/>
      <c r="I7" s="257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알파쿼크</v>
      </c>
      <c r="P7" s="39">
        <f t="shared" si="2"/>
        <v>2885</v>
      </c>
      <c r="Q7" s="77">
        <f t="shared" si="3"/>
        <v>0.1182170543</v>
      </c>
      <c r="R7" s="86">
        <f t="shared" ref="R7:R25" si="5">_xlfn.IFNA(VLOOKUP(O7, $B$2:$E$200, 4, FALSE), "")</f>
        <v>39871169.420358852</v>
      </c>
    </row>
    <row r="8" spans="1:18" ht="17.25" thickBot="1">
      <c r="A8" s="40" t="s">
        <v>185</v>
      </c>
      <c r="B8" s="11" t="s">
        <v>186</v>
      </c>
      <c r="C8" s="95">
        <v>6435</v>
      </c>
      <c r="D8" s="92">
        <v>6.2758051199999998E-2</v>
      </c>
      <c r="E8" s="93">
        <v>8280318.9170151604</v>
      </c>
      <c r="F8" s="35"/>
      <c r="G8" s="248"/>
      <c r="H8" s="249"/>
      <c r="I8" s="25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메타디움</v>
      </c>
      <c r="P8" s="39">
        <f t="shared" si="2"/>
        <v>136</v>
      </c>
      <c r="Q8" s="77">
        <f t="shared" si="3"/>
        <v>0.1056910569</v>
      </c>
      <c r="R8" s="86">
        <f t="shared" si="5"/>
        <v>253614125.80860037</v>
      </c>
    </row>
    <row r="9" spans="1:18" ht="17.25" thickBot="1">
      <c r="A9" s="40" t="s">
        <v>201</v>
      </c>
      <c r="B9" s="11" t="s">
        <v>202</v>
      </c>
      <c r="C9" s="95">
        <v>57.1</v>
      </c>
      <c r="D9" s="92">
        <v>5.9369202199999999E-2</v>
      </c>
      <c r="E9" s="93">
        <v>962851886.28228116</v>
      </c>
      <c r="F9" s="35"/>
      <c r="G9" s="9" t="s">
        <v>38</v>
      </c>
      <c r="H9" s="228" t="s">
        <v>37</v>
      </c>
      <c r="I9" s="22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엔진코인</v>
      </c>
      <c r="P9" s="39">
        <f t="shared" si="2"/>
        <v>1635</v>
      </c>
      <c r="Q9" s="77">
        <f t="shared" si="3"/>
        <v>7.9207920799999998E-2</v>
      </c>
      <c r="R9" s="86">
        <f t="shared" si="5"/>
        <v>13817610.43187744</v>
      </c>
    </row>
    <row r="10" spans="1:18">
      <c r="A10" s="40" t="s">
        <v>171</v>
      </c>
      <c r="B10" s="11" t="s">
        <v>172</v>
      </c>
      <c r="C10" s="95">
        <v>1955</v>
      </c>
      <c r="D10" s="92">
        <v>5.6756756800000002E-2</v>
      </c>
      <c r="E10" s="93">
        <v>24284976.82103119</v>
      </c>
      <c r="F10" s="35"/>
      <c r="G10" s="273">
        <f>_xlfn.IFNA(VLOOKUP(G7, $B$2:$D$200, 3, FALSE), "-")</f>
        <v>7.3184273000000003E-3</v>
      </c>
      <c r="H10" s="275">
        <f>_xlfn.IFNA(VLOOKUP(G7, $B$2:$D$200, 2, FALSE), "-")</f>
        <v>39916000</v>
      </c>
      <c r="I10" s="276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스택스</v>
      </c>
      <c r="P10" s="39">
        <f t="shared" si="2"/>
        <v>1560</v>
      </c>
      <c r="Q10" s="77">
        <f t="shared" si="3"/>
        <v>6.4846416399999995E-2</v>
      </c>
      <c r="R10" s="90">
        <f t="shared" si="5"/>
        <v>121770922.90110008</v>
      </c>
    </row>
    <row r="11" spans="1:18" ht="17.25" thickBot="1">
      <c r="A11" s="40" t="s">
        <v>234</v>
      </c>
      <c r="B11" s="11" t="s">
        <v>235</v>
      </c>
      <c r="C11" s="95">
        <v>54.7</v>
      </c>
      <c r="D11" s="92">
        <v>5.5984555999999998E-2</v>
      </c>
      <c r="E11" s="93">
        <v>679826209.97542596</v>
      </c>
      <c r="F11" s="35"/>
      <c r="G11" s="274"/>
      <c r="H11" s="277"/>
      <c r="I11" s="278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크립토닷컴체인</v>
      </c>
      <c r="P11" s="45">
        <f t="shared" si="2"/>
        <v>149</v>
      </c>
      <c r="Q11" s="80">
        <f t="shared" si="3"/>
        <v>6.4285714300000005E-2</v>
      </c>
      <c r="R11" s="99">
        <f t="shared" si="5"/>
        <v>70178283.026569098</v>
      </c>
    </row>
    <row r="12" spans="1:18" ht="17.25" thickBot="1">
      <c r="A12" s="40" t="s">
        <v>236</v>
      </c>
      <c r="B12" s="11" t="s">
        <v>237</v>
      </c>
      <c r="C12" s="95">
        <v>489</v>
      </c>
      <c r="D12" s="92">
        <v>4.7109207700000003E-2</v>
      </c>
      <c r="E12" s="93">
        <v>124851727.62509599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톤</v>
      </c>
      <c r="P12" s="39">
        <f t="shared" si="2"/>
        <v>6435</v>
      </c>
      <c r="Q12" s="77">
        <f t="shared" si="3"/>
        <v>6.2758051199999998E-2</v>
      </c>
      <c r="R12" s="86">
        <f t="shared" si="5"/>
        <v>8280318.9170151604</v>
      </c>
    </row>
    <row r="13" spans="1:18" ht="17.25" thickBot="1">
      <c r="A13" s="40" t="s">
        <v>161</v>
      </c>
      <c r="B13" s="11" t="s">
        <v>162</v>
      </c>
      <c r="C13" s="95">
        <v>79.7</v>
      </c>
      <c r="D13" s="92">
        <v>4.3193717299999997E-2</v>
      </c>
      <c r="E13" s="93">
        <v>394459761.97741461</v>
      </c>
      <c r="F13" s="35"/>
      <c r="G13" s="227" t="s">
        <v>70</v>
      </c>
      <c r="H13" s="228"/>
      <c r="I13" s="22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메디블록</v>
      </c>
      <c r="P13" s="39">
        <f t="shared" si="2"/>
        <v>57.1</v>
      </c>
      <c r="Q13" s="77">
        <f t="shared" si="3"/>
        <v>5.9369202199999999E-2</v>
      </c>
      <c r="R13" s="86">
        <f t="shared" si="5"/>
        <v>962851886.28228116</v>
      </c>
    </row>
    <row r="14" spans="1:18">
      <c r="A14" s="40" t="s">
        <v>139</v>
      </c>
      <c r="B14" s="11" t="s">
        <v>140</v>
      </c>
      <c r="C14" s="95">
        <v>4990</v>
      </c>
      <c r="D14" s="92">
        <v>3.9583333300000002E-2</v>
      </c>
      <c r="E14" s="93">
        <v>807593.35614815995</v>
      </c>
      <c r="F14" s="35"/>
      <c r="G14" s="255" t="s">
        <v>36</v>
      </c>
      <c r="H14" s="256"/>
      <c r="I14" s="257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메탈</v>
      </c>
      <c r="P14" s="39">
        <f t="shared" si="2"/>
        <v>1955</v>
      </c>
      <c r="Q14" s="77">
        <f t="shared" si="3"/>
        <v>5.6756756800000002E-2</v>
      </c>
      <c r="R14" s="86">
        <f t="shared" si="5"/>
        <v>24284976.82103119</v>
      </c>
    </row>
    <row r="15" spans="1:18" ht="17.25" thickBot="1">
      <c r="A15" s="40" t="s">
        <v>173</v>
      </c>
      <c r="B15" s="11" t="s">
        <v>174</v>
      </c>
      <c r="C15" s="95">
        <v>226</v>
      </c>
      <c r="D15" s="92">
        <v>3.6697247699999998E-2</v>
      </c>
      <c r="E15" s="93">
        <v>92987936.46903722</v>
      </c>
      <c r="F15" s="35"/>
      <c r="G15" s="248"/>
      <c r="H15" s="249"/>
      <c r="I15" s="25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썸씽</v>
      </c>
      <c r="P15" s="37">
        <f t="shared" si="2"/>
        <v>54.7</v>
      </c>
      <c r="Q15" s="79">
        <f t="shared" si="3"/>
        <v>5.5984555999999998E-2</v>
      </c>
      <c r="R15" s="87">
        <f t="shared" si="5"/>
        <v>679826209.97542596</v>
      </c>
    </row>
    <row r="16" spans="1:18" ht="17.25" thickBot="1">
      <c r="A16" s="40" t="s">
        <v>203</v>
      </c>
      <c r="B16" s="11" t="s">
        <v>204</v>
      </c>
      <c r="C16" s="95">
        <v>12</v>
      </c>
      <c r="D16" s="92">
        <v>3.4482758600000003E-2</v>
      </c>
      <c r="E16" s="93">
        <v>913144615.83959937</v>
      </c>
      <c r="F16" s="35"/>
      <c r="G16" s="9" t="s">
        <v>38</v>
      </c>
      <c r="H16" s="228" t="s">
        <v>37</v>
      </c>
      <c r="I16" s="22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스팀</v>
      </c>
      <c r="P16" s="38">
        <f t="shared" si="2"/>
        <v>489</v>
      </c>
      <c r="Q16" s="76">
        <f t="shared" si="3"/>
        <v>4.7109207700000003E-2</v>
      </c>
      <c r="R16" s="85">
        <f t="shared" si="5"/>
        <v>124851727.62509599</v>
      </c>
    </row>
    <row r="17" spans="1:18">
      <c r="A17" s="40" t="s">
        <v>223</v>
      </c>
      <c r="B17" s="11" t="s">
        <v>224</v>
      </c>
      <c r="C17" s="95">
        <v>2990</v>
      </c>
      <c r="D17" s="92">
        <v>3.1034482799999999E-2</v>
      </c>
      <c r="E17" s="93">
        <v>1532747.5287778401</v>
      </c>
      <c r="F17" s="35"/>
      <c r="G17" s="273">
        <f>_xlfn.IFNA(VLOOKUP(G14, $B$2:$D$200, 3, FALSE), "-")</f>
        <v>7.3184273000000003E-3</v>
      </c>
      <c r="H17" s="275">
        <f>_xlfn.IFNA(VLOOKUP(G14, $B$2:$D$200, 2, FALSE), "-")</f>
        <v>39916000</v>
      </c>
      <c r="I17" s="276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스테이터스네트워크토큰</v>
      </c>
      <c r="P17" s="39">
        <f t="shared" si="2"/>
        <v>79.7</v>
      </c>
      <c r="Q17" s="77">
        <f t="shared" si="3"/>
        <v>4.3193717299999997E-2</v>
      </c>
      <c r="R17" s="86">
        <f t="shared" si="5"/>
        <v>394459761.97741461</v>
      </c>
    </row>
    <row r="18" spans="1:18" ht="17.25" thickBot="1">
      <c r="A18" s="40" t="s">
        <v>246</v>
      </c>
      <c r="B18" s="11" t="s">
        <v>247</v>
      </c>
      <c r="C18" s="95">
        <v>7175</v>
      </c>
      <c r="D18" s="92">
        <v>3.0150753799999999E-2</v>
      </c>
      <c r="E18" s="93">
        <v>4634147.1147977998</v>
      </c>
      <c r="F18" s="35"/>
      <c r="G18" s="274"/>
      <c r="H18" s="277"/>
      <c r="I18" s="278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오미세고</v>
      </c>
      <c r="P18" s="39">
        <f t="shared" si="2"/>
        <v>4990</v>
      </c>
      <c r="Q18" s="77">
        <f t="shared" si="3"/>
        <v>3.9583333300000002E-2</v>
      </c>
      <c r="R18" s="86">
        <f t="shared" si="5"/>
        <v>807593.35614815995</v>
      </c>
    </row>
    <row r="19" spans="1:18" ht="17.25" thickBot="1">
      <c r="A19" s="40" t="s">
        <v>217</v>
      </c>
      <c r="B19" s="11" t="s">
        <v>218</v>
      </c>
      <c r="C19" s="95">
        <v>104</v>
      </c>
      <c r="D19" s="92">
        <v>2.9702970299999999E-2</v>
      </c>
      <c r="E19" s="93">
        <v>99545893.013418302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파워렛저</v>
      </c>
      <c r="P19" s="39">
        <f t="shared" si="2"/>
        <v>226</v>
      </c>
      <c r="Q19" s="77">
        <f t="shared" si="3"/>
        <v>3.6697247699999998E-2</v>
      </c>
      <c r="R19" s="86">
        <f t="shared" si="5"/>
        <v>92987936.46903722</v>
      </c>
    </row>
    <row r="20" spans="1:18" ht="17.25" thickBot="1">
      <c r="A20" s="40" t="s">
        <v>207</v>
      </c>
      <c r="B20" s="11" t="s">
        <v>208</v>
      </c>
      <c r="C20" s="95">
        <v>9.76</v>
      </c>
      <c r="D20" s="92">
        <v>2.9535865000000001E-2</v>
      </c>
      <c r="E20" s="93">
        <v>540690592.53909171</v>
      </c>
      <c r="F20" s="35"/>
      <c r="G20" s="227" t="s">
        <v>257</v>
      </c>
      <c r="H20" s="228"/>
      <c r="I20" s="22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리퍼리움</v>
      </c>
      <c r="P20" s="39">
        <f t="shared" si="2"/>
        <v>12</v>
      </c>
      <c r="Q20" s="77">
        <f t="shared" si="3"/>
        <v>3.4482758600000003E-2</v>
      </c>
      <c r="R20" s="90">
        <f t="shared" si="5"/>
        <v>913144615.83959937</v>
      </c>
    </row>
    <row r="21" spans="1:18">
      <c r="A21" s="40" t="s">
        <v>177</v>
      </c>
      <c r="B21" s="11" t="s">
        <v>178</v>
      </c>
      <c r="C21" s="95">
        <v>14.3</v>
      </c>
      <c r="D21" s="92">
        <v>2.87769784E-2</v>
      </c>
      <c r="E21" s="93">
        <v>424955111.98661906</v>
      </c>
      <c r="F21" s="35"/>
      <c r="G21" s="255" t="s">
        <v>36</v>
      </c>
      <c r="H21" s="256"/>
      <c r="I21" s="257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리스크</v>
      </c>
      <c r="P21" s="45">
        <f t="shared" si="2"/>
        <v>2990</v>
      </c>
      <c r="Q21" s="80">
        <f t="shared" si="3"/>
        <v>3.1034482799999999E-2</v>
      </c>
      <c r="R21" s="99">
        <f t="shared" si="5"/>
        <v>1532747.5287778401</v>
      </c>
    </row>
    <row r="22" spans="1:18" ht="17.25" thickBot="1">
      <c r="A22" s="40" t="s">
        <v>205</v>
      </c>
      <c r="B22" s="11" t="s">
        <v>206</v>
      </c>
      <c r="C22" s="95">
        <v>226</v>
      </c>
      <c r="D22" s="92">
        <v>2.7272727300000001E-2</v>
      </c>
      <c r="E22" s="93">
        <v>56483707.185996369</v>
      </c>
      <c r="F22" s="35"/>
      <c r="G22" s="248"/>
      <c r="H22" s="249"/>
      <c r="I22" s="25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스팀달러</v>
      </c>
      <c r="P22" s="39">
        <f t="shared" si="2"/>
        <v>7175</v>
      </c>
      <c r="Q22" s="77">
        <f t="shared" si="3"/>
        <v>3.0150753799999999E-2</v>
      </c>
      <c r="R22" s="86">
        <f t="shared" si="5"/>
        <v>4634147.1147977998</v>
      </c>
    </row>
    <row r="23" spans="1:18" ht="17.25" thickBot="1">
      <c r="A23" s="40" t="s">
        <v>248</v>
      </c>
      <c r="B23" s="11" t="s">
        <v>249</v>
      </c>
      <c r="C23" s="95">
        <v>1950</v>
      </c>
      <c r="D23" s="92">
        <v>2.6315789499999999E-2</v>
      </c>
      <c r="E23" s="93">
        <v>5099742.9480964802</v>
      </c>
      <c r="F23" s="35"/>
      <c r="G23" s="9" t="s">
        <v>38</v>
      </c>
      <c r="H23" s="228" t="s">
        <v>37</v>
      </c>
      <c r="I23" s="22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휴먼스케이프</v>
      </c>
      <c r="P23" s="39">
        <f t="shared" si="2"/>
        <v>104</v>
      </c>
      <c r="Q23" s="77">
        <f t="shared" si="3"/>
        <v>2.9702970299999999E-2</v>
      </c>
      <c r="R23" s="86">
        <f t="shared" si="5"/>
        <v>99545893.013418302</v>
      </c>
    </row>
    <row r="24" spans="1:18">
      <c r="A24" s="40" t="s">
        <v>163</v>
      </c>
      <c r="B24" s="11" t="s">
        <v>164</v>
      </c>
      <c r="C24" s="95">
        <v>241</v>
      </c>
      <c r="D24" s="92">
        <v>2.5531914900000001E-2</v>
      </c>
      <c r="E24" s="93">
        <v>8285285.4059619</v>
      </c>
      <c r="F24" s="35"/>
      <c r="G24" s="273">
        <f>_xlfn.IFNA(VLOOKUP(G21, $B$2:$D$200, 3, FALSE), "-")</f>
        <v>7.3184273000000003E-3</v>
      </c>
      <c r="H24" s="275">
        <f>_xlfn.IFNA(VLOOKUP(G21, $B$2:$D$200, 2, FALSE), "-")</f>
        <v>39916000</v>
      </c>
      <c r="I24" s="276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메인프레임</v>
      </c>
      <c r="P24" s="39">
        <f t="shared" si="2"/>
        <v>9.76</v>
      </c>
      <c r="Q24" s="77">
        <f t="shared" si="3"/>
        <v>2.9535865000000001E-2</v>
      </c>
      <c r="R24" s="86">
        <f t="shared" si="5"/>
        <v>540690592.53909171</v>
      </c>
    </row>
    <row r="25" spans="1:18" ht="17.25" thickBot="1">
      <c r="A25" s="40" t="s">
        <v>135</v>
      </c>
      <c r="B25" s="11" t="s">
        <v>136</v>
      </c>
      <c r="C25" s="95">
        <v>1810</v>
      </c>
      <c r="D25" s="92">
        <v>2.54957507E-2</v>
      </c>
      <c r="E25" s="93">
        <v>867887.89363205002</v>
      </c>
      <c r="F25" s="35"/>
      <c r="G25" s="274"/>
      <c r="H25" s="277"/>
      <c r="I25" s="278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에브리피디아</v>
      </c>
      <c r="P25" s="37">
        <f t="shared" si="2"/>
        <v>14.3</v>
      </c>
      <c r="Q25" s="79">
        <f t="shared" si="3"/>
        <v>2.87769784E-2</v>
      </c>
      <c r="R25" s="87">
        <f t="shared" si="5"/>
        <v>424955111.98661906</v>
      </c>
    </row>
    <row r="26" spans="1:18">
      <c r="A26" s="40" t="s">
        <v>109</v>
      </c>
      <c r="B26" s="11" t="s">
        <v>110</v>
      </c>
      <c r="C26" s="95">
        <v>122</v>
      </c>
      <c r="D26" s="92">
        <v>2.5210084000000001E-2</v>
      </c>
      <c r="E26" s="93">
        <v>165527317.62930387</v>
      </c>
      <c r="F26" s="35"/>
    </row>
    <row r="27" spans="1:18" ht="17.25" thickBot="1">
      <c r="A27" s="40" t="s">
        <v>83</v>
      </c>
      <c r="B27" s="11" t="s">
        <v>84</v>
      </c>
      <c r="C27" s="95">
        <v>4795</v>
      </c>
      <c r="D27" s="92">
        <v>2.45726496E-2</v>
      </c>
      <c r="E27" s="93">
        <v>18819867.241288319</v>
      </c>
      <c r="F27" s="35"/>
    </row>
    <row r="28" spans="1:18" ht="17.25" thickBot="1">
      <c r="A28" s="40" t="s">
        <v>141</v>
      </c>
      <c r="B28" s="11" t="s">
        <v>142</v>
      </c>
      <c r="C28" s="95">
        <v>6995</v>
      </c>
      <c r="D28" s="92">
        <v>2.4158125900000001E-2</v>
      </c>
      <c r="E28" s="93">
        <v>2198922.3853828502</v>
      </c>
      <c r="F28" s="35"/>
      <c r="G28" s="227" t="s">
        <v>46</v>
      </c>
      <c r="H28" s="228"/>
      <c r="I28" s="228"/>
      <c r="J28" s="229"/>
      <c r="K28" s="227" t="s">
        <v>44</v>
      </c>
      <c r="L28" s="228"/>
      <c r="M28" s="228"/>
      <c r="N28" s="229"/>
      <c r="O28" s="227" t="s">
        <v>45</v>
      </c>
      <c r="P28" s="228"/>
      <c r="Q28" s="228"/>
      <c r="R28" s="229"/>
    </row>
    <row r="29" spans="1:18" ht="17.25" thickBot="1">
      <c r="A29" s="40" t="s">
        <v>68</v>
      </c>
      <c r="B29" s="11" t="s">
        <v>69</v>
      </c>
      <c r="C29" s="95">
        <v>3780</v>
      </c>
      <c r="D29" s="92">
        <v>2.1621621600000002E-2</v>
      </c>
      <c r="E29" s="93">
        <v>800046.44881702005</v>
      </c>
      <c r="F29" s="35"/>
      <c r="G29" s="264" t="s">
        <v>55</v>
      </c>
      <c r="H29" s="280">
        <f ca="1">NOW()</f>
        <v>44389.02419236111</v>
      </c>
      <c r="I29" s="281"/>
      <c r="J29" s="282"/>
      <c r="K29" s="279" t="s">
        <v>55</v>
      </c>
      <c r="L29" s="280">
        <f ca="1">NOW()</f>
        <v>44389.02419236111</v>
      </c>
      <c r="M29" s="281"/>
      <c r="N29" s="282"/>
      <c r="O29" s="279" t="s">
        <v>55</v>
      </c>
      <c r="P29" s="280">
        <f ca="1">NOW()</f>
        <v>44389.02419236111</v>
      </c>
      <c r="Q29" s="281"/>
      <c r="R29" s="282"/>
    </row>
    <row r="30" spans="1:18" ht="17.25" thickBot="1">
      <c r="A30" s="40" t="s">
        <v>127</v>
      </c>
      <c r="B30" s="11" t="s">
        <v>128</v>
      </c>
      <c r="C30" s="95">
        <v>91.5</v>
      </c>
      <c r="D30" s="92">
        <v>2.1205357099999999E-2</v>
      </c>
      <c r="E30" s="93">
        <v>161157510.35479695</v>
      </c>
      <c r="F30" s="35"/>
      <c r="G30" s="272"/>
      <c r="H30" s="36" t="s">
        <v>58</v>
      </c>
      <c r="I30" s="73" t="s">
        <v>59</v>
      </c>
      <c r="J30" s="69" t="s">
        <v>265</v>
      </c>
      <c r="K30" s="272"/>
      <c r="L30" s="36" t="s">
        <v>58</v>
      </c>
      <c r="M30" s="73" t="s">
        <v>59</v>
      </c>
      <c r="N30" s="69" t="s">
        <v>265</v>
      </c>
      <c r="O30" s="272"/>
      <c r="P30" s="36" t="s">
        <v>58</v>
      </c>
      <c r="Q30" s="73" t="s">
        <v>59</v>
      </c>
      <c r="R30" s="69" t="s">
        <v>265</v>
      </c>
    </row>
    <row r="31" spans="1:18">
      <c r="A31" s="40" t="s">
        <v>101</v>
      </c>
      <c r="B31" s="11" t="s">
        <v>102</v>
      </c>
      <c r="C31" s="95">
        <v>831</v>
      </c>
      <c r="D31" s="92">
        <v>2.0884520899999998E-2</v>
      </c>
      <c r="E31" s="93">
        <v>3903705.5468047201</v>
      </c>
      <c r="F31" s="35"/>
      <c r="G31" s="55" t="str">
        <f ca="1">IFERROR(OFFSET(INDIRECT($H$3 &amp; "!A98"), 0, 0), "")</f>
        <v>플로우</v>
      </c>
      <c r="H31" s="38">
        <f t="shared" ref="H31:H50" ca="1" si="7">_xlfn.IFNA(VLOOKUP(G31, $B$2:$D$200, 2, FALSE), "")</f>
        <v>21640</v>
      </c>
      <c r="I31" s="76">
        <f t="shared" ref="I31:I50" ca="1" si="8">_xlfn.IFNA(VLOOKUP(G31, $B$2:$D$200, 3, FALSE), "")</f>
        <v>-2.5664115299999998E-2</v>
      </c>
      <c r="J31" s="85">
        <f ca="1">_xlfn.IFNA(VLOOKUP(G31, $B$2:$E$200, 4, FALSE), "")</f>
        <v>17831272.631281208</v>
      </c>
      <c r="K31" s="55" t="str">
        <f ca="1">IFERROR(OFFSET(INDIRECT($H$3 &amp; "!A44"), 0, 0), "")</f>
        <v>에스티피</v>
      </c>
      <c r="L31" s="38">
        <f t="shared" ref="L31:L50" ca="1" si="9">_xlfn.IFNA(VLOOKUP(K31, $B$2:$D$200, 2, FALSE), "")</f>
        <v>53.9</v>
      </c>
      <c r="M31" s="76">
        <f t="shared" ref="M31:M50" ca="1" si="10">_xlfn.IFNA(VLOOKUP(K31, $B$2:$D$200, 3, FALSE), "")</f>
        <v>-1.82149362E-2</v>
      </c>
      <c r="N31" s="85">
        <f ca="1">_xlfn.IFNA(VLOOKUP(K31, $B$2:$E$200, 4, FALSE), "")</f>
        <v>253667953.46753153</v>
      </c>
      <c r="O31" s="55" t="str">
        <f ca="1">IFERROR(OFFSET(INDIRECT($H$3 &amp; "!A71"), 0, 0), "")</f>
        <v>디센트럴랜드</v>
      </c>
      <c r="P31" s="38">
        <f t="shared" ref="P31:P50" ca="1" si="11">_xlfn.IFNA(VLOOKUP(O31, $B$2:$D$200, 2, FALSE), "")</f>
        <v>870</v>
      </c>
      <c r="Q31" s="76">
        <f t="shared" ref="Q31:Q50" ca="1" si="12">_xlfn.IFNA(VLOOKUP(O31, $B$2:$D$200, 3, FALSE), "")</f>
        <v>-1.6949152499999998E-2</v>
      </c>
      <c r="R31" s="85">
        <f ca="1">_xlfn.IFNA(VLOOKUP(O31, $B$2:$E$200, 4, FALSE), "")</f>
        <v>64975773.878899448</v>
      </c>
    </row>
    <row r="32" spans="1:18">
      <c r="A32" s="40" t="s">
        <v>64</v>
      </c>
      <c r="B32" s="11" t="s">
        <v>65</v>
      </c>
      <c r="C32" s="95">
        <v>25</v>
      </c>
      <c r="D32" s="92">
        <v>2.0408163300000001E-2</v>
      </c>
      <c r="E32" s="93">
        <v>59668076.324108481</v>
      </c>
      <c r="F32" s="35"/>
      <c r="G32" s="56" t="str">
        <f ca="1">IFERROR(OFFSET(INDIRECT($H$3 &amp; "!A98"), 1, 0), "")</f>
        <v>에스티피</v>
      </c>
      <c r="H32" s="39">
        <f t="shared" ca="1" si="7"/>
        <v>53.9</v>
      </c>
      <c r="I32" s="77">
        <f t="shared" ca="1" si="8"/>
        <v>-1.82149362E-2</v>
      </c>
      <c r="J32" s="86">
        <f t="shared" ref="J32:J50" ca="1" si="13">_xlfn.IFNA(VLOOKUP(G32, $B$2:$E$200, 4, FALSE), "")</f>
        <v>253667953.46753153</v>
      </c>
      <c r="K32" s="56" t="str">
        <f ca="1">IFERROR(OFFSET(INDIRECT($H$3 &amp; "!A44"), 1, 0), "")</f>
        <v>아하토큰</v>
      </c>
      <c r="L32" s="39">
        <f t="shared" ca="1" si="9"/>
        <v>9.5</v>
      </c>
      <c r="M32" s="77">
        <f t="shared" ca="1" si="10"/>
        <v>-2.5641025599999999E-2</v>
      </c>
      <c r="N32" s="86">
        <f t="shared" ref="N32:N50" ca="1" si="14">_xlfn.IFNA(VLOOKUP(K32, $B$2:$E$200, 4, FALSE), "")</f>
        <v>701215073.64674616</v>
      </c>
      <c r="O32" s="56" t="str">
        <f ca="1">IFERROR(OFFSET(INDIRECT($H$3 &amp; "!A71"), 1, 0), "")</f>
        <v>스팀</v>
      </c>
      <c r="P32" s="39">
        <f t="shared" ca="1" si="11"/>
        <v>489</v>
      </c>
      <c r="Q32" s="77">
        <f t="shared" ca="1" si="12"/>
        <v>4.7109207700000003E-2</v>
      </c>
      <c r="R32" s="86">
        <f t="shared" ref="R32:R50" ca="1" si="15">_xlfn.IFNA(VLOOKUP(O32, $B$2:$E$200, 4, FALSE), "")</f>
        <v>124851727.62509599</v>
      </c>
    </row>
    <row r="33" spans="1:18">
      <c r="A33" s="40" t="s">
        <v>225</v>
      </c>
      <c r="B33" s="11" t="s">
        <v>226</v>
      </c>
      <c r="C33" s="95">
        <v>1295</v>
      </c>
      <c r="D33" s="92">
        <v>1.96850394E-2</v>
      </c>
      <c r="E33" s="93">
        <v>3716961.0304482202</v>
      </c>
      <c r="F33" s="35"/>
      <c r="G33" s="56" t="str">
        <f ca="1">IFERROR(OFFSET(INDIRECT($H$3 &amp; "!A98"), 2, 0), "")</f>
        <v>디센트럴랜드</v>
      </c>
      <c r="H33" s="39">
        <f t="shared" ca="1" si="7"/>
        <v>870</v>
      </c>
      <c r="I33" s="77">
        <f t="shared" ca="1" si="8"/>
        <v>-1.6949152499999998E-2</v>
      </c>
      <c r="J33" s="86">
        <f t="shared" ca="1" si="13"/>
        <v>64975773.878899448</v>
      </c>
      <c r="K33" s="56" t="str">
        <f ca="1">IFERROR(OFFSET(INDIRECT($H$3 &amp; "!A44"), 2, 0), "")</f>
        <v>메인프레임</v>
      </c>
      <c r="L33" s="39">
        <f t="shared" ca="1" si="9"/>
        <v>9.76</v>
      </c>
      <c r="M33" s="77">
        <f t="shared" ca="1" si="10"/>
        <v>2.9535865000000001E-2</v>
      </c>
      <c r="N33" s="86">
        <f t="shared" ca="1" si="14"/>
        <v>540690592.53909171</v>
      </c>
      <c r="O33" s="56" t="str">
        <f ca="1">IFERROR(OFFSET(INDIRECT($H$3 &amp; "!A71"), 2, 0), "")</f>
        <v>디카르고</v>
      </c>
      <c r="P33" s="39">
        <f t="shared" ca="1" si="11"/>
        <v>122</v>
      </c>
      <c r="Q33" s="77">
        <f t="shared" ca="1" si="12"/>
        <v>2.5210084000000001E-2</v>
      </c>
      <c r="R33" s="86">
        <f t="shared" ca="1" si="15"/>
        <v>165527317.62930387</v>
      </c>
    </row>
    <row r="34" spans="1:18">
      <c r="A34" s="40" t="s">
        <v>211</v>
      </c>
      <c r="B34" s="11" t="s">
        <v>212</v>
      </c>
      <c r="C34" s="95">
        <v>1040</v>
      </c>
      <c r="D34" s="92">
        <v>1.9607843100000001E-2</v>
      </c>
      <c r="E34" s="93">
        <v>12953747.64642985</v>
      </c>
      <c r="F34" s="35"/>
      <c r="G34" s="56" t="str">
        <f ca="1">IFERROR(OFFSET(INDIRECT($H$3 &amp; "!A98"), 3, 0), "")</f>
        <v>스택스</v>
      </c>
      <c r="H34" s="39">
        <f t="shared" ca="1" si="7"/>
        <v>1560</v>
      </c>
      <c r="I34" s="77">
        <f t="shared" ca="1" si="8"/>
        <v>6.4846416399999995E-2</v>
      </c>
      <c r="J34" s="86">
        <f t="shared" ca="1" si="13"/>
        <v>121770922.90110008</v>
      </c>
      <c r="K34" s="56" t="str">
        <f ca="1">IFERROR(OFFSET(INDIRECT($H$3 &amp; "!A44"), 3, 0), "")</f>
        <v>썬더토큰</v>
      </c>
      <c r="L34" s="39">
        <f t="shared" ca="1" si="9"/>
        <v>9.6999999999999993</v>
      </c>
      <c r="M34" s="77">
        <f t="shared" ca="1" si="10"/>
        <v>-1.22199593E-2</v>
      </c>
      <c r="N34" s="86">
        <f t="shared" ca="1" si="14"/>
        <v>420983950.22488403</v>
      </c>
      <c r="O34" s="56" t="str">
        <f ca="1">IFERROR(OFFSET(INDIRECT($H$3 &amp; "!A71"), 3, 0), "")</f>
        <v>샌드박스</v>
      </c>
      <c r="P34" s="39">
        <f t="shared" ca="1" si="11"/>
        <v>562</v>
      </c>
      <c r="Q34" s="77">
        <f t="shared" ca="1" si="12"/>
        <v>-3.6020583199999998E-2</v>
      </c>
      <c r="R34" s="86">
        <f t="shared" ca="1" si="15"/>
        <v>197758737.94729596</v>
      </c>
    </row>
    <row r="35" spans="1:18">
      <c r="A35" s="40" t="s">
        <v>238</v>
      </c>
      <c r="B35" s="11" t="s">
        <v>239</v>
      </c>
      <c r="C35" s="95">
        <v>72.900000000000006</v>
      </c>
      <c r="D35" s="92">
        <v>1.9580419599999999E-2</v>
      </c>
      <c r="E35" s="93">
        <v>80493558.065753669</v>
      </c>
      <c r="F35" s="35"/>
      <c r="G35" s="58" t="str">
        <f ca="1">IFERROR(OFFSET(INDIRECT($H$3 &amp; "!A98"), 4, 0), "")</f>
        <v>엑시인피니티</v>
      </c>
      <c r="H35" s="44">
        <f t="shared" ca="1" si="7"/>
        <v>20740</v>
      </c>
      <c r="I35" s="78">
        <f t="shared" ca="1" si="8"/>
        <v>-5.2757793999999997E-3</v>
      </c>
      <c r="J35" s="90">
        <f t="shared" ca="1" si="13"/>
        <v>16185354.00635089</v>
      </c>
      <c r="K35" s="58" t="str">
        <f ca="1">IFERROR(OFFSET(INDIRECT($H$3 &amp; "!A44"), 4, 0), "")</f>
        <v>에브리피디아</v>
      </c>
      <c r="L35" s="44">
        <f t="shared" ca="1" si="9"/>
        <v>14.3</v>
      </c>
      <c r="M35" s="78">
        <f t="shared" ca="1" si="10"/>
        <v>2.87769784E-2</v>
      </c>
      <c r="N35" s="90">
        <f t="shared" ca="1" si="14"/>
        <v>424955111.98661906</v>
      </c>
      <c r="O35" s="58" t="str">
        <f ca="1">IFERROR(OFFSET(INDIRECT($H$3 &amp; "!A71"), 4, 0), "")</f>
        <v>모스코인</v>
      </c>
      <c r="P35" s="44">
        <f t="shared" ca="1" si="11"/>
        <v>109</v>
      </c>
      <c r="Q35" s="78">
        <f t="shared" ca="1" si="12"/>
        <v>1.8691588799999999E-2</v>
      </c>
      <c r="R35" s="90">
        <f t="shared" ca="1" si="15"/>
        <v>102264508.64809091</v>
      </c>
    </row>
    <row r="36" spans="1:18">
      <c r="A36" s="40" t="s">
        <v>169</v>
      </c>
      <c r="B36" s="11" t="s">
        <v>170</v>
      </c>
      <c r="C36" s="95">
        <v>17950</v>
      </c>
      <c r="D36" s="92">
        <v>1.9307211800000001E-2</v>
      </c>
      <c r="E36" s="93">
        <v>93657.9522612</v>
      </c>
      <c r="F36" s="35"/>
      <c r="G36" s="56" t="str">
        <f ca="1">IFERROR(OFFSET(INDIRECT($H$3 &amp; "!A98"), 5, 0), "")</f>
        <v>아하토큰</v>
      </c>
      <c r="H36" s="39">
        <f t="shared" ca="1" si="7"/>
        <v>9.5</v>
      </c>
      <c r="I36" s="77">
        <f t="shared" ca="1" si="8"/>
        <v>-2.5641025599999999E-2</v>
      </c>
      <c r="J36" s="99">
        <f t="shared" ca="1" si="13"/>
        <v>701215073.64674616</v>
      </c>
      <c r="K36" s="56" t="str">
        <f ca="1">IFERROR(OFFSET(INDIRECT($H$3 &amp; "!A44"), 5, 0), "")</f>
        <v>엠블</v>
      </c>
      <c r="L36" s="39">
        <f t="shared" ca="1" si="9"/>
        <v>14.5</v>
      </c>
      <c r="M36" s="77">
        <f t="shared" ca="1" si="10"/>
        <v>1.3986014E-2</v>
      </c>
      <c r="N36" s="99">
        <f t="shared" ca="1" si="14"/>
        <v>646252602.31844842</v>
      </c>
      <c r="O36" s="56" t="str">
        <f ca="1">IFERROR(OFFSET(INDIRECT($H$3 &amp; "!A71"), 5, 0), "")</f>
        <v>칠리즈</v>
      </c>
      <c r="P36" s="39">
        <f t="shared" ca="1" si="11"/>
        <v>305</v>
      </c>
      <c r="Q36" s="77">
        <f t="shared" ca="1" si="12"/>
        <v>9.9337747999999997E-3</v>
      </c>
      <c r="R36" s="99">
        <f t="shared" ca="1" si="15"/>
        <v>136110556.91999587</v>
      </c>
    </row>
    <row r="37" spans="1:18">
      <c r="A37" s="40" t="s">
        <v>221</v>
      </c>
      <c r="B37" s="11" t="s">
        <v>222</v>
      </c>
      <c r="C37" s="95">
        <v>109</v>
      </c>
      <c r="D37" s="92">
        <v>1.8691588799999999E-2</v>
      </c>
      <c r="E37" s="93">
        <v>102264508.64809091</v>
      </c>
      <c r="F37" s="35"/>
      <c r="G37" s="56" t="str">
        <f ca="1">IFERROR(OFFSET(INDIRECT($H$3 &amp; "!A98"), 6, 0), "")</f>
        <v>던프로토콜</v>
      </c>
      <c r="H37" s="39">
        <f t="shared" ca="1" si="7"/>
        <v>3680</v>
      </c>
      <c r="I37" s="77">
        <f t="shared" ca="1" si="8"/>
        <v>0</v>
      </c>
      <c r="J37" s="86">
        <f t="shared" ca="1" si="13"/>
        <v>36611715.795000523</v>
      </c>
      <c r="K37" s="56" t="str">
        <f ca="1">IFERROR(OFFSET(INDIRECT($H$3 &amp; "!A44"), 6, 0), "")</f>
        <v>무비블록</v>
      </c>
      <c r="L37" s="39">
        <f t="shared" ca="1" si="9"/>
        <v>8.32</v>
      </c>
      <c r="M37" s="77">
        <f t="shared" ca="1" si="10"/>
        <v>1.4634146299999999E-2</v>
      </c>
      <c r="N37" s="86">
        <f t="shared" ca="1" si="14"/>
        <v>1043069897.5339459</v>
      </c>
      <c r="O37" s="56" t="str">
        <f ca="1">IFERROR(OFFSET(INDIRECT($H$3 &amp; "!A71"), 6, 0), "")</f>
        <v>보라</v>
      </c>
      <c r="P37" s="39">
        <f t="shared" ca="1" si="11"/>
        <v>139</v>
      </c>
      <c r="Q37" s="77">
        <f t="shared" ca="1" si="12"/>
        <v>1.45985401E-2</v>
      </c>
      <c r="R37" s="86">
        <f t="shared" ca="1" si="15"/>
        <v>262069737.65540934</v>
      </c>
    </row>
    <row r="38" spans="1:18">
      <c r="A38" s="40" t="s">
        <v>199</v>
      </c>
      <c r="B38" s="11" t="s">
        <v>200</v>
      </c>
      <c r="C38" s="95">
        <v>113</v>
      </c>
      <c r="D38" s="92">
        <v>1.8018018E-2</v>
      </c>
      <c r="E38" s="93">
        <v>69128200.726837516</v>
      </c>
      <c r="F38" s="35"/>
      <c r="G38" s="56" t="str">
        <f ca="1">IFERROR(OFFSET(INDIRECT($H$3 &amp; "!A98"), 7, 0), "")</f>
        <v>스팀</v>
      </c>
      <c r="H38" s="39">
        <f t="shared" ca="1" si="7"/>
        <v>489</v>
      </c>
      <c r="I38" s="77">
        <f t="shared" ca="1" si="8"/>
        <v>4.7109207700000003E-2</v>
      </c>
      <c r="J38" s="86">
        <f t="shared" ca="1" si="13"/>
        <v>124851727.62509599</v>
      </c>
      <c r="K38" s="56" t="str">
        <f ca="1">IFERROR(OFFSET(INDIRECT($H$3 &amp; "!A44"), 7, 0), "")</f>
        <v>캐리프로토콜</v>
      </c>
      <c r="L38" s="39">
        <f t="shared" ca="1" si="9"/>
        <v>9.32</v>
      </c>
      <c r="M38" s="77">
        <f t="shared" ca="1" si="10"/>
        <v>1.0741138999999999E-3</v>
      </c>
      <c r="N38" s="86">
        <f t="shared" ca="1" si="14"/>
        <v>628869853.65250695</v>
      </c>
      <c r="O38" s="56" t="str">
        <f ca="1">IFERROR(OFFSET(INDIRECT($H$3 &amp; "!A71"), 7, 0), "")</f>
        <v>하이브</v>
      </c>
      <c r="P38" s="39">
        <f t="shared" ca="1" si="11"/>
        <v>372</v>
      </c>
      <c r="Q38" s="77">
        <f t="shared" ca="1" si="12"/>
        <v>2.6954178000000001E-3</v>
      </c>
      <c r="R38" s="86">
        <f t="shared" ca="1" si="15"/>
        <v>31721573.7836105</v>
      </c>
    </row>
    <row r="39" spans="1:18">
      <c r="A39" s="40" t="s">
        <v>145</v>
      </c>
      <c r="B39" s="11" t="s">
        <v>146</v>
      </c>
      <c r="C39" s="95">
        <v>2295</v>
      </c>
      <c r="D39" s="92">
        <v>1.7738359200000001E-2</v>
      </c>
      <c r="E39" s="93">
        <v>1552755.5616178999</v>
      </c>
      <c r="F39" s="35"/>
      <c r="G39" s="56" t="str">
        <f ca="1">IFERROR(OFFSET(INDIRECT($H$3 &amp; "!A98"), 8, 0), "")</f>
        <v>엔진코인</v>
      </c>
      <c r="H39" s="39">
        <f t="shared" ca="1" si="7"/>
        <v>1635</v>
      </c>
      <c r="I39" s="77">
        <f t="shared" ca="1" si="8"/>
        <v>7.9207920799999998E-2</v>
      </c>
      <c r="J39" s="86">
        <f t="shared" ca="1" si="13"/>
        <v>13817610.43187744</v>
      </c>
      <c r="K39" s="56" t="str">
        <f ca="1">IFERROR(OFFSET(INDIRECT($H$3 &amp; "!A44"), 8, 0), "")</f>
        <v>스톰엑스</v>
      </c>
      <c r="L39" s="39">
        <f t="shared" ca="1" si="9"/>
        <v>22.1</v>
      </c>
      <c r="M39" s="77">
        <f t="shared" ca="1" si="10"/>
        <v>4.5454544999999997E-3</v>
      </c>
      <c r="N39" s="86">
        <f t="shared" ca="1" si="14"/>
        <v>154939563.93902776</v>
      </c>
      <c r="O39" s="56" t="str">
        <f ca="1">IFERROR(OFFSET(INDIRECT($H$3 &amp; "!A71"), 8, 0), "")</f>
        <v>센티넬프로토콜</v>
      </c>
      <c r="P39" s="39">
        <f t="shared" ca="1" si="11"/>
        <v>169</v>
      </c>
      <c r="Q39" s="77">
        <f t="shared" ca="1" si="12"/>
        <v>-2.3121387300000001E-2</v>
      </c>
      <c r="R39" s="86">
        <f t="shared" ca="1" si="15"/>
        <v>113890532.62104782</v>
      </c>
    </row>
    <row r="40" spans="1:18" ht="17.25" thickBot="1">
      <c r="A40" s="40" t="s">
        <v>181</v>
      </c>
      <c r="B40" s="11" t="s">
        <v>182</v>
      </c>
      <c r="C40" s="95">
        <v>49300</v>
      </c>
      <c r="D40" s="92">
        <v>1.7333883599999999E-2</v>
      </c>
      <c r="E40" s="93">
        <v>311071.27770177001</v>
      </c>
      <c r="F40" s="35"/>
      <c r="G40" s="57" t="str">
        <f ca="1">IFERROR(OFFSET(INDIRECT($H$3 &amp; "!A98"), 9, 0), "")</f>
        <v>디카르고</v>
      </c>
      <c r="H40" s="37">
        <f t="shared" ca="1" si="7"/>
        <v>122</v>
      </c>
      <c r="I40" s="79">
        <f t="shared" ca="1" si="8"/>
        <v>2.5210084000000001E-2</v>
      </c>
      <c r="J40" s="87">
        <f t="shared" ca="1" si="13"/>
        <v>165527317.62930387</v>
      </c>
      <c r="K40" s="57" t="str">
        <f ca="1">IFERROR(OFFSET(INDIRECT($H$3 &amp; "!A44"), 9, 0), "")</f>
        <v>썸씽</v>
      </c>
      <c r="L40" s="37">
        <f t="shared" ca="1" si="9"/>
        <v>54.7</v>
      </c>
      <c r="M40" s="79">
        <f t="shared" ca="1" si="10"/>
        <v>5.5984555999999998E-2</v>
      </c>
      <c r="N40" s="87">
        <f t="shared" ca="1" si="14"/>
        <v>679826209.97542596</v>
      </c>
      <c r="O40" s="57" t="str">
        <f ca="1">IFERROR(OFFSET(INDIRECT($H$3 &amp; "!A71"), 9, 0), "")</f>
        <v>크립토닷컴체인</v>
      </c>
      <c r="P40" s="37">
        <f t="shared" ca="1" si="11"/>
        <v>149</v>
      </c>
      <c r="Q40" s="79">
        <f t="shared" ca="1" si="12"/>
        <v>6.4285714300000005E-2</v>
      </c>
      <c r="R40" s="87">
        <f t="shared" ca="1" si="15"/>
        <v>70178283.026569098</v>
      </c>
    </row>
    <row r="41" spans="1:18">
      <c r="A41" s="40" t="s">
        <v>191</v>
      </c>
      <c r="B41" s="11" t="s">
        <v>192</v>
      </c>
      <c r="C41" s="95">
        <v>184</v>
      </c>
      <c r="D41" s="92">
        <v>1.65745856E-2</v>
      </c>
      <c r="E41" s="93">
        <v>36016010.12028686</v>
      </c>
      <c r="F41" s="35"/>
      <c r="G41" s="59" t="str">
        <f ca="1">IFERROR(OFFSET(INDIRECT($H$3 &amp; "!A98"), 10, 0), "")</f>
        <v>샌드박스</v>
      </c>
      <c r="H41" s="38">
        <f t="shared" ca="1" si="7"/>
        <v>562</v>
      </c>
      <c r="I41" s="76">
        <f t="shared" ca="1" si="8"/>
        <v>-3.6020583199999998E-2</v>
      </c>
      <c r="J41" s="85">
        <f t="shared" ca="1" si="13"/>
        <v>197758737.94729596</v>
      </c>
      <c r="K41" s="55" t="str">
        <f ca="1">IFERROR(OFFSET(INDIRECT($H$3 &amp; "!A44"), 10, 0), "")</f>
        <v>오브스</v>
      </c>
      <c r="L41" s="38">
        <f t="shared" ca="1" si="9"/>
        <v>81.8</v>
      </c>
      <c r="M41" s="76">
        <f t="shared" ca="1" si="10"/>
        <v>3.6809816E-3</v>
      </c>
      <c r="N41" s="85">
        <f t="shared" ca="1" si="14"/>
        <v>52728549.768174537</v>
      </c>
      <c r="O41" s="55" t="str">
        <f ca="1">IFERROR(OFFSET(INDIRECT($H$3 &amp; "!A71"), 10, 0), "")</f>
        <v>폴리매쓰</v>
      </c>
      <c r="P41" s="38">
        <f t="shared" ca="1" si="11"/>
        <v>226</v>
      </c>
      <c r="Q41" s="76">
        <f t="shared" ca="1" si="12"/>
        <v>2.7272727300000001E-2</v>
      </c>
      <c r="R41" s="85">
        <f t="shared" ca="1" si="15"/>
        <v>56483707.185996369</v>
      </c>
    </row>
    <row r="42" spans="1:18">
      <c r="A42" s="40" t="s">
        <v>115</v>
      </c>
      <c r="B42" s="11" t="s">
        <v>116</v>
      </c>
      <c r="C42" s="95">
        <v>5170</v>
      </c>
      <c r="D42" s="92">
        <v>1.5717092299999999E-2</v>
      </c>
      <c r="E42" s="93">
        <v>462402.93421276001</v>
      </c>
      <c r="F42" s="35"/>
      <c r="G42" s="56" t="str">
        <f ca="1">IFERROR(OFFSET(INDIRECT($H$3 &amp; "!A98"), 11, 0), "")</f>
        <v>메인프레임</v>
      </c>
      <c r="H42" s="39">
        <f t="shared" ca="1" si="7"/>
        <v>9.76</v>
      </c>
      <c r="I42" s="77">
        <f t="shared" ca="1" si="8"/>
        <v>2.9535865000000001E-2</v>
      </c>
      <c r="J42" s="86">
        <f t="shared" ca="1" si="13"/>
        <v>540690592.53909171</v>
      </c>
      <c r="K42" s="56" t="str">
        <f ca="1">IFERROR(OFFSET(INDIRECT($H$3 &amp; "!A44"), 11, 0), "")</f>
        <v>쿼크체인</v>
      </c>
      <c r="L42" s="39">
        <f t="shared" ca="1" si="9"/>
        <v>18.2</v>
      </c>
      <c r="M42" s="77">
        <f t="shared" ca="1" si="10"/>
        <v>0</v>
      </c>
      <c r="N42" s="86">
        <f t="shared" ca="1" si="14"/>
        <v>173561203.68691772</v>
      </c>
      <c r="O42" s="56" t="str">
        <f ca="1">IFERROR(OFFSET(INDIRECT($H$3 &amp; "!A71"), 11, 0), "")</f>
        <v>휴먼스케이프</v>
      </c>
      <c r="P42" s="39">
        <f t="shared" ca="1" si="11"/>
        <v>104</v>
      </c>
      <c r="Q42" s="77">
        <f t="shared" ca="1" si="12"/>
        <v>2.9702970299999999E-2</v>
      </c>
      <c r="R42" s="86">
        <f t="shared" ca="1" si="15"/>
        <v>99545893.013418302</v>
      </c>
    </row>
    <row r="43" spans="1:18">
      <c r="A43" s="40" t="s">
        <v>215</v>
      </c>
      <c r="B43" s="11" t="s">
        <v>216</v>
      </c>
      <c r="C43" s="95">
        <v>8.32</v>
      </c>
      <c r="D43" s="92">
        <v>1.4634146299999999E-2</v>
      </c>
      <c r="E43" s="93">
        <v>1043069897.5339459</v>
      </c>
      <c r="F43" s="35"/>
      <c r="G43" s="56" t="str">
        <f ca="1">IFERROR(OFFSET(INDIRECT($H$3 &amp; "!A98"), 12, 0), "")</f>
        <v>모스코인</v>
      </c>
      <c r="H43" s="39">
        <f t="shared" ca="1" si="7"/>
        <v>109</v>
      </c>
      <c r="I43" s="77">
        <f t="shared" ca="1" si="8"/>
        <v>1.8691588799999999E-2</v>
      </c>
      <c r="J43" s="86">
        <f t="shared" ca="1" si="13"/>
        <v>102264508.64809091</v>
      </c>
      <c r="K43" s="56" t="str">
        <f ca="1">IFERROR(OFFSET(INDIRECT($H$3 &amp; "!A44"), 12, 0), "")</f>
        <v>메디블록</v>
      </c>
      <c r="L43" s="39">
        <f t="shared" ca="1" si="9"/>
        <v>57.1</v>
      </c>
      <c r="M43" s="77">
        <f t="shared" ca="1" si="10"/>
        <v>5.9369202199999999E-2</v>
      </c>
      <c r="N43" s="86">
        <f t="shared" ca="1" si="14"/>
        <v>962851886.28228116</v>
      </c>
      <c r="O43" s="56" t="str">
        <f ca="1">IFERROR(OFFSET(INDIRECT($H$3 &amp; "!A71"), 12, 0), "")</f>
        <v>왁스</v>
      </c>
      <c r="P43" s="39">
        <f t="shared" ca="1" si="11"/>
        <v>153</v>
      </c>
      <c r="Q43" s="77">
        <f t="shared" ca="1" si="12"/>
        <v>-1.2903225799999999E-2</v>
      </c>
      <c r="R43" s="86">
        <f t="shared" ca="1" si="15"/>
        <v>20475941.047768328</v>
      </c>
    </row>
    <row r="44" spans="1:18">
      <c r="A44" s="40" t="s">
        <v>165</v>
      </c>
      <c r="B44" s="11" t="s">
        <v>166</v>
      </c>
      <c r="C44" s="95">
        <v>139</v>
      </c>
      <c r="D44" s="92">
        <v>1.45985401E-2</v>
      </c>
      <c r="E44" s="93">
        <v>262069737.65540934</v>
      </c>
      <c r="F44" s="35"/>
      <c r="G44" s="56" t="str">
        <f ca="1">IFERROR(OFFSET(INDIRECT($H$3 &amp; "!A98"), 13, 0), "")</f>
        <v>칠리즈</v>
      </c>
      <c r="H44" s="39">
        <f t="shared" ca="1" si="7"/>
        <v>305</v>
      </c>
      <c r="I44" s="77">
        <f t="shared" ca="1" si="8"/>
        <v>9.9337747999999997E-3</v>
      </c>
      <c r="J44" s="86">
        <f t="shared" ca="1" si="13"/>
        <v>136110556.91999587</v>
      </c>
      <c r="K44" s="56" t="str">
        <f ca="1">IFERROR(OFFSET(INDIRECT($H$3 &amp; "!A44"), 13, 0), "")</f>
        <v>비트토렌트</v>
      </c>
      <c r="L44" s="39">
        <f t="shared" ca="1" si="9"/>
        <v>2.97</v>
      </c>
      <c r="M44" s="77">
        <f t="shared" ca="1" si="10"/>
        <v>6.7796610000000002E-3</v>
      </c>
      <c r="N44" s="86">
        <f t="shared" ca="1" si="14"/>
        <v>3760950754.330946</v>
      </c>
      <c r="O44" s="56" t="str">
        <f ca="1">IFERROR(OFFSET(INDIRECT($H$3 &amp; "!A71"), 13, 0), "")</f>
        <v>온톨로지</v>
      </c>
      <c r="P44" s="39">
        <f t="shared" ca="1" si="11"/>
        <v>831</v>
      </c>
      <c r="Q44" s="77">
        <f t="shared" ca="1" si="12"/>
        <v>2.0884520899999998E-2</v>
      </c>
      <c r="R44" s="86">
        <f t="shared" ca="1" si="15"/>
        <v>3903705.5468047201</v>
      </c>
    </row>
    <row r="45" spans="1:18">
      <c r="A45" s="40" t="s">
        <v>189</v>
      </c>
      <c r="B45" s="11" t="s">
        <v>190</v>
      </c>
      <c r="C45" s="95">
        <v>14.5</v>
      </c>
      <c r="D45" s="92">
        <v>1.3986014E-2</v>
      </c>
      <c r="E45" s="93">
        <v>646252602.31844842</v>
      </c>
      <c r="F45" s="35"/>
      <c r="G45" s="58" t="str">
        <f ca="1">IFERROR(OFFSET(INDIRECT($H$3 &amp; "!A98"), 14, 0), "")</f>
        <v>코스모스</v>
      </c>
      <c r="H45" s="44">
        <f t="shared" ca="1" si="7"/>
        <v>17130</v>
      </c>
      <c r="I45" s="78">
        <f t="shared" ca="1" si="8"/>
        <v>5.8719905999999999E-3</v>
      </c>
      <c r="J45" s="90">
        <f t="shared" ca="1" si="13"/>
        <v>427471.22470904997</v>
      </c>
      <c r="K45" s="58" t="str">
        <f ca="1">IFERROR(OFFSET(INDIRECT($H$3 &amp; "!A44"), 14, 0), "")</f>
        <v>비체인</v>
      </c>
      <c r="L45" s="44">
        <f t="shared" ca="1" si="9"/>
        <v>91.5</v>
      </c>
      <c r="M45" s="78">
        <f t="shared" ca="1" si="10"/>
        <v>2.1205357099999999E-2</v>
      </c>
      <c r="N45" s="90">
        <f t="shared" ca="1" si="14"/>
        <v>161157510.35479695</v>
      </c>
      <c r="O45" s="58" t="str">
        <f ca="1">IFERROR(OFFSET(INDIRECT($H$3 &amp; "!A71"), 14, 0), "")</f>
        <v>제로엑스</v>
      </c>
      <c r="P45" s="44">
        <f t="shared" ca="1" si="11"/>
        <v>936</v>
      </c>
      <c r="Q45" s="78">
        <f t="shared" ca="1" si="12"/>
        <v>-4.2553191000000001E-3</v>
      </c>
      <c r="R45" s="90">
        <f t="shared" ca="1" si="15"/>
        <v>3538305.6456120601</v>
      </c>
    </row>
    <row r="46" spans="1:18">
      <c r="A46" s="40" t="s">
        <v>175</v>
      </c>
      <c r="B46" s="11" t="s">
        <v>176</v>
      </c>
      <c r="C46" s="95">
        <v>1155</v>
      </c>
      <c r="D46" s="92">
        <v>1.3157894700000001E-2</v>
      </c>
      <c r="E46" s="93">
        <v>812223.82494990004</v>
      </c>
      <c r="F46" s="35"/>
      <c r="G46" s="56" t="str">
        <f ca="1">IFERROR(OFFSET(INDIRECT($H$3 &amp; "!A98"), 15, 0), "")</f>
        <v>보라</v>
      </c>
      <c r="H46" s="39">
        <f t="shared" ca="1" si="7"/>
        <v>139</v>
      </c>
      <c r="I46" s="77">
        <f t="shared" ca="1" si="8"/>
        <v>1.45985401E-2</v>
      </c>
      <c r="J46" s="99">
        <f t="shared" ca="1" si="13"/>
        <v>262069737.65540934</v>
      </c>
      <c r="K46" s="56" t="str">
        <f ca="1">IFERROR(OFFSET(INDIRECT($H$3 &amp; "!A44"), 15, 0), "")</f>
        <v>트론</v>
      </c>
      <c r="L46" s="39">
        <f t="shared" ca="1" si="9"/>
        <v>72.900000000000006</v>
      </c>
      <c r="M46" s="77">
        <f t="shared" ca="1" si="10"/>
        <v>4.1322314000000002E-3</v>
      </c>
      <c r="N46" s="99">
        <f t="shared" ca="1" si="14"/>
        <v>55140106.73858469</v>
      </c>
      <c r="O46" s="56" t="str">
        <f ca="1">IFERROR(OFFSET(INDIRECT($H$3 &amp; "!A71"), 15, 0), "")</f>
        <v>도지코인</v>
      </c>
      <c r="P46" s="39">
        <f t="shared" ca="1" si="11"/>
        <v>254</v>
      </c>
      <c r="Q46" s="77">
        <f t="shared" ca="1" si="12"/>
        <v>3.9525691999999996E-3</v>
      </c>
      <c r="R46" s="99">
        <f t="shared" ca="1" si="15"/>
        <v>231117373.86557037</v>
      </c>
    </row>
    <row r="47" spans="1:18">
      <c r="A47" s="40" t="s">
        <v>133</v>
      </c>
      <c r="B47" s="11" t="s">
        <v>134</v>
      </c>
      <c r="C47" s="95">
        <v>18300</v>
      </c>
      <c r="D47" s="92">
        <v>1.2728278900000001E-2</v>
      </c>
      <c r="E47" s="93">
        <v>490874.30326830002</v>
      </c>
      <c r="F47" s="35"/>
      <c r="G47" s="56" t="str">
        <f ca="1">IFERROR(OFFSET(INDIRECT($H$3 &amp; "!A98"), 16, 0), "")</f>
        <v>썬더토큰</v>
      </c>
      <c r="H47" s="39">
        <f t="shared" ca="1" si="7"/>
        <v>9.6999999999999993</v>
      </c>
      <c r="I47" s="77">
        <f t="shared" ca="1" si="8"/>
        <v>-1.22199593E-2</v>
      </c>
      <c r="J47" s="86">
        <f t="shared" ca="1" si="13"/>
        <v>420983950.22488403</v>
      </c>
      <c r="K47" s="56" t="str">
        <f ca="1">IFERROR(OFFSET(INDIRECT($H$3 &amp; "!A44"), 16, 0), "")</f>
        <v>저스트</v>
      </c>
      <c r="L47" s="39">
        <f t="shared" ca="1" si="9"/>
        <v>59</v>
      </c>
      <c r="M47" s="77">
        <f t="shared" ca="1" si="10"/>
        <v>-1.33779264E-2</v>
      </c>
      <c r="N47" s="86">
        <f t="shared" ca="1" si="14"/>
        <v>49975587.593031511</v>
      </c>
      <c r="O47" s="56" t="str">
        <f ca="1">IFERROR(OFFSET(INDIRECT($H$3 &amp; "!A71"), 16, 0), "")</f>
        <v>아더</v>
      </c>
      <c r="P47" s="39">
        <f t="shared" ca="1" si="11"/>
        <v>190</v>
      </c>
      <c r="Q47" s="77">
        <f t="shared" ca="1" si="12"/>
        <v>-5.2356021000000003E-3</v>
      </c>
      <c r="R47" s="86">
        <f t="shared" ca="1" si="15"/>
        <v>10571579.60369326</v>
      </c>
    </row>
    <row r="48" spans="1:18">
      <c r="A48" s="40" t="s">
        <v>95</v>
      </c>
      <c r="B48" s="11" t="s">
        <v>96</v>
      </c>
      <c r="C48" s="95">
        <v>3330</v>
      </c>
      <c r="D48" s="92">
        <v>1.06221548E-2</v>
      </c>
      <c r="E48" s="93">
        <v>1034444.04325351</v>
      </c>
      <c r="F48" s="35"/>
      <c r="G48" s="56" t="str">
        <f ca="1">IFERROR(OFFSET(INDIRECT($H$3 &amp; "!A98"), 17, 0), "")</f>
        <v>에브리피디아</v>
      </c>
      <c r="H48" s="39">
        <f t="shared" ca="1" si="7"/>
        <v>14.3</v>
      </c>
      <c r="I48" s="77">
        <f t="shared" ca="1" si="8"/>
        <v>2.87769784E-2</v>
      </c>
      <c r="J48" s="86">
        <f t="shared" ca="1" si="13"/>
        <v>424955111.98661906</v>
      </c>
      <c r="K48" s="56" t="str">
        <f ca="1">IFERROR(OFFSET(INDIRECT($H$3 &amp; "!A44"), 17, 0), "")</f>
        <v>룸네트워크</v>
      </c>
      <c r="L48" s="39">
        <f t="shared" ca="1" si="9"/>
        <v>72.900000000000006</v>
      </c>
      <c r="M48" s="77">
        <f t="shared" ca="1" si="10"/>
        <v>1.9580419599999999E-2</v>
      </c>
      <c r="N48" s="86">
        <f t="shared" ca="1" si="14"/>
        <v>80493558.065753669</v>
      </c>
      <c r="O48" s="56" t="str">
        <f ca="1">IFERROR(OFFSET(INDIRECT($H$3 &amp; "!A71"), 17, 0), "")</f>
        <v>스텔라루멘</v>
      </c>
      <c r="P48" s="39">
        <f t="shared" ca="1" si="11"/>
        <v>289</v>
      </c>
      <c r="Q48" s="77">
        <f t="shared" ca="1" si="12"/>
        <v>3.4722222000000001E-3</v>
      </c>
      <c r="R48" s="86">
        <f t="shared" ca="1" si="15"/>
        <v>29826039.468093749</v>
      </c>
    </row>
    <row r="49" spans="1:18">
      <c r="A49" s="40" t="s">
        <v>53</v>
      </c>
      <c r="B49" s="11" t="s">
        <v>54</v>
      </c>
      <c r="C49" s="95">
        <v>202</v>
      </c>
      <c r="D49" s="92">
        <v>0.01</v>
      </c>
      <c r="E49" s="93">
        <v>22512413.59225649</v>
      </c>
      <c r="F49" s="35"/>
      <c r="G49" s="56" t="str">
        <f ca="1">IFERROR(OFFSET(INDIRECT($H$3 &amp; "!A98"), 18, 0), "")</f>
        <v>엠블</v>
      </c>
      <c r="H49" s="39">
        <f t="shared" ca="1" si="7"/>
        <v>14.5</v>
      </c>
      <c r="I49" s="77">
        <f t="shared" ca="1" si="8"/>
        <v>1.3986014E-2</v>
      </c>
      <c r="J49" s="86">
        <f t="shared" ca="1" si="13"/>
        <v>646252602.31844842</v>
      </c>
      <c r="K49" s="56" t="str">
        <f ca="1">IFERROR(OFFSET(INDIRECT($H$3 &amp; "!A44"), 18, 0), "")</f>
        <v>앵커</v>
      </c>
      <c r="L49" s="39">
        <f t="shared" ca="1" si="9"/>
        <v>84.4</v>
      </c>
      <c r="M49" s="77">
        <f t="shared" ca="1" si="10"/>
        <v>7.1599044999999997E-3</v>
      </c>
      <c r="N49" s="86">
        <f t="shared" ca="1" si="14"/>
        <v>19374123.447858538</v>
      </c>
      <c r="O49" s="56" t="str">
        <f ca="1">IFERROR(OFFSET(INDIRECT($H$3 &amp; "!A71"), 18, 0), "")</f>
        <v>파워렛저</v>
      </c>
      <c r="P49" s="39">
        <f t="shared" ca="1" si="11"/>
        <v>226</v>
      </c>
      <c r="Q49" s="77">
        <f t="shared" ca="1" si="12"/>
        <v>3.6697247699999998E-2</v>
      </c>
      <c r="R49" s="86">
        <f t="shared" ca="1" si="15"/>
        <v>92987936.46903722</v>
      </c>
    </row>
    <row r="50" spans="1:18" ht="17.25" thickBot="1">
      <c r="A50" s="40" t="s">
        <v>85</v>
      </c>
      <c r="B50" s="11" t="s">
        <v>86</v>
      </c>
      <c r="C50" s="95">
        <v>305</v>
      </c>
      <c r="D50" s="92">
        <v>9.9337747999999997E-3</v>
      </c>
      <c r="E50" s="93">
        <v>136110556.91999587</v>
      </c>
      <c r="F50" s="35"/>
      <c r="G50" s="57" t="str">
        <f ca="1">IFERROR(OFFSET(INDIRECT($H$3 &amp; "!A98"), 19, 0), "")</f>
        <v>하이브</v>
      </c>
      <c r="H50" s="37">
        <f t="shared" ca="1" si="7"/>
        <v>372</v>
      </c>
      <c r="I50" s="79">
        <f t="shared" ca="1" si="8"/>
        <v>2.6954178000000001E-3</v>
      </c>
      <c r="J50" s="87">
        <f t="shared" ca="1" si="13"/>
        <v>31721573.7836105</v>
      </c>
      <c r="K50" s="57" t="str">
        <f ca="1">IFERROR(OFFSET(INDIRECT($H$3 &amp; "!A44"), 19, 0), "")</f>
        <v>아이오에스티</v>
      </c>
      <c r="L50" s="37">
        <f t="shared" ca="1" si="9"/>
        <v>25</v>
      </c>
      <c r="M50" s="79">
        <f t="shared" ca="1" si="10"/>
        <v>2.0408163300000001E-2</v>
      </c>
      <c r="N50" s="87">
        <f t="shared" ca="1" si="14"/>
        <v>59668076.324108481</v>
      </c>
      <c r="O50" s="57" t="str">
        <f ca="1">IFERROR(OFFSET(INDIRECT($H$3 &amp; "!A71"), 19, 0), "")</f>
        <v>리플</v>
      </c>
      <c r="P50" s="37">
        <f t="shared" ca="1" si="11"/>
        <v>740</v>
      </c>
      <c r="Q50" s="79">
        <f t="shared" ca="1" si="12"/>
        <v>2.7100270999999999E-3</v>
      </c>
      <c r="R50" s="87">
        <f t="shared" ca="1" si="15"/>
        <v>90472209.209942237</v>
      </c>
    </row>
    <row r="51" spans="1:18">
      <c r="A51" s="40" t="s">
        <v>93</v>
      </c>
      <c r="B51" s="11" t="s">
        <v>94</v>
      </c>
      <c r="C51" s="95">
        <v>2516000</v>
      </c>
      <c r="D51" s="92">
        <v>9.2258323000000003E-3</v>
      </c>
      <c r="E51" s="93">
        <v>40727.237697249999</v>
      </c>
      <c r="F51" s="35"/>
    </row>
    <row r="52" spans="1:18" ht="17.25" thickBot="1">
      <c r="A52" s="40" t="s">
        <v>252</v>
      </c>
      <c r="B52" s="11" t="s">
        <v>253</v>
      </c>
      <c r="C52" s="95">
        <v>782</v>
      </c>
      <c r="D52" s="92">
        <v>9.0322580999999992E-3</v>
      </c>
      <c r="E52" s="93">
        <v>3554599.3184646699</v>
      </c>
      <c r="F52" s="35"/>
    </row>
    <row r="53" spans="1:18" ht="17.25" thickBot="1">
      <c r="A53" s="40" t="s">
        <v>213</v>
      </c>
      <c r="B53" s="11" t="s">
        <v>214</v>
      </c>
      <c r="C53" s="95">
        <v>239</v>
      </c>
      <c r="D53" s="92">
        <v>8.4388186E-3</v>
      </c>
      <c r="E53" s="93">
        <v>23489065.34014206</v>
      </c>
      <c r="F53" s="35"/>
      <c r="G53" s="227" t="s">
        <v>256</v>
      </c>
      <c r="H53" s="228"/>
      <c r="I53" s="228"/>
      <c r="J53" s="229"/>
      <c r="K53" s="227" t="s">
        <v>259</v>
      </c>
      <c r="L53" s="228"/>
      <c r="M53" s="228"/>
      <c r="N53" s="229"/>
      <c r="O53" s="227" t="s">
        <v>260</v>
      </c>
      <c r="P53" s="228"/>
      <c r="Q53" s="228"/>
      <c r="R53" s="229"/>
    </row>
    <row r="54" spans="1:18" ht="17.25" thickBot="1">
      <c r="A54" s="40" t="s">
        <v>125</v>
      </c>
      <c r="B54" s="11" t="s">
        <v>126</v>
      </c>
      <c r="C54" s="95">
        <v>159400</v>
      </c>
      <c r="D54" s="92">
        <v>8.2226438999999998E-3</v>
      </c>
      <c r="E54" s="93">
        <v>16129.17944301</v>
      </c>
      <c r="F54" s="35"/>
      <c r="G54" s="264" t="s">
        <v>55</v>
      </c>
      <c r="H54" s="280">
        <f ca="1">NOW()</f>
        <v>44389.02419236111</v>
      </c>
      <c r="I54" s="281"/>
      <c r="J54" s="282"/>
      <c r="K54" s="279" t="s">
        <v>55</v>
      </c>
      <c r="L54" s="280">
        <f ca="1">NOW()</f>
        <v>44389.02419236111</v>
      </c>
      <c r="M54" s="281"/>
      <c r="N54" s="282"/>
      <c r="O54" s="279" t="s">
        <v>55</v>
      </c>
      <c r="P54" s="280">
        <f ca="1">NOW()</f>
        <v>44389.02419236111</v>
      </c>
      <c r="Q54" s="281"/>
      <c r="R54" s="282"/>
    </row>
    <row r="55" spans="1:18" ht="17.25" thickBot="1">
      <c r="A55" s="40" t="s">
        <v>48</v>
      </c>
      <c r="B55" s="11" t="s">
        <v>49</v>
      </c>
      <c r="C55" s="95">
        <v>39916000</v>
      </c>
      <c r="D55" s="92">
        <v>7.3184273000000003E-3</v>
      </c>
      <c r="E55" s="93">
        <v>2797.6049742099999</v>
      </c>
      <c r="F55" s="35"/>
      <c r="G55" s="272"/>
      <c r="H55" s="36" t="s">
        <v>58</v>
      </c>
      <c r="I55" s="73" t="s">
        <v>59</v>
      </c>
      <c r="J55" s="69" t="s">
        <v>265</v>
      </c>
      <c r="K55" s="272"/>
      <c r="L55" s="36" t="s">
        <v>58</v>
      </c>
      <c r="M55" s="73" t="s">
        <v>59</v>
      </c>
      <c r="N55" s="69" t="s">
        <v>265</v>
      </c>
      <c r="O55" s="272"/>
      <c r="P55" s="36" t="s">
        <v>58</v>
      </c>
      <c r="Q55" s="73" t="s">
        <v>59</v>
      </c>
      <c r="R55" s="69" t="s">
        <v>265</v>
      </c>
    </row>
    <row r="56" spans="1:18">
      <c r="A56" s="40" t="s">
        <v>143</v>
      </c>
      <c r="B56" s="11" t="s">
        <v>144</v>
      </c>
      <c r="C56" s="95">
        <v>84.4</v>
      </c>
      <c r="D56" s="92">
        <v>7.1599044999999997E-3</v>
      </c>
      <c r="E56" s="93">
        <v>19374123.447858538</v>
      </c>
      <c r="F56" s="35"/>
      <c r="G56" s="55" t="str">
        <f ca="1">IFERROR(OFFSET(INDIRECT($H$3 &amp; "!A179"), 0, 0), "")</f>
        <v>스토리지</v>
      </c>
      <c r="H56" s="38">
        <f t="shared" ref="H56:H65" ca="1" si="16">_xlfn.IFNA(VLOOKUP(G56, $B$2:$D$200, 2, FALSE), "")</f>
        <v>1115</v>
      </c>
      <c r="I56" s="76">
        <f t="shared" ref="I56:I65" ca="1" si="17">_xlfn.IFNA(VLOOKUP(G56, $B$2:$D$200, 3, FALSE), "")</f>
        <v>-4.4642856999999999E-3</v>
      </c>
      <c r="J56" s="85">
        <f ca="1">_xlfn.IFNA(VLOOKUP(G56, $B$2:$E$200, 4, FALSE), "")</f>
        <v>3468870.36074646</v>
      </c>
      <c r="K56" s="55" t="str">
        <f ca="1">IFERROR(OFFSET(INDIRECT($H$3 &amp; "!A125"), 0, 0), "")</f>
        <v>에브리피디아</v>
      </c>
      <c r="L56" s="38">
        <f t="shared" ref="L56:L75" ca="1" si="18">_xlfn.IFNA(VLOOKUP(K56, $B$2:$D$200, 2, FALSE), "")</f>
        <v>14.3</v>
      </c>
      <c r="M56" s="76">
        <f t="shared" ref="M56:M75" ca="1" si="19">_xlfn.IFNA(VLOOKUP(K56, $B$2:$D$200, 3, FALSE), "")</f>
        <v>2.87769784E-2</v>
      </c>
      <c r="N56" s="85">
        <f ca="1">_xlfn.IFNA(VLOOKUP(K56, $B$2:$E$200, 4, FALSE), "")</f>
        <v>424955111.98661906</v>
      </c>
      <c r="O56" s="55" t="str">
        <f ca="1">IFERROR(OFFSET(INDIRECT($H$3 &amp; "!A152"), 0, 0), "")</f>
        <v>제로엑스</v>
      </c>
      <c r="P56" s="38">
        <f t="shared" ref="P56:P75" ca="1" si="20">_xlfn.IFNA(VLOOKUP(O56, $B$2:$D$200, 2, FALSE), "")</f>
        <v>936</v>
      </c>
      <c r="Q56" s="76">
        <f t="shared" ref="Q56:Q75" ca="1" si="21">_xlfn.IFNA(VLOOKUP(O56, $B$2:$D$200, 3, FALSE), "")</f>
        <v>-4.2553191000000001E-3</v>
      </c>
      <c r="R56" s="85">
        <f ca="1">_xlfn.IFNA(VLOOKUP(O56, $B$2:$E$200, 4, FALSE), "")</f>
        <v>3538305.6456120601</v>
      </c>
    </row>
    <row r="57" spans="1:18">
      <c r="A57" s="40" t="s">
        <v>56</v>
      </c>
      <c r="B57" s="11" t="s">
        <v>57</v>
      </c>
      <c r="C57" s="95">
        <v>144</v>
      </c>
      <c r="D57" s="92">
        <v>6.9930069999999999E-3</v>
      </c>
      <c r="E57" s="93">
        <v>33168503.434092909</v>
      </c>
      <c r="F57" s="35"/>
      <c r="G57" s="56" t="str">
        <f ca="1">IFERROR(OFFSET(INDIRECT($H$3 &amp; "!A179"), 1, 0), "")</f>
        <v>알파쿼크</v>
      </c>
      <c r="H57" s="39">
        <f t="shared" ca="1" si="16"/>
        <v>2885</v>
      </c>
      <c r="I57" s="77">
        <f t="shared" ca="1" si="17"/>
        <v>0.1182170543</v>
      </c>
      <c r="J57" s="86">
        <f t="shared" ref="J57:J75" ca="1" si="22">_xlfn.IFNA(VLOOKUP(G57, $B$2:$E$200, 4, FALSE), "")</f>
        <v>39871169.420358852</v>
      </c>
      <c r="K57" s="56" t="str">
        <f ca="1">IFERROR(OFFSET(INDIRECT($H$3 &amp; "!A125"), 1, 0), "")</f>
        <v>엠블</v>
      </c>
      <c r="L57" s="39">
        <f t="shared" ca="1" si="18"/>
        <v>14.5</v>
      </c>
      <c r="M57" s="77">
        <f t="shared" ca="1" si="19"/>
        <v>1.3986014E-2</v>
      </c>
      <c r="N57" s="86">
        <f t="shared" ref="N57:N75" ca="1" si="23">_xlfn.IFNA(VLOOKUP(K57, $B$2:$E$200, 4, FALSE), "")</f>
        <v>646252602.31844842</v>
      </c>
      <c r="O57" s="56" t="str">
        <f ca="1">IFERROR(OFFSET(INDIRECT($H$3 &amp; "!A152"), 1, 0), "")</f>
        <v>도지코인</v>
      </c>
      <c r="P57" s="39">
        <f t="shared" ca="1" si="20"/>
        <v>254</v>
      </c>
      <c r="Q57" s="77">
        <f t="shared" ca="1" si="21"/>
        <v>3.9525691999999996E-3</v>
      </c>
      <c r="R57" s="86">
        <f t="shared" ref="R57:R75" ca="1" si="24">_xlfn.IFNA(VLOOKUP(O57, $B$2:$E$200, 4, FALSE), "")</f>
        <v>231117373.86557037</v>
      </c>
    </row>
    <row r="58" spans="1:18">
      <c r="A58" s="40" t="s">
        <v>97</v>
      </c>
      <c r="B58" s="11" t="s">
        <v>98</v>
      </c>
      <c r="C58" s="95">
        <v>2.97</v>
      </c>
      <c r="D58" s="92">
        <v>6.7796610000000002E-3</v>
      </c>
      <c r="E58" s="93">
        <v>3760950754.330946</v>
      </c>
      <c r="F58" s="35"/>
      <c r="G58" s="56" t="str">
        <f ca="1">IFERROR(OFFSET(INDIRECT($H$3 &amp; "!A179"), 2, 0), "")</f>
        <v>가스</v>
      </c>
      <c r="H58" s="39">
        <f t="shared" ca="1" si="16"/>
        <v>6995</v>
      </c>
      <c r="I58" s="77">
        <f t="shared" ca="1" si="17"/>
        <v>2.4158125900000001E-2</v>
      </c>
      <c r="J58" s="86">
        <f t="shared" ca="1" si="22"/>
        <v>2198922.3853828502</v>
      </c>
      <c r="K58" s="56" t="str">
        <f ca="1">IFERROR(OFFSET(INDIRECT($H$3 &amp; "!A125"), 2, 0), "")</f>
        <v>무비블록</v>
      </c>
      <c r="L58" s="39">
        <f t="shared" ca="1" si="18"/>
        <v>8.32</v>
      </c>
      <c r="M58" s="77">
        <f t="shared" ca="1" si="19"/>
        <v>1.4634146299999999E-2</v>
      </c>
      <c r="N58" s="86">
        <f t="shared" ca="1" si="23"/>
        <v>1043069897.5339459</v>
      </c>
      <c r="O58" s="56" t="str">
        <f ca="1">IFERROR(OFFSET(INDIRECT($H$3 &amp; "!A152"), 2, 0), "")</f>
        <v>아더</v>
      </c>
      <c r="P58" s="39">
        <f t="shared" ca="1" si="20"/>
        <v>190</v>
      </c>
      <c r="Q58" s="77">
        <f t="shared" ca="1" si="21"/>
        <v>-5.2356021000000003E-3</v>
      </c>
      <c r="R58" s="86">
        <f t="shared" ca="1" si="24"/>
        <v>10571579.60369326</v>
      </c>
    </row>
    <row r="59" spans="1:18">
      <c r="A59" s="40" t="s">
        <v>147</v>
      </c>
      <c r="B59" s="11" t="s">
        <v>148</v>
      </c>
      <c r="C59" s="95">
        <v>15.3</v>
      </c>
      <c r="D59" s="92">
        <v>6.5789474000000001E-3</v>
      </c>
      <c r="E59" s="93">
        <v>330470122.00287139</v>
      </c>
      <c r="F59" s="35"/>
      <c r="G59" s="56" t="str">
        <f ca="1">IFERROR(OFFSET(INDIRECT($H$3 &amp; "!A179"), 3, 0), "")</f>
        <v>펀디엑스</v>
      </c>
      <c r="H59" s="39">
        <f t="shared" ca="1" si="16"/>
        <v>1295</v>
      </c>
      <c r="I59" s="77">
        <f t="shared" ca="1" si="17"/>
        <v>1.96850394E-2</v>
      </c>
      <c r="J59" s="86">
        <f t="shared" ca="1" si="22"/>
        <v>3716961.0304482202</v>
      </c>
      <c r="K59" s="56" t="str">
        <f ca="1">IFERROR(OFFSET(INDIRECT($H$3 &amp; "!A125"), 3, 0), "")</f>
        <v>캐리프로토콜</v>
      </c>
      <c r="L59" s="39">
        <f t="shared" ca="1" si="18"/>
        <v>9.32</v>
      </c>
      <c r="M59" s="77">
        <f t="shared" ca="1" si="19"/>
        <v>1.0741138999999999E-3</v>
      </c>
      <c r="N59" s="86">
        <f t="shared" ca="1" si="23"/>
        <v>628869853.65250695</v>
      </c>
      <c r="O59" s="56" t="str">
        <f ca="1">IFERROR(OFFSET(INDIRECT($H$3 &amp; "!A152"), 3, 0), "")</f>
        <v>스텔라루멘</v>
      </c>
      <c r="P59" s="39">
        <f t="shared" ca="1" si="20"/>
        <v>289</v>
      </c>
      <c r="Q59" s="77">
        <f t="shared" ca="1" si="21"/>
        <v>3.4722222000000001E-3</v>
      </c>
      <c r="R59" s="86">
        <f t="shared" ca="1" si="24"/>
        <v>29826039.468093749</v>
      </c>
    </row>
    <row r="60" spans="1:18">
      <c r="A60" s="40" t="s">
        <v>157</v>
      </c>
      <c r="B60" s="11" t="s">
        <v>158</v>
      </c>
      <c r="C60" s="95">
        <v>16940</v>
      </c>
      <c r="D60" s="92">
        <v>6.5359477000000001E-3</v>
      </c>
      <c r="E60" s="93">
        <v>332731.86378034001</v>
      </c>
      <c r="F60" s="35"/>
      <c r="G60" s="56" t="str">
        <f ca="1">IFERROR(OFFSET(INDIRECT($H$3 &amp; "!A179"), 4, 0), "")</f>
        <v>쎄타퓨엘</v>
      </c>
      <c r="H60" s="39">
        <f t="shared" ca="1" si="16"/>
        <v>406</v>
      </c>
      <c r="I60" s="77">
        <f t="shared" ca="1" si="17"/>
        <v>0</v>
      </c>
      <c r="J60" s="90">
        <f t="shared" ca="1" si="22"/>
        <v>77552286.610026747</v>
      </c>
      <c r="K60" s="58" t="str">
        <f ca="1">IFERROR(OFFSET(INDIRECT($H$3 &amp; "!A125"), 4, 0), "")</f>
        <v>스톰엑스</v>
      </c>
      <c r="L60" s="44">
        <f t="shared" ca="1" si="18"/>
        <v>22.1</v>
      </c>
      <c r="M60" s="78">
        <f t="shared" ca="1" si="19"/>
        <v>4.5454544999999997E-3</v>
      </c>
      <c r="N60" s="90">
        <f t="shared" ca="1" si="23"/>
        <v>154939563.93902776</v>
      </c>
      <c r="O60" s="58" t="str">
        <f ca="1">IFERROR(OFFSET(INDIRECT($H$3 &amp; "!A152"), 4, 0), "")</f>
        <v>파워렛저</v>
      </c>
      <c r="P60" s="44">
        <f t="shared" ca="1" si="20"/>
        <v>226</v>
      </c>
      <c r="Q60" s="78">
        <f t="shared" ca="1" si="21"/>
        <v>3.6697247699999998E-2</v>
      </c>
      <c r="R60" s="90">
        <f t="shared" ca="1" si="24"/>
        <v>92987936.46903722</v>
      </c>
    </row>
    <row r="61" spans="1:18">
      <c r="A61" s="40" t="s">
        <v>81</v>
      </c>
      <c r="B61" s="11" t="s">
        <v>82</v>
      </c>
      <c r="C61" s="95">
        <v>1585</v>
      </c>
      <c r="D61" s="92">
        <v>6.3492063000000001E-3</v>
      </c>
      <c r="E61" s="93">
        <v>7083504.6238269899</v>
      </c>
      <c r="F61" s="35"/>
      <c r="G61" s="60" t="str">
        <f ca="1">IFERROR(OFFSET(INDIRECT($H$3 &amp; "!A179"), 5, 0), "")</f>
        <v>골렘</v>
      </c>
      <c r="H61" s="45">
        <f t="shared" ca="1" si="16"/>
        <v>369</v>
      </c>
      <c r="I61" s="80">
        <f t="shared" ca="1" si="17"/>
        <v>-1.3368984E-2</v>
      </c>
      <c r="J61" s="99">
        <f t="shared" ca="1" si="22"/>
        <v>3847373.24323826</v>
      </c>
      <c r="K61" s="56" t="str">
        <f ca="1">IFERROR(OFFSET(INDIRECT($H$3 &amp; "!A125"), 5, 0), "")</f>
        <v>썸씽</v>
      </c>
      <c r="L61" s="39">
        <f t="shared" ca="1" si="18"/>
        <v>54.7</v>
      </c>
      <c r="M61" s="77">
        <f t="shared" ca="1" si="19"/>
        <v>5.5984555999999998E-2</v>
      </c>
      <c r="N61" s="99">
        <f t="shared" ca="1" si="23"/>
        <v>679826209.97542596</v>
      </c>
      <c r="O61" s="56" t="str">
        <f ca="1">IFERROR(OFFSET(INDIRECT($H$3 &amp; "!A152"), 5, 0), "")</f>
        <v>리플</v>
      </c>
      <c r="P61" s="39">
        <f t="shared" ca="1" si="20"/>
        <v>740</v>
      </c>
      <c r="Q61" s="77">
        <f t="shared" ca="1" si="21"/>
        <v>2.7100270999999999E-3</v>
      </c>
      <c r="R61" s="99">
        <f t="shared" ca="1" si="24"/>
        <v>90472209.209942237</v>
      </c>
    </row>
    <row r="62" spans="1:18">
      <c r="A62" s="40" t="s">
        <v>73</v>
      </c>
      <c r="B62" s="11" t="s">
        <v>74</v>
      </c>
      <c r="C62" s="95">
        <v>17130</v>
      </c>
      <c r="D62" s="92">
        <v>5.8719905999999999E-3</v>
      </c>
      <c r="E62" s="93">
        <v>427471.22470904997</v>
      </c>
      <c r="F62" s="35"/>
      <c r="G62" s="56" t="str">
        <f ca="1">IFERROR(OFFSET(INDIRECT($H$3 &amp; "!A179"), 6, 0), "")</f>
        <v>메탈</v>
      </c>
      <c r="H62" s="39">
        <f t="shared" ca="1" si="16"/>
        <v>1955</v>
      </c>
      <c r="I62" s="77">
        <f t="shared" ca="1" si="17"/>
        <v>5.6756756800000002E-2</v>
      </c>
      <c r="J62" s="86">
        <f t="shared" ca="1" si="22"/>
        <v>24284976.82103119</v>
      </c>
      <c r="K62" s="56" t="str">
        <f ca="1">IFERROR(OFFSET(INDIRECT($H$3 &amp; "!A125"), 6, 0), "")</f>
        <v>오브스</v>
      </c>
      <c r="L62" s="39">
        <f t="shared" ca="1" si="18"/>
        <v>81.8</v>
      </c>
      <c r="M62" s="77">
        <f t="shared" ca="1" si="19"/>
        <v>3.6809816E-3</v>
      </c>
      <c r="N62" s="86">
        <f t="shared" ca="1" si="23"/>
        <v>52728549.768174537</v>
      </c>
      <c r="O62" s="56" t="str">
        <f ca="1">IFERROR(OFFSET(INDIRECT($H$3 &amp; "!A152"), 6, 0), "")</f>
        <v>베이직어텐션토큰</v>
      </c>
      <c r="P62" s="39">
        <f t="shared" ca="1" si="20"/>
        <v>660</v>
      </c>
      <c r="Q62" s="77">
        <f t="shared" ca="1" si="21"/>
        <v>3.0395137E-3</v>
      </c>
      <c r="R62" s="86">
        <f t="shared" ca="1" si="24"/>
        <v>1948405.91462519</v>
      </c>
    </row>
    <row r="63" spans="1:18">
      <c r="A63" s="40" t="s">
        <v>75</v>
      </c>
      <c r="B63" s="11" t="s">
        <v>76</v>
      </c>
      <c r="C63" s="95">
        <v>21620</v>
      </c>
      <c r="D63" s="92">
        <v>5.5813952999999999E-3</v>
      </c>
      <c r="E63" s="93">
        <v>360599.76943692</v>
      </c>
      <c r="F63" s="35"/>
      <c r="G63" s="56" t="str">
        <f ca="1">IFERROR(OFFSET(INDIRECT($H$3 &amp; "!A179"), 7, 0), "")</f>
        <v>아르고</v>
      </c>
      <c r="H63" s="39">
        <f t="shared" ca="1" si="16"/>
        <v>184</v>
      </c>
      <c r="I63" s="77">
        <f t="shared" ca="1" si="17"/>
        <v>1.65745856E-2</v>
      </c>
      <c r="J63" s="86">
        <f t="shared" ca="1" si="22"/>
        <v>36016010.12028686</v>
      </c>
      <c r="K63" s="56" t="str">
        <f ca="1">IFERROR(OFFSET(INDIRECT($H$3 &amp; "!A125"), 7, 0), "")</f>
        <v>쿼크체인</v>
      </c>
      <c r="L63" s="39">
        <f t="shared" ca="1" si="18"/>
        <v>18.2</v>
      </c>
      <c r="M63" s="77">
        <f t="shared" ca="1" si="19"/>
        <v>0</v>
      </c>
      <c r="N63" s="86">
        <f t="shared" ca="1" si="23"/>
        <v>173561203.68691772</v>
      </c>
      <c r="O63" s="56" t="str">
        <f ca="1">IFERROR(OFFSET(INDIRECT($H$3 &amp; "!A152"), 7, 0), "")</f>
        <v>메타디움</v>
      </c>
      <c r="P63" s="39">
        <f t="shared" ca="1" si="20"/>
        <v>136</v>
      </c>
      <c r="Q63" s="77">
        <f t="shared" ca="1" si="21"/>
        <v>0.1056910569</v>
      </c>
      <c r="R63" s="86">
        <f t="shared" ca="1" si="24"/>
        <v>253614125.80860037</v>
      </c>
    </row>
    <row r="64" spans="1:18">
      <c r="A64" s="40" t="s">
        <v>179</v>
      </c>
      <c r="B64" s="11" t="s">
        <v>180</v>
      </c>
      <c r="C64" s="95">
        <v>7875</v>
      </c>
      <c r="D64" s="92">
        <v>5.1052967000000003E-3</v>
      </c>
      <c r="E64" s="93">
        <v>1186283.78950125</v>
      </c>
      <c r="F64" s="35"/>
      <c r="G64" s="56" t="str">
        <f ca="1">IFERROR(OFFSET(INDIRECT($H$3 &amp; "!A179"), 8, 0), "")</f>
        <v>톤</v>
      </c>
      <c r="H64" s="39">
        <f t="shared" ca="1" si="16"/>
        <v>6435</v>
      </c>
      <c r="I64" s="77">
        <f t="shared" ca="1" si="17"/>
        <v>6.2758051199999998E-2</v>
      </c>
      <c r="J64" s="86">
        <f t="shared" ca="1" si="22"/>
        <v>8280318.9170151604</v>
      </c>
      <c r="K64" s="56" t="str">
        <f ca="1">IFERROR(OFFSET(INDIRECT($H$3 &amp; "!A125"), 8, 0), "")</f>
        <v>메디블록</v>
      </c>
      <c r="L64" s="39">
        <f t="shared" ca="1" si="18"/>
        <v>57.1</v>
      </c>
      <c r="M64" s="77">
        <f t="shared" ca="1" si="19"/>
        <v>5.9369202199999999E-2</v>
      </c>
      <c r="N64" s="86">
        <f t="shared" ca="1" si="23"/>
        <v>962851886.28228116</v>
      </c>
      <c r="O64" s="56" t="str">
        <f ca="1">IFERROR(OFFSET(INDIRECT($H$3 &amp; "!A152"), 8, 0), "")</f>
        <v>플레이댑</v>
      </c>
      <c r="P64" s="39">
        <f t="shared" ca="1" si="20"/>
        <v>239</v>
      </c>
      <c r="Q64" s="77">
        <f t="shared" ca="1" si="21"/>
        <v>8.4388186E-3</v>
      </c>
      <c r="R64" s="86">
        <f t="shared" ca="1" si="24"/>
        <v>23489065.34014206</v>
      </c>
    </row>
    <row r="65" spans="1:18" ht="17.25" thickBot="1">
      <c r="A65" s="40" t="s">
        <v>121</v>
      </c>
      <c r="B65" s="11" t="s">
        <v>122</v>
      </c>
      <c r="C65" s="95">
        <v>22.1</v>
      </c>
      <c r="D65" s="92">
        <v>4.5454544999999997E-3</v>
      </c>
      <c r="E65" s="93">
        <v>154939563.93902776</v>
      </c>
      <c r="F65" s="35"/>
      <c r="G65" s="57" t="str">
        <f ca="1">IFERROR(OFFSET(INDIRECT($H$3 &amp; "!A179"), 9, 0), "")</f>
        <v>엘프</v>
      </c>
      <c r="H65" s="37">
        <f t="shared" ca="1" si="16"/>
        <v>241</v>
      </c>
      <c r="I65" s="79">
        <f t="shared" ca="1" si="17"/>
        <v>2.5531914900000001E-2</v>
      </c>
      <c r="J65" s="87">
        <f t="shared" ca="1" si="22"/>
        <v>8285285.4059619</v>
      </c>
      <c r="K65" s="57" t="str">
        <f ca="1">IFERROR(OFFSET(INDIRECT($H$3 &amp; "!A125"), 9, 0), "")</f>
        <v>비트토렌트</v>
      </c>
      <c r="L65" s="37">
        <f t="shared" ca="1" si="18"/>
        <v>2.97</v>
      </c>
      <c r="M65" s="79">
        <f t="shared" ca="1" si="19"/>
        <v>6.7796610000000002E-3</v>
      </c>
      <c r="N65" s="87">
        <f t="shared" ca="1" si="23"/>
        <v>3760950754.330946</v>
      </c>
      <c r="O65" s="57" t="str">
        <f ca="1">IFERROR(OFFSET(INDIRECT($H$3 &amp; "!A152"), 9, 0), "")</f>
        <v>그로스톨코인</v>
      </c>
      <c r="P65" s="37">
        <f t="shared" ca="1" si="20"/>
        <v>782</v>
      </c>
      <c r="Q65" s="79">
        <f t="shared" ca="1" si="21"/>
        <v>9.0322580999999992E-3</v>
      </c>
      <c r="R65" s="87">
        <f t="shared" ca="1" si="24"/>
        <v>3554599.3184646699</v>
      </c>
    </row>
    <row r="66" spans="1:18">
      <c r="A66" s="40" t="s">
        <v>111</v>
      </c>
      <c r="B66" s="11" t="s">
        <v>112</v>
      </c>
      <c r="C66" s="95">
        <v>7000</v>
      </c>
      <c r="D66" s="92">
        <v>4.3041607000000003E-3</v>
      </c>
      <c r="E66" s="93">
        <v>712152.56120260002</v>
      </c>
      <c r="F66" s="35"/>
      <c r="G66" s="56" t="str">
        <f ca="1">IFERROR(OFFSET(INDIRECT($H$3 &amp; "!A179"), 10, 0), "")</f>
        <v>헤데라해시그래프</v>
      </c>
      <c r="H66" s="38">
        <f t="shared" ref="H66:H75" ca="1" si="25">_xlfn.IFNA(VLOOKUP(G66, $B$2:$D$200, 2, FALSE), "")</f>
        <v>202</v>
      </c>
      <c r="I66" s="76">
        <f t="shared" ref="I66:I75" ca="1" si="26">_xlfn.IFNA(VLOOKUP(G66, $B$2:$D$200, 3, FALSE), "")</f>
        <v>0.01</v>
      </c>
      <c r="J66" s="85">
        <f t="shared" ca="1" si="22"/>
        <v>22512413.59225649</v>
      </c>
      <c r="K66" s="55" t="str">
        <f ca="1">IFERROR(OFFSET(INDIRECT($H$3 &amp; "!A125"), 10, 0), "")</f>
        <v>비체인</v>
      </c>
      <c r="L66" s="38">
        <f t="shared" ca="1" si="18"/>
        <v>91.5</v>
      </c>
      <c r="M66" s="76">
        <f t="shared" ca="1" si="19"/>
        <v>2.1205357099999999E-2</v>
      </c>
      <c r="N66" s="85">
        <f t="shared" ca="1" si="23"/>
        <v>161157510.35479695</v>
      </c>
      <c r="O66" s="55" t="str">
        <f ca="1">IFERROR(OFFSET(INDIRECT($H$3 &amp; "!A152"), 10, 0), "")</f>
        <v>넴</v>
      </c>
      <c r="P66" s="38">
        <f t="shared" ca="1" si="20"/>
        <v>144</v>
      </c>
      <c r="Q66" s="76">
        <f t="shared" ca="1" si="21"/>
        <v>6.9930069999999999E-3</v>
      </c>
      <c r="R66" s="85">
        <f t="shared" ca="1" si="24"/>
        <v>33168503.434092909</v>
      </c>
    </row>
    <row r="67" spans="1:18">
      <c r="A67" s="40" t="s">
        <v>151</v>
      </c>
      <c r="B67" s="11" t="s">
        <v>152</v>
      </c>
      <c r="C67" s="95">
        <v>72.900000000000006</v>
      </c>
      <c r="D67" s="92">
        <v>4.1322314000000002E-3</v>
      </c>
      <c r="E67" s="93">
        <v>55140106.73858469</v>
      </c>
      <c r="F67" s="35"/>
      <c r="G67" s="56" t="str">
        <f ca="1">IFERROR(OFFSET(INDIRECT($H$3 &amp; "!A179"), 11, 0), "")</f>
        <v>퀀텀</v>
      </c>
      <c r="H67" s="39">
        <f t="shared" ca="1" si="25"/>
        <v>7875</v>
      </c>
      <c r="I67" s="77">
        <f t="shared" ca="1" si="26"/>
        <v>5.1052967000000003E-3</v>
      </c>
      <c r="J67" s="86">
        <f t="shared" ca="1" si="22"/>
        <v>1186283.78950125</v>
      </c>
      <c r="K67" s="56" t="str">
        <f ca="1">IFERROR(OFFSET(INDIRECT($H$3 &amp; "!A125"), 11, 0), "")</f>
        <v>트론</v>
      </c>
      <c r="L67" s="39">
        <f t="shared" ca="1" si="18"/>
        <v>72.900000000000006</v>
      </c>
      <c r="M67" s="77">
        <f t="shared" ca="1" si="19"/>
        <v>4.1322314000000002E-3</v>
      </c>
      <c r="N67" s="86">
        <f t="shared" ca="1" si="23"/>
        <v>55140106.73858469</v>
      </c>
      <c r="O67" s="56" t="str">
        <f ca="1">IFERROR(OFFSET(INDIRECT($H$3 &amp; "!A152"), 11, 0), "")</f>
        <v>온톨로지가스</v>
      </c>
      <c r="P67" s="39">
        <f t="shared" ca="1" si="20"/>
        <v>874</v>
      </c>
      <c r="Q67" s="77">
        <f t="shared" ca="1" si="21"/>
        <v>-5.6882820999999998E-3</v>
      </c>
      <c r="R67" s="86">
        <f t="shared" ca="1" si="24"/>
        <v>12106227.15086312</v>
      </c>
    </row>
    <row r="68" spans="1:18">
      <c r="A68" s="40" t="s">
        <v>266</v>
      </c>
      <c r="B68" s="11" t="s">
        <v>267</v>
      </c>
      <c r="C68" s="95">
        <v>254</v>
      </c>
      <c r="D68" s="92">
        <v>3.9525691999999996E-3</v>
      </c>
      <c r="E68" s="93">
        <v>231117373.86557037</v>
      </c>
      <c r="F68" s="35"/>
      <c r="G68" s="56" t="str">
        <f ca="1">IFERROR(OFFSET(INDIRECT($H$3 &amp; "!A179"), 12, 0), "")</f>
        <v>피르마체인</v>
      </c>
      <c r="H68" s="39">
        <f t="shared" ca="1" si="25"/>
        <v>113</v>
      </c>
      <c r="I68" s="77">
        <f t="shared" ca="1" si="26"/>
        <v>1.8018018E-2</v>
      </c>
      <c r="J68" s="86">
        <f t="shared" ca="1" si="22"/>
        <v>69128200.726837516</v>
      </c>
      <c r="K68" s="56" t="str">
        <f ca="1">IFERROR(OFFSET(INDIRECT($H$3 &amp; "!A125"), 12, 0), "")</f>
        <v>저스트</v>
      </c>
      <c r="L68" s="39">
        <f t="shared" ca="1" si="18"/>
        <v>59</v>
      </c>
      <c r="M68" s="77">
        <f t="shared" ca="1" si="19"/>
        <v>-1.33779264E-2</v>
      </c>
      <c r="N68" s="86">
        <f t="shared" ca="1" si="23"/>
        <v>49975587.593031511</v>
      </c>
      <c r="O68" s="56" t="str">
        <f ca="1">IFERROR(OFFSET(INDIRECT($H$3 &amp; "!A152"), 12, 0), "")</f>
        <v>쎄타퓨엘</v>
      </c>
      <c r="P68" s="39">
        <f t="shared" ca="1" si="20"/>
        <v>406</v>
      </c>
      <c r="Q68" s="77">
        <f t="shared" ca="1" si="21"/>
        <v>0</v>
      </c>
      <c r="R68" s="86">
        <f t="shared" ca="1" si="24"/>
        <v>77552286.610026747</v>
      </c>
    </row>
    <row r="69" spans="1:18">
      <c r="A69" s="40" t="s">
        <v>129</v>
      </c>
      <c r="B69" s="11" t="s">
        <v>130</v>
      </c>
      <c r="C69" s="95">
        <v>81.8</v>
      </c>
      <c r="D69" s="92">
        <v>3.6809816E-3</v>
      </c>
      <c r="E69" s="93">
        <v>52728549.768174537</v>
      </c>
      <c r="F69" s="35"/>
      <c r="G69" s="56" t="str">
        <f ca="1">IFERROR(OFFSET(INDIRECT($H$3 &amp; "!A179"), 13, 0), "")</f>
        <v>비트코인캐시에이비씨</v>
      </c>
      <c r="H69" s="39">
        <f t="shared" ca="1" si="25"/>
        <v>30950</v>
      </c>
      <c r="I69" s="77">
        <f t="shared" ca="1" si="26"/>
        <v>1.618123E-3</v>
      </c>
      <c r="J69" s="86">
        <f t="shared" ca="1" si="22"/>
        <v>135371.70928750001</v>
      </c>
      <c r="K69" s="56" t="str">
        <f ca="1">IFERROR(OFFSET(INDIRECT($H$3 &amp; "!A125"), 13, 0), "")</f>
        <v>룸네트워크</v>
      </c>
      <c r="L69" s="39">
        <f t="shared" ca="1" si="18"/>
        <v>72.900000000000006</v>
      </c>
      <c r="M69" s="77">
        <f t="shared" ca="1" si="19"/>
        <v>1.9580419599999999E-2</v>
      </c>
      <c r="N69" s="86">
        <f t="shared" ca="1" si="23"/>
        <v>80493558.065753669</v>
      </c>
      <c r="O69" s="56" t="str">
        <f ca="1">IFERROR(OFFSET(INDIRECT($H$3 &amp; "!A152"), 13, 0), "")</f>
        <v>골렘</v>
      </c>
      <c r="P69" s="39">
        <f t="shared" ca="1" si="20"/>
        <v>369</v>
      </c>
      <c r="Q69" s="77">
        <f t="shared" ca="1" si="21"/>
        <v>-1.3368984E-2</v>
      </c>
      <c r="R69" s="86">
        <f t="shared" ca="1" si="24"/>
        <v>3847373.24323826</v>
      </c>
    </row>
    <row r="70" spans="1:18">
      <c r="A70" s="40" t="s">
        <v>99</v>
      </c>
      <c r="B70" s="11" t="s">
        <v>100</v>
      </c>
      <c r="C70" s="95">
        <v>58220</v>
      </c>
      <c r="D70" s="92">
        <v>3.6200655000000002E-3</v>
      </c>
      <c r="E70" s="93">
        <v>1049933.57605729</v>
      </c>
      <c r="F70" s="35"/>
      <c r="G70" s="56" t="str">
        <f ca="1">IFERROR(OFFSET(INDIRECT($H$3 &amp; "!A179"), 14, 0), "")</f>
        <v>헌트</v>
      </c>
      <c r="H70" s="39">
        <f t="shared" ca="1" si="25"/>
        <v>299</v>
      </c>
      <c r="I70" s="77">
        <f t="shared" ca="1" si="26"/>
        <v>-6.6445183E-3</v>
      </c>
      <c r="J70" s="90">
        <f t="shared" ca="1" si="22"/>
        <v>33002551.606322981</v>
      </c>
      <c r="K70" s="58" t="str">
        <f ca="1">IFERROR(OFFSET(INDIRECT($H$3 &amp; "!A125"), 14, 0), "")</f>
        <v>앵커</v>
      </c>
      <c r="L70" s="44">
        <f t="shared" ca="1" si="18"/>
        <v>84.4</v>
      </c>
      <c r="M70" s="78">
        <f t="shared" ca="1" si="19"/>
        <v>7.1599044999999997E-3</v>
      </c>
      <c r="N70" s="90">
        <f t="shared" ca="1" si="23"/>
        <v>19374123.447858538</v>
      </c>
      <c r="O70" s="58" t="str">
        <f ca="1">IFERROR(OFFSET(INDIRECT($H$3 &amp; "!A152"), 14, 0), "")</f>
        <v>아르고</v>
      </c>
      <c r="P70" s="44">
        <f t="shared" ca="1" si="20"/>
        <v>184</v>
      </c>
      <c r="Q70" s="78">
        <f t="shared" ca="1" si="21"/>
        <v>1.65745856E-2</v>
      </c>
      <c r="R70" s="90">
        <f t="shared" ca="1" si="24"/>
        <v>36016010.12028686</v>
      </c>
    </row>
    <row r="71" spans="1:18">
      <c r="A71" s="40" t="s">
        <v>123</v>
      </c>
      <c r="B71" s="11" t="s">
        <v>124</v>
      </c>
      <c r="C71" s="95">
        <v>286</v>
      </c>
      <c r="D71" s="92">
        <v>3.5087718999999998E-3</v>
      </c>
      <c r="E71" s="93">
        <v>9476125.8710791897</v>
      </c>
      <c r="F71" s="35"/>
      <c r="G71" s="60" t="str">
        <f ca="1">IFERROR(OFFSET(INDIRECT($H$3 &amp; "!A179"), 15, 0), "")</f>
        <v>시빅</v>
      </c>
      <c r="H71" s="45">
        <f t="shared" ca="1" si="25"/>
        <v>286</v>
      </c>
      <c r="I71" s="80">
        <f t="shared" ca="1" si="26"/>
        <v>3.5087718999999998E-3</v>
      </c>
      <c r="J71" s="99">
        <f t="shared" ca="1" si="22"/>
        <v>9476125.8710791897</v>
      </c>
      <c r="K71" s="56" t="str">
        <f ca="1">IFERROR(OFFSET(INDIRECT($H$3 &amp; "!A125"), 15, 0), "")</f>
        <v>아이오에스티</v>
      </c>
      <c r="L71" s="39">
        <f t="shared" ca="1" si="18"/>
        <v>25</v>
      </c>
      <c r="M71" s="77">
        <f t="shared" ca="1" si="19"/>
        <v>2.0408163300000001E-2</v>
      </c>
      <c r="N71" s="99">
        <f t="shared" ca="1" si="23"/>
        <v>59668076.324108481</v>
      </c>
      <c r="O71" s="56" t="str">
        <f ca="1">IFERROR(OFFSET(INDIRECT($H$3 &amp; "!A152"), 15, 0), "")</f>
        <v>엘프</v>
      </c>
      <c r="P71" s="39">
        <f t="shared" ca="1" si="20"/>
        <v>241</v>
      </c>
      <c r="Q71" s="77">
        <f t="shared" ca="1" si="21"/>
        <v>2.5531914900000001E-2</v>
      </c>
      <c r="R71" s="99">
        <f t="shared" ca="1" si="24"/>
        <v>8285285.4059619</v>
      </c>
    </row>
    <row r="72" spans="1:18">
      <c r="A72" s="40" t="s">
        <v>131</v>
      </c>
      <c r="B72" s="11" t="s">
        <v>132</v>
      </c>
      <c r="C72" s="95">
        <v>86.6</v>
      </c>
      <c r="D72" s="92">
        <v>3.4762457E-3</v>
      </c>
      <c r="E72" s="93">
        <v>46007521.438316613</v>
      </c>
      <c r="F72" s="35"/>
      <c r="G72" s="56" t="str">
        <f ca="1">IFERROR(OFFSET(INDIRECT($H$3 &amp; "!A179"), 16, 0), "")</f>
        <v>밀크</v>
      </c>
      <c r="H72" s="39">
        <f t="shared" ca="1" si="25"/>
        <v>1040</v>
      </c>
      <c r="I72" s="77">
        <f t="shared" ca="1" si="26"/>
        <v>1.9607843100000001E-2</v>
      </c>
      <c r="J72" s="86">
        <f t="shared" ca="1" si="22"/>
        <v>12953747.64642985</v>
      </c>
      <c r="K72" s="56" t="str">
        <f ca="1">IFERROR(OFFSET(INDIRECT($H$3 &amp; "!A125"), 16, 0), "")</f>
        <v>스테이터스네트워크토큰</v>
      </c>
      <c r="L72" s="39">
        <f t="shared" ca="1" si="18"/>
        <v>79.7</v>
      </c>
      <c r="M72" s="77">
        <f t="shared" ca="1" si="19"/>
        <v>4.3193717299999997E-2</v>
      </c>
      <c r="N72" s="86">
        <f t="shared" ca="1" si="23"/>
        <v>394459761.97741461</v>
      </c>
      <c r="O72" s="56" t="str">
        <f ca="1">IFERROR(OFFSET(INDIRECT($H$3 &amp; "!A152"), 16, 0), "")</f>
        <v>헤데라해시그래프</v>
      </c>
      <c r="P72" s="39">
        <f t="shared" ca="1" si="20"/>
        <v>202</v>
      </c>
      <c r="Q72" s="77">
        <f t="shared" ca="1" si="21"/>
        <v>0.01</v>
      </c>
      <c r="R72" s="86">
        <f t="shared" ca="1" si="24"/>
        <v>22512413.59225649</v>
      </c>
    </row>
    <row r="73" spans="1:18">
      <c r="A73" s="40" t="s">
        <v>50</v>
      </c>
      <c r="B73" s="11" t="s">
        <v>51</v>
      </c>
      <c r="C73" s="95">
        <v>289</v>
      </c>
      <c r="D73" s="92">
        <v>3.4722222000000001E-3</v>
      </c>
      <c r="E73" s="93">
        <v>29826039.468093749</v>
      </c>
      <c r="F73" s="35"/>
      <c r="G73" s="56" t="str">
        <f ca="1">IFERROR(OFFSET(INDIRECT($H$3 &amp; "!A179"), 17, 0), "")</f>
        <v>아이콘</v>
      </c>
      <c r="H73" s="39">
        <f t="shared" ca="1" si="25"/>
        <v>1085</v>
      </c>
      <c r="I73" s="77">
        <f t="shared" ca="1" si="26"/>
        <v>0</v>
      </c>
      <c r="J73" s="86">
        <f t="shared" ca="1" si="22"/>
        <v>8073333.2800272303</v>
      </c>
      <c r="K73" s="56" t="str">
        <f ca="1">IFERROR(OFFSET(INDIRECT($H$3 &amp; "!A125"), 17, 0), "")</f>
        <v>리퍼리움</v>
      </c>
      <c r="L73" s="39">
        <f t="shared" ca="1" si="18"/>
        <v>12</v>
      </c>
      <c r="M73" s="77">
        <f t="shared" ca="1" si="19"/>
        <v>3.4482758600000003E-2</v>
      </c>
      <c r="N73" s="86">
        <f t="shared" ca="1" si="23"/>
        <v>913144615.83959937</v>
      </c>
      <c r="O73" s="56" t="str">
        <f ca="1">IFERROR(OFFSET(INDIRECT($H$3 &amp; "!A152"), 17, 0), "")</f>
        <v>피르마체인</v>
      </c>
      <c r="P73" s="39">
        <f t="shared" ca="1" si="20"/>
        <v>113</v>
      </c>
      <c r="Q73" s="77">
        <f t="shared" ca="1" si="21"/>
        <v>1.8018018E-2</v>
      </c>
      <c r="R73" s="86">
        <f t="shared" ca="1" si="24"/>
        <v>69128200.726837516</v>
      </c>
    </row>
    <row r="74" spans="1:18">
      <c r="A74" s="40" t="s">
        <v>79</v>
      </c>
      <c r="B74" s="11" t="s">
        <v>80</v>
      </c>
      <c r="C74" s="95">
        <v>660</v>
      </c>
      <c r="D74" s="92">
        <v>3.0395137E-3</v>
      </c>
      <c r="E74" s="93">
        <v>1948405.91462519</v>
      </c>
      <c r="F74" s="35"/>
      <c r="G74" s="56" t="str">
        <f ca="1">IFERROR(OFFSET(INDIRECT($H$3 &amp; "!A179"), 18, 0), "")</f>
        <v>웨이브</v>
      </c>
      <c r="H74" s="39">
        <f t="shared" ca="1" si="25"/>
        <v>16940</v>
      </c>
      <c r="I74" s="77">
        <f t="shared" ca="1" si="26"/>
        <v>6.5359477000000001E-3</v>
      </c>
      <c r="J74" s="86">
        <f t="shared" ca="1" si="22"/>
        <v>332731.86378034001</v>
      </c>
      <c r="K74" s="56" t="str">
        <f ca="1">IFERROR(OFFSET(INDIRECT($H$3 &amp; "!A125"), 18, 0), "")</f>
        <v>시아코인</v>
      </c>
      <c r="L74" s="39">
        <f t="shared" ca="1" si="18"/>
        <v>15.3</v>
      </c>
      <c r="M74" s="77">
        <f t="shared" ca="1" si="19"/>
        <v>6.5789474000000001E-3</v>
      </c>
      <c r="N74" s="86">
        <f t="shared" ca="1" si="23"/>
        <v>330470122.00287139</v>
      </c>
      <c r="O74" s="56" t="str">
        <f ca="1">IFERROR(OFFSET(INDIRECT($H$3 &amp; "!A152"), 18, 0), "")</f>
        <v>헌트</v>
      </c>
      <c r="P74" s="39">
        <f t="shared" ca="1" si="20"/>
        <v>299</v>
      </c>
      <c r="Q74" s="77">
        <f t="shared" ca="1" si="21"/>
        <v>-6.6445183E-3</v>
      </c>
      <c r="R74" s="86">
        <f t="shared" ca="1" si="24"/>
        <v>33002551.606322981</v>
      </c>
    </row>
    <row r="75" spans="1:18" ht="17.25" thickBot="1">
      <c r="A75" s="40" t="s">
        <v>89</v>
      </c>
      <c r="B75" s="11" t="s">
        <v>90</v>
      </c>
      <c r="C75" s="95">
        <v>740</v>
      </c>
      <c r="D75" s="92">
        <v>2.7100270999999999E-3</v>
      </c>
      <c r="E75" s="93">
        <v>90472209.209942237</v>
      </c>
      <c r="F75" s="35"/>
      <c r="G75" s="57" t="str">
        <f ca="1">IFERROR(OFFSET(INDIRECT($H$3 &amp; "!A179"), 19, 0), "")</f>
        <v>이오스</v>
      </c>
      <c r="H75" s="37">
        <f t="shared" ca="1" si="25"/>
        <v>4795</v>
      </c>
      <c r="I75" s="79">
        <f t="shared" ca="1" si="26"/>
        <v>2.45726496E-2</v>
      </c>
      <c r="J75" s="87">
        <f t="shared" ca="1" si="22"/>
        <v>18819867.241288319</v>
      </c>
      <c r="K75" s="57" t="str">
        <f ca="1">IFERROR(OFFSET(INDIRECT($H$3 &amp; "!A125"), 19, 0), "")</f>
        <v>질리카</v>
      </c>
      <c r="L75" s="37">
        <f t="shared" ca="1" si="18"/>
        <v>86.6</v>
      </c>
      <c r="M75" s="79">
        <f t="shared" ca="1" si="19"/>
        <v>3.4762457E-3</v>
      </c>
      <c r="N75" s="87">
        <f t="shared" ca="1" si="23"/>
        <v>46007521.438316613</v>
      </c>
      <c r="O75" s="57" t="str">
        <f ca="1">IFERROR(OFFSET(INDIRECT($H$3 &amp; "!A152"), 19, 0), "")</f>
        <v>시빅</v>
      </c>
      <c r="P75" s="37">
        <f t="shared" ca="1" si="20"/>
        <v>286</v>
      </c>
      <c r="Q75" s="79">
        <f t="shared" ca="1" si="21"/>
        <v>3.5087718999999998E-3</v>
      </c>
      <c r="R75" s="87">
        <f t="shared" ca="1" si="24"/>
        <v>9476125.8710791897</v>
      </c>
    </row>
    <row r="76" spans="1:18">
      <c r="A76" s="40" t="s">
        <v>232</v>
      </c>
      <c r="B76" s="11" t="s">
        <v>233</v>
      </c>
      <c r="C76" s="95">
        <v>372</v>
      </c>
      <c r="D76" s="92">
        <v>2.6954178000000001E-3</v>
      </c>
      <c r="E76" s="93">
        <v>31721573.7836105</v>
      </c>
      <c r="F76" s="35"/>
      <c r="G76" s="35"/>
      <c r="H76" s="35"/>
      <c r="I76" s="35"/>
    </row>
    <row r="77" spans="1:18">
      <c r="A77" s="40" t="s">
        <v>62</v>
      </c>
      <c r="B77" s="11" t="s">
        <v>63</v>
      </c>
      <c r="C77" s="95">
        <v>40360</v>
      </c>
      <c r="D77" s="92">
        <v>2.4838549000000001E-3</v>
      </c>
      <c r="E77" s="93">
        <v>121433.65051371</v>
      </c>
      <c r="F77" s="35"/>
      <c r="G77" s="35"/>
      <c r="H77" s="35"/>
      <c r="I77" s="35"/>
    </row>
    <row r="78" spans="1:18">
      <c r="A78" s="40" t="s">
        <v>91</v>
      </c>
      <c r="B78" s="11" t="s">
        <v>92</v>
      </c>
      <c r="C78" s="95">
        <v>52010</v>
      </c>
      <c r="D78" s="92">
        <v>1.9264111000000001E-3</v>
      </c>
      <c r="E78" s="93">
        <v>163266.93904612001</v>
      </c>
      <c r="F78" s="35"/>
      <c r="G78" s="35"/>
      <c r="H78" s="35"/>
      <c r="I78" s="35"/>
    </row>
    <row r="79" spans="1:18">
      <c r="A79" s="40" t="s">
        <v>105</v>
      </c>
      <c r="B79" s="11" t="s">
        <v>106</v>
      </c>
      <c r="C79" s="95">
        <v>30950</v>
      </c>
      <c r="D79" s="92">
        <v>1.618123E-3</v>
      </c>
      <c r="E79" s="93">
        <v>135371.70928750001</v>
      </c>
      <c r="F79" s="35"/>
      <c r="G79" s="35"/>
      <c r="H79" s="35"/>
      <c r="I79" s="35"/>
    </row>
    <row r="80" spans="1:18">
      <c r="A80" s="40" t="s">
        <v>149</v>
      </c>
      <c r="B80" s="11" t="s">
        <v>150</v>
      </c>
      <c r="C80" s="95">
        <v>9.32</v>
      </c>
      <c r="D80" s="92">
        <v>1.0741138999999999E-3</v>
      </c>
      <c r="E80" s="93">
        <v>628869853.65250695</v>
      </c>
      <c r="F80" s="35"/>
      <c r="G80" s="35"/>
      <c r="H80" s="35"/>
      <c r="I80" s="35"/>
    </row>
    <row r="81" spans="1:9">
      <c r="A81" s="40" t="s">
        <v>107</v>
      </c>
      <c r="B81" s="11" t="s">
        <v>108</v>
      </c>
      <c r="C81" s="95">
        <v>1085</v>
      </c>
      <c r="D81" s="92">
        <v>0</v>
      </c>
      <c r="E81" s="93">
        <v>8073333.2800272303</v>
      </c>
      <c r="F81" s="35"/>
      <c r="G81" s="35"/>
      <c r="H81" s="35"/>
      <c r="I81" s="35"/>
    </row>
    <row r="82" spans="1:9">
      <c r="A82" s="40" t="s">
        <v>87</v>
      </c>
      <c r="B82" s="11" t="s">
        <v>88</v>
      </c>
      <c r="C82" s="95">
        <v>163500</v>
      </c>
      <c r="D82" s="92">
        <v>0</v>
      </c>
      <c r="E82" s="93">
        <v>13365.65898029</v>
      </c>
      <c r="F82" s="35"/>
      <c r="G82" s="35"/>
      <c r="H82" s="35"/>
      <c r="I82" s="35"/>
    </row>
    <row r="83" spans="1:9">
      <c r="A83" s="40" t="s">
        <v>71</v>
      </c>
      <c r="B83" s="11" t="s">
        <v>72</v>
      </c>
      <c r="C83" s="95">
        <v>18.2</v>
      </c>
      <c r="D83" s="92">
        <v>0</v>
      </c>
      <c r="E83" s="93">
        <v>173561203.68691772</v>
      </c>
      <c r="F83" s="35"/>
      <c r="G83" s="35"/>
      <c r="H83" s="35"/>
      <c r="I83" s="35"/>
    </row>
    <row r="84" spans="1:9">
      <c r="A84" s="40" t="s">
        <v>137</v>
      </c>
      <c r="B84" s="11" t="s">
        <v>138</v>
      </c>
      <c r="C84" s="95">
        <v>406</v>
      </c>
      <c r="D84" s="92">
        <v>0</v>
      </c>
      <c r="E84" s="93">
        <v>77552286.610026747</v>
      </c>
      <c r="F84" s="35"/>
      <c r="G84" s="35"/>
      <c r="H84" s="35"/>
      <c r="I84" s="35"/>
    </row>
    <row r="85" spans="1:9">
      <c r="A85" s="40" t="s">
        <v>195</v>
      </c>
      <c r="B85" s="11" t="s">
        <v>196</v>
      </c>
      <c r="C85" s="95">
        <v>3680</v>
      </c>
      <c r="D85" s="92">
        <v>0</v>
      </c>
      <c r="E85" s="93">
        <v>36611715.795000523</v>
      </c>
      <c r="F85" s="35"/>
      <c r="G85" s="35"/>
      <c r="H85" s="35"/>
      <c r="I85" s="35"/>
    </row>
    <row r="86" spans="1:9">
      <c r="A86" s="40" t="s">
        <v>77</v>
      </c>
      <c r="B86" s="11" t="s">
        <v>78</v>
      </c>
      <c r="C86" s="95">
        <v>587000</v>
      </c>
      <c r="D86" s="92">
        <v>-1.0211027999999999E-3</v>
      </c>
      <c r="E86" s="93">
        <v>9394.4063578400001</v>
      </c>
      <c r="F86" s="35"/>
      <c r="G86" s="35"/>
      <c r="H86" s="35"/>
      <c r="I86" s="35"/>
    </row>
    <row r="87" spans="1:9">
      <c r="A87" s="40" t="s">
        <v>103</v>
      </c>
      <c r="B87" s="11" t="s">
        <v>104</v>
      </c>
      <c r="C87" s="95">
        <v>936</v>
      </c>
      <c r="D87" s="92">
        <v>-4.2553191000000001E-3</v>
      </c>
      <c r="E87" s="93">
        <v>3538305.6456120601</v>
      </c>
      <c r="F87" s="35"/>
      <c r="G87" s="35"/>
      <c r="H87" s="35"/>
      <c r="I87" s="35"/>
    </row>
    <row r="88" spans="1:9">
      <c r="A88" s="40" t="s">
        <v>159</v>
      </c>
      <c r="B88" s="11" t="s">
        <v>160</v>
      </c>
      <c r="C88" s="95">
        <v>1115</v>
      </c>
      <c r="D88" s="92">
        <v>-4.4642856999999999E-3</v>
      </c>
      <c r="E88" s="93">
        <v>3468870.36074646</v>
      </c>
      <c r="F88" s="35"/>
      <c r="G88" s="35"/>
      <c r="H88" s="35"/>
      <c r="I88" s="35"/>
    </row>
    <row r="89" spans="1:9">
      <c r="A89" s="40" t="s">
        <v>244</v>
      </c>
      <c r="B89" s="11" t="s">
        <v>245</v>
      </c>
      <c r="C89" s="95">
        <v>1110</v>
      </c>
      <c r="D89" s="92">
        <v>-4.4843048999999996E-3</v>
      </c>
      <c r="E89" s="93">
        <v>2283961.19045173</v>
      </c>
      <c r="F89" s="35"/>
      <c r="G89" s="35"/>
      <c r="H89" s="35"/>
      <c r="I89" s="35"/>
    </row>
    <row r="90" spans="1:9">
      <c r="A90" s="40" t="s">
        <v>254</v>
      </c>
      <c r="B90" s="11" t="s">
        <v>255</v>
      </c>
      <c r="C90" s="95">
        <v>190</v>
      </c>
      <c r="D90" s="92">
        <v>-5.2356021000000003E-3</v>
      </c>
      <c r="E90" s="93">
        <v>10571579.60369326</v>
      </c>
      <c r="F90" s="35"/>
      <c r="G90" s="35"/>
      <c r="H90" s="35"/>
      <c r="I90" s="35"/>
    </row>
    <row r="91" spans="1:9">
      <c r="A91" s="40" t="s">
        <v>153</v>
      </c>
      <c r="B91" s="11" t="s">
        <v>154</v>
      </c>
      <c r="C91" s="95">
        <v>20740</v>
      </c>
      <c r="D91" s="92">
        <v>-5.2757793999999997E-3</v>
      </c>
      <c r="E91" s="93">
        <v>16185354.00635089</v>
      </c>
      <c r="F91" s="35"/>
      <c r="G91" s="35"/>
      <c r="H91" s="35"/>
      <c r="I91" s="35"/>
    </row>
    <row r="92" spans="1:9">
      <c r="A92" s="40" t="s">
        <v>183</v>
      </c>
      <c r="B92" s="11" t="s">
        <v>184</v>
      </c>
      <c r="C92" s="95">
        <v>874</v>
      </c>
      <c r="D92" s="92">
        <v>-5.6882820999999998E-3</v>
      </c>
      <c r="E92" s="93">
        <v>12106227.15086312</v>
      </c>
      <c r="F92" s="35"/>
      <c r="G92" s="35"/>
      <c r="H92" s="35"/>
      <c r="I92" s="35"/>
    </row>
    <row r="93" spans="1:9">
      <c r="A93" s="40" t="s">
        <v>227</v>
      </c>
      <c r="B93" s="11" t="s">
        <v>228</v>
      </c>
      <c r="C93" s="95">
        <v>299</v>
      </c>
      <c r="D93" s="92">
        <v>-6.6445183E-3</v>
      </c>
      <c r="E93" s="93">
        <v>33002551.606322981</v>
      </c>
      <c r="F93" s="35"/>
      <c r="G93" s="35"/>
      <c r="H93" s="35"/>
      <c r="I93" s="35"/>
    </row>
    <row r="94" spans="1:9">
      <c r="A94" s="40" t="s">
        <v>187</v>
      </c>
      <c r="B94" s="11" t="s">
        <v>188</v>
      </c>
      <c r="C94" s="95">
        <v>9.6999999999999993</v>
      </c>
      <c r="D94" s="92">
        <v>-1.22199593E-2</v>
      </c>
      <c r="E94" s="93">
        <v>420983950.22488403</v>
      </c>
      <c r="F94" s="35"/>
      <c r="G94" s="35"/>
      <c r="H94" s="35"/>
      <c r="I94" s="35"/>
    </row>
    <row r="95" spans="1:9">
      <c r="A95" s="40" t="s">
        <v>230</v>
      </c>
      <c r="B95" s="11" t="s">
        <v>231</v>
      </c>
      <c r="C95" s="95">
        <v>153</v>
      </c>
      <c r="D95" s="92">
        <v>-1.2903225799999999E-2</v>
      </c>
      <c r="E95" s="93">
        <v>20475941.047768328</v>
      </c>
      <c r="F95" s="35"/>
      <c r="G95" s="35"/>
      <c r="H95" s="35"/>
      <c r="I95" s="35"/>
    </row>
    <row r="96" spans="1:9">
      <c r="A96" s="40" t="s">
        <v>242</v>
      </c>
      <c r="B96" s="11" t="s">
        <v>243</v>
      </c>
      <c r="C96" s="95">
        <v>369</v>
      </c>
      <c r="D96" s="92">
        <v>-1.3368984E-2</v>
      </c>
      <c r="E96" s="93">
        <v>3847373.24323826</v>
      </c>
      <c r="F96" s="35"/>
      <c r="G96" s="35"/>
      <c r="H96" s="35"/>
      <c r="I96" s="35"/>
    </row>
    <row r="97" spans="1:9">
      <c r="A97" s="40" t="s">
        <v>250</v>
      </c>
      <c r="B97" s="11" t="s">
        <v>251</v>
      </c>
      <c r="C97" s="95">
        <v>59</v>
      </c>
      <c r="D97" s="92">
        <v>-1.33779264E-2</v>
      </c>
      <c r="E97" s="93">
        <v>49975587.593031511</v>
      </c>
      <c r="F97" s="35"/>
      <c r="G97" s="35"/>
      <c r="H97" s="35"/>
      <c r="I97" s="35"/>
    </row>
    <row r="98" spans="1:9">
      <c r="A98" s="40" t="s">
        <v>60</v>
      </c>
      <c r="B98" s="11" t="s">
        <v>61</v>
      </c>
      <c r="C98" s="95">
        <v>870</v>
      </c>
      <c r="D98" s="92">
        <v>-1.6949152499999998E-2</v>
      </c>
      <c r="E98" s="93">
        <v>64975773.878899448</v>
      </c>
      <c r="F98" s="35"/>
      <c r="G98" s="35"/>
      <c r="H98" s="35"/>
      <c r="I98" s="35"/>
    </row>
    <row r="99" spans="1:9">
      <c r="A99" s="40" t="s">
        <v>240</v>
      </c>
      <c r="B99" s="11" t="s">
        <v>241</v>
      </c>
      <c r="C99" s="95">
        <v>53.9</v>
      </c>
      <c r="D99" s="92">
        <v>-1.82149362E-2</v>
      </c>
      <c r="E99" s="93">
        <v>253667953.46753153</v>
      </c>
      <c r="F99" s="35"/>
      <c r="G99" s="35"/>
      <c r="H99" s="35"/>
      <c r="I99" s="35"/>
    </row>
    <row r="100" spans="1:9">
      <c r="A100" s="40" t="s">
        <v>219</v>
      </c>
      <c r="B100" s="11" t="s">
        <v>220</v>
      </c>
      <c r="C100" s="95">
        <v>169</v>
      </c>
      <c r="D100" s="92">
        <v>-2.3121387300000001E-2</v>
      </c>
      <c r="E100" s="93">
        <v>113890532.62104782</v>
      </c>
      <c r="F100" s="35"/>
      <c r="G100" s="35"/>
      <c r="H100" s="35"/>
      <c r="I100" s="35"/>
    </row>
    <row r="101" spans="1:9">
      <c r="A101" s="40" t="s">
        <v>209</v>
      </c>
      <c r="B101" s="11" t="s">
        <v>210</v>
      </c>
      <c r="C101" s="95">
        <v>9.5</v>
      </c>
      <c r="D101" s="92">
        <v>-2.5641025599999999E-2</v>
      </c>
      <c r="E101" s="93">
        <v>701215073.64674616</v>
      </c>
      <c r="F101" s="35"/>
      <c r="G101" s="35"/>
      <c r="H101" s="35"/>
      <c r="I101" s="35"/>
    </row>
    <row r="102" spans="1:9">
      <c r="A102" s="40" t="s">
        <v>197</v>
      </c>
      <c r="B102" s="11" t="s">
        <v>198</v>
      </c>
      <c r="C102" s="95">
        <v>21640</v>
      </c>
      <c r="D102" s="92">
        <v>-2.5664115299999998E-2</v>
      </c>
      <c r="E102" s="93">
        <v>17831272.631281208</v>
      </c>
      <c r="F102" s="35"/>
      <c r="G102" s="35"/>
      <c r="H102" s="35"/>
      <c r="I102" s="35"/>
    </row>
    <row r="103" spans="1:9">
      <c r="A103" s="40" t="s">
        <v>113</v>
      </c>
      <c r="B103" s="11" t="s">
        <v>114</v>
      </c>
      <c r="C103" s="95">
        <v>562</v>
      </c>
      <c r="D103" s="92">
        <v>-3.6020583199999998E-2</v>
      </c>
      <c r="E103" s="93">
        <v>197758737.94729596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66</v>
      </c>
      <c r="B2" s="11" t="s">
        <v>67</v>
      </c>
      <c r="C2" s="95">
        <v>4135</v>
      </c>
      <c r="D2" s="92">
        <v>0.32532051280000002</v>
      </c>
      <c r="E2" s="93">
        <v>102515952.73101903</v>
      </c>
      <c r="F2" s="35"/>
      <c r="G2" s="54"/>
      <c r="H2" s="35"/>
      <c r="I2" s="35"/>
    </row>
    <row r="3" spans="1:18" ht="17.25" thickBot="1">
      <c r="A3" s="40" t="s">
        <v>119</v>
      </c>
      <c r="B3" s="11" t="s">
        <v>120</v>
      </c>
      <c r="C3" s="95">
        <v>2885</v>
      </c>
      <c r="D3" s="92">
        <v>0.1182170543</v>
      </c>
      <c r="E3" s="93">
        <v>39871169.420358852</v>
      </c>
      <c r="F3" s="35"/>
      <c r="G3" s="271" t="s">
        <v>261</v>
      </c>
      <c r="H3" s="283" t="s">
        <v>334</v>
      </c>
      <c r="I3" s="283"/>
      <c r="K3" s="227" t="s">
        <v>34</v>
      </c>
      <c r="L3" s="228"/>
      <c r="M3" s="228"/>
      <c r="N3" s="229"/>
      <c r="O3" s="227" t="s">
        <v>262</v>
      </c>
      <c r="P3" s="228"/>
      <c r="Q3" s="228"/>
      <c r="R3" s="229"/>
    </row>
    <row r="4" spans="1:18" ht="17.25" thickBot="1">
      <c r="A4" s="40" t="s">
        <v>193</v>
      </c>
      <c r="B4" s="11" t="s">
        <v>194</v>
      </c>
      <c r="C4" s="95">
        <v>136</v>
      </c>
      <c r="D4" s="92">
        <v>0.1056910569</v>
      </c>
      <c r="E4" s="93">
        <v>253614125.80860037</v>
      </c>
      <c r="F4" s="35"/>
      <c r="G4" s="272"/>
      <c r="H4" s="284"/>
      <c r="I4" s="284"/>
      <c r="K4" s="264" t="s">
        <v>55</v>
      </c>
      <c r="L4" s="280">
        <f ca="1">NOW()</f>
        <v>44389.02419236111</v>
      </c>
      <c r="M4" s="281"/>
      <c r="N4" s="282"/>
      <c r="O4" s="279" t="s">
        <v>55</v>
      </c>
      <c r="P4" s="280">
        <f ca="1">NOW()</f>
        <v>44389.02419236111</v>
      </c>
      <c r="Q4" s="281"/>
      <c r="R4" s="282"/>
    </row>
    <row r="5" spans="1:18" ht="17.25" thickBot="1">
      <c r="A5" s="40" t="s">
        <v>155</v>
      </c>
      <c r="B5" s="11" t="s">
        <v>156</v>
      </c>
      <c r="C5" s="95">
        <v>1635</v>
      </c>
      <c r="D5" s="92">
        <v>7.9207920799999998E-2</v>
      </c>
      <c r="E5" s="93">
        <v>13817610.43187744</v>
      </c>
      <c r="F5" s="35"/>
      <c r="K5" s="272"/>
      <c r="L5" s="51" t="s">
        <v>58</v>
      </c>
      <c r="M5" s="73" t="s">
        <v>59</v>
      </c>
      <c r="N5" s="69" t="s">
        <v>265</v>
      </c>
      <c r="O5" s="250"/>
      <c r="P5" s="51" t="s">
        <v>58</v>
      </c>
      <c r="Q5" s="73" t="s">
        <v>59</v>
      </c>
      <c r="R5" s="91" t="s">
        <v>265</v>
      </c>
    </row>
    <row r="6" spans="1:18" ht="17.25" thickBot="1">
      <c r="A6" s="40" t="s">
        <v>167</v>
      </c>
      <c r="B6" s="11" t="s">
        <v>168</v>
      </c>
      <c r="C6" s="95">
        <v>1560</v>
      </c>
      <c r="D6" s="92">
        <v>6.4846416399999995E-2</v>
      </c>
      <c r="E6" s="93">
        <v>121770922.90110008</v>
      </c>
      <c r="F6" s="35"/>
      <c r="G6" s="227" t="s">
        <v>52</v>
      </c>
      <c r="H6" s="228"/>
      <c r="I6" s="229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67</v>
      </c>
      <c r="P6" s="38">
        <f t="shared" ref="P6:P25" si="2">_xlfn.IFNA(VLOOKUP(O6, $B$2:$D$200, 2, FALSE), "")</f>
        <v>4135</v>
      </c>
      <c r="Q6" s="76">
        <f t="shared" ref="Q6:Q25" si="3">_xlfn.IFNA(VLOOKUP(O6, $B$2:$D$200, 3, FALSE), "")</f>
        <v>0.32532051280000002</v>
      </c>
      <c r="R6" s="85">
        <f>_xlfn.IFNA(VLOOKUP(O6, $B$2:$E$200, 4, FALSE), "")</f>
        <v>102515952.73101903</v>
      </c>
    </row>
    <row r="7" spans="1:18">
      <c r="A7" s="40" t="s">
        <v>117</v>
      </c>
      <c r="B7" s="11" t="s">
        <v>118</v>
      </c>
      <c r="C7" s="95">
        <v>149</v>
      </c>
      <c r="D7" s="92">
        <v>6.4285714300000005E-2</v>
      </c>
      <c r="E7" s="93">
        <v>70178283.026569098</v>
      </c>
      <c r="F7" s="35"/>
      <c r="G7" s="255" t="s">
        <v>36</v>
      </c>
      <c r="H7" s="256"/>
      <c r="I7" s="257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120</v>
      </c>
      <c r="P7" s="39">
        <f t="shared" si="2"/>
        <v>2885</v>
      </c>
      <c r="Q7" s="77">
        <f t="shared" si="3"/>
        <v>0.1182170543</v>
      </c>
      <c r="R7" s="86">
        <f t="shared" ref="R7:R25" si="5">_xlfn.IFNA(VLOOKUP(O7, $B$2:$E$200, 4, FALSE), "")</f>
        <v>39871169.420358852</v>
      </c>
    </row>
    <row r="8" spans="1:18" ht="17.25" thickBot="1">
      <c r="A8" s="40" t="s">
        <v>185</v>
      </c>
      <c r="B8" s="11" t="s">
        <v>186</v>
      </c>
      <c r="C8" s="95">
        <v>6435</v>
      </c>
      <c r="D8" s="92">
        <v>6.2758051199999998E-2</v>
      </c>
      <c r="E8" s="93">
        <v>8280318.9170151604</v>
      </c>
      <c r="F8" s="35"/>
      <c r="G8" s="248"/>
      <c r="H8" s="249"/>
      <c r="I8" s="25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194</v>
      </c>
      <c r="P8" s="39">
        <f t="shared" si="2"/>
        <v>136</v>
      </c>
      <c r="Q8" s="77">
        <f t="shared" si="3"/>
        <v>0.1056910569</v>
      </c>
      <c r="R8" s="86">
        <f t="shared" si="5"/>
        <v>253614125.80860037</v>
      </c>
    </row>
    <row r="9" spans="1:18" ht="17.25" thickBot="1">
      <c r="A9" s="40" t="s">
        <v>201</v>
      </c>
      <c r="B9" s="11" t="s">
        <v>202</v>
      </c>
      <c r="C9" s="95">
        <v>57.1</v>
      </c>
      <c r="D9" s="92">
        <v>5.9369202199999999E-2</v>
      </c>
      <c r="E9" s="93">
        <v>962851886.28228116</v>
      </c>
      <c r="F9" s="35"/>
      <c r="G9" s="50" t="s">
        <v>38</v>
      </c>
      <c r="H9" s="228" t="s">
        <v>37</v>
      </c>
      <c r="I9" s="22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156</v>
      </c>
      <c r="P9" s="39">
        <f t="shared" si="2"/>
        <v>1635</v>
      </c>
      <c r="Q9" s="77">
        <f t="shared" si="3"/>
        <v>7.9207920799999998E-2</v>
      </c>
      <c r="R9" s="86">
        <f t="shared" si="5"/>
        <v>13817610.43187744</v>
      </c>
    </row>
    <row r="10" spans="1:18">
      <c r="A10" s="40" t="s">
        <v>171</v>
      </c>
      <c r="B10" s="11" t="s">
        <v>172</v>
      </c>
      <c r="C10" s="95">
        <v>1955</v>
      </c>
      <c r="D10" s="92">
        <v>5.6756756800000002E-2</v>
      </c>
      <c r="E10" s="93">
        <v>24284976.82103119</v>
      </c>
      <c r="F10" s="35"/>
      <c r="G10" s="273">
        <f>_xlfn.IFNA(VLOOKUP(G7, $B$2:$D$200, 3, FALSE), "-")</f>
        <v>7.3184273000000003E-3</v>
      </c>
      <c r="H10" s="275">
        <f>_xlfn.IFNA(VLOOKUP(G7, $B$2:$D$200, 2, FALSE), "-")</f>
        <v>39916000</v>
      </c>
      <c r="I10" s="276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168</v>
      </c>
      <c r="P10" s="39">
        <f t="shared" si="2"/>
        <v>1560</v>
      </c>
      <c r="Q10" s="77">
        <f t="shared" si="3"/>
        <v>6.4846416399999995E-2</v>
      </c>
      <c r="R10" s="90">
        <f t="shared" si="5"/>
        <v>121770922.90110008</v>
      </c>
    </row>
    <row r="11" spans="1:18" ht="17.25" thickBot="1">
      <c r="A11" s="40" t="s">
        <v>234</v>
      </c>
      <c r="B11" s="11" t="s">
        <v>235</v>
      </c>
      <c r="C11" s="95">
        <v>54.7</v>
      </c>
      <c r="D11" s="92">
        <v>5.5984555999999998E-2</v>
      </c>
      <c r="E11" s="93">
        <v>679826209.97542596</v>
      </c>
      <c r="F11" s="35"/>
      <c r="G11" s="274"/>
      <c r="H11" s="277"/>
      <c r="I11" s="278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118</v>
      </c>
      <c r="P11" s="45">
        <f t="shared" si="2"/>
        <v>149</v>
      </c>
      <c r="Q11" s="80">
        <f t="shared" si="3"/>
        <v>6.4285714300000005E-2</v>
      </c>
      <c r="R11" s="99">
        <f t="shared" si="5"/>
        <v>70178283.026569098</v>
      </c>
    </row>
    <row r="12" spans="1:18" ht="17.25" thickBot="1">
      <c r="A12" s="40" t="s">
        <v>236</v>
      </c>
      <c r="B12" s="11" t="s">
        <v>237</v>
      </c>
      <c r="C12" s="95">
        <v>489</v>
      </c>
      <c r="D12" s="92">
        <v>4.7109207700000003E-2</v>
      </c>
      <c r="E12" s="93">
        <v>124851727.62509599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186</v>
      </c>
      <c r="P12" s="39">
        <f t="shared" si="2"/>
        <v>6435</v>
      </c>
      <c r="Q12" s="77">
        <f t="shared" si="3"/>
        <v>6.2758051199999998E-2</v>
      </c>
      <c r="R12" s="86">
        <f t="shared" si="5"/>
        <v>8280318.9170151604</v>
      </c>
    </row>
    <row r="13" spans="1:18" ht="17.25" thickBot="1">
      <c r="A13" s="40" t="s">
        <v>161</v>
      </c>
      <c r="B13" s="11" t="s">
        <v>162</v>
      </c>
      <c r="C13" s="95">
        <v>79.7</v>
      </c>
      <c r="D13" s="92">
        <v>4.3193717299999997E-2</v>
      </c>
      <c r="E13" s="93">
        <v>394459761.97741461</v>
      </c>
      <c r="F13" s="35"/>
      <c r="G13" s="227" t="s">
        <v>70</v>
      </c>
      <c r="H13" s="228"/>
      <c r="I13" s="22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202</v>
      </c>
      <c r="P13" s="39">
        <f t="shared" si="2"/>
        <v>57.1</v>
      </c>
      <c r="Q13" s="77">
        <f t="shared" si="3"/>
        <v>5.9369202199999999E-2</v>
      </c>
      <c r="R13" s="86">
        <f t="shared" si="5"/>
        <v>962851886.28228116</v>
      </c>
    </row>
    <row r="14" spans="1:18">
      <c r="A14" s="40" t="s">
        <v>139</v>
      </c>
      <c r="B14" s="11" t="s">
        <v>140</v>
      </c>
      <c r="C14" s="95">
        <v>4990</v>
      </c>
      <c r="D14" s="92">
        <v>3.9583333300000002E-2</v>
      </c>
      <c r="E14" s="93">
        <v>807593.35614815995</v>
      </c>
      <c r="F14" s="35"/>
      <c r="G14" s="255" t="s">
        <v>36</v>
      </c>
      <c r="H14" s="256"/>
      <c r="I14" s="257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172</v>
      </c>
      <c r="P14" s="39">
        <f t="shared" si="2"/>
        <v>1955</v>
      </c>
      <c r="Q14" s="77">
        <f t="shared" si="3"/>
        <v>5.6756756800000002E-2</v>
      </c>
      <c r="R14" s="86">
        <f t="shared" si="5"/>
        <v>24284976.82103119</v>
      </c>
    </row>
    <row r="15" spans="1:18" ht="17.25" thickBot="1">
      <c r="A15" s="40" t="s">
        <v>173</v>
      </c>
      <c r="B15" s="11" t="s">
        <v>174</v>
      </c>
      <c r="C15" s="95">
        <v>226</v>
      </c>
      <c r="D15" s="92">
        <v>3.6697247699999998E-2</v>
      </c>
      <c r="E15" s="93">
        <v>92987936.46903722</v>
      </c>
      <c r="F15" s="35"/>
      <c r="G15" s="248"/>
      <c r="H15" s="249"/>
      <c r="I15" s="25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235</v>
      </c>
      <c r="P15" s="37">
        <f t="shared" si="2"/>
        <v>54.7</v>
      </c>
      <c r="Q15" s="79">
        <f t="shared" si="3"/>
        <v>5.5984555999999998E-2</v>
      </c>
      <c r="R15" s="87">
        <f t="shared" si="5"/>
        <v>679826209.97542596</v>
      </c>
    </row>
    <row r="16" spans="1:18" ht="17.25" thickBot="1">
      <c r="A16" s="40" t="s">
        <v>203</v>
      </c>
      <c r="B16" s="11" t="s">
        <v>204</v>
      </c>
      <c r="C16" s="95">
        <v>12</v>
      </c>
      <c r="D16" s="92">
        <v>3.4482758600000003E-2</v>
      </c>
      <c r="E16" s="93">
        <v>913144615.83959937</v>
      </c>
      <c r="F16" s="35"/>
      <c r="G16" s="50" t="s">
        <v>38</v>
      </c>
      <c r="H16" s="228" t="s">
        <v>37</v>
      </c>
      <c r="I16" s="22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237</v>
      </c>
      <c r="P16" s="38">
        <f t="shared" si="2"/>
        <v>489</v>
      </c>
      <c r="Q16" s="76">
        <f t="shared" si="3"/>
        <v>4.7109207700000003E-2</v>
      </c>
      <c r="R16" s="85">
        <f t="shared" si="5"/>
        <v>124851727.62509599</v>
      </c>
    </row>
    <row r="17" spans="1:18">
      <c r="A17" s="40" t="s">
        <v>223</v>
      </c>
      <c r="B17" s="11" t="s">
        <v>224</v>
      </c>
      <c r="C17" s="95">
        <v>2990</v>
      </c>
      <c r="D17" s="92">
        <v>3.1034482799999999E-2</v>
      </c>
      <c r="E17" s="93">
        <v>1532747.5287778401</v>
      </c>
      <c r="F17" s="35"/>
      <c r="G17" s="273">
        <f>_xlfn.IFNA(VLOOKUP(G14, $B$2:$D$200, 3, FALSE), "-")</f>
        <v>7.3184273000000003E-3</v>
      </c>
      <c r="H17" s="275">
        <f>_xlfn.IFNA(VLOOKUP(G14, $B$2:$D$200, 2, FALSE), "-")</f>
        <v>39916000</v>
      </c>
      <c r="I17" s="276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162</v>
      </c>
      <c r="P17" s="39">
        <f t="shared" si="2"/>
        <v>79.7</v>
      </c>
      <c r="Q17" s="77">
        <f t="shared" si="3"/>
        <v>4.3193717299999997E-2</v>
      </c>
      <c r="R17" s="86">
        <f t="shared" si="5"/>
        <v>394459761.97741461</v>
      </c>
    </row>
    <row r="18" spans="1:18" ht="17.25" thickBot="1">
      <c r="A18" s="40" t="s">
        <v>246</v>
      </c>
      <c r="B18" s="11" t="s">
        <v>247</v>
      </c>
      <c r="C18" s="95">
        <v>7175</v>
      </c>
      <c r="D18" s="92">
        <v>3.0150753799999999E-2</v>
      </c>
      <c r="E18" s="93">
        <v>4634147.1147977998</v>
      </c>
      <c r="F18" s="35"/>
      <c r="G18" s="274"/>
      <c r="H18" s="277"/>
      <c r="I18" s="278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140</v>
      </c>
      <c r="P18" s="39">
        <f t="shared" si="2"/>
        <v>4990</v>
      </c>
      <c r="Q18" s="77">
        <f t="shared" si="3"/>
        <v>3.9583333300000002E-2</v>
      </c>
      <c r="R18" s="86">
        <f t="shared" si="5"/>
        <v>807593.35614815995</v>
      </c>
    </row>
    <row r="19" spans="1:18" ht="17.25" thickBot="1">
      <c r="A19" s="40" t="s">
        <v>217</v>
      </c>
      <c r="B19" s="11" t="s">
        <v>218</v>
      </c>
      <c r="C19" s="95">
        <v>104</v>
      </c>
      <c r="D19" s="92">
        <v>2.9702970299999999E-2</v>
      </c>
      <c r="E19" s="93">
        <v>99545893.013418302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174</v>
      </c>
      <c r="P19" s="39">
        <f t="shared" si="2"/>
        <v>226</v>
      </c>
      <c r="Q19" s="77">
        <f t="shared" si="3"/>
        <v>3.6697247699999998E-2</v>
      </c>
      <c r="R19" s="86">
        <f t="shared" si="5"/>
        <v>92987936.46903722</v>
      </c>
    </row>
    <row r="20" spans="1:18" ht="17.25" thickBot="1">
      <c r="A20" s="40" t="s">
        <v>207</v>
      </c>
      <c r="B20" s="11" t="s">
        <v>208</v>
      </c>
      <c r="C20" s="95">
        <v>9.76</v>
      </c>
      <c r="D20" s="92">
        <v>2.9535865000000001E-2</v>
      </c>
      <c r="E20" s="93">
        <v>540690592.53909171</v>
      </c>
      <c r="F20" s="35"/>
      <c r="G20" s="227" t="s">
        <v>257</v>
      </c>
      <c r="H20" s="228"/>
      <c r="I20" s="22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204</v>
      </c>
      <c r="P20" s="39">
        <f t="shared" si="2"/>
        <v>12</v>
      </c>
      <c r="Q20" s="77">
        <f t="shared" si="3"/>
        <v>3.4482758600000003E-2</v>
      </c>
      <c r="R20" s="90">
        <f t="shared" si="5"/>
        <v>913144615.83959937</v>
      </c>
    </row>
    <row r="21" spans="1:18">
      <c r="A21" s="40" t="s">
        <v>177</v>
      </c>
      <c r="B21" s="11" t="s">
        <v>178</v>
      </c>
      <c r="C21" s="95">
        <v>14.3</v>
      </c>
      <c r="D21" s="92">
        <v>2.87769784E-2</v>
      </c>
      <c r="E21" s="93">
        <v>424955111.98661906</v>
      </c>
      <c r="F21" s="35"/>
      <c r="G21" s="255" t="s">
        <v>36</v>
      </c>
      <c r="H21" s="256"/>
      <c r="I21" s="257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224</v>
      </c>
      <c r="P21" s="45">
        <f t="shared" si="2"/>
        <v>2990</v>
      </c>
      <c r="Q21" s="80">
        <f t="shared" si="3"/>
        <v>3.1034482799999999E-2</v>
      </c>
      <c r="R21" s="99">
        <f t="shared" si="5"/>
        <v>1532747.5287778401</v>
      </c>
    </row>
    <row r="22" spans="1:18" ht="17.25" thickBot="1">
      <c r="A22" s="40" t="s">
        <v>205</v>
      </c>
      <c r="B22" s="11" t="s">
        <v>206</v>
      </c>
      <c r="C22" s="95">
        <v>226</v>
      </c>
      <c r="D22" s="92">
        <v>2.7272727300000001E-2</v>
      </c>
      <c r="E22" s="93">
        <v>56483707.185996369</v>
      </c>
      <c r="F22" s="35"/>
      <c r="G22" s="248"/>
      <c r="H22" s="249"/>
      <c r="I22" s="25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247</v>
      </c>
      <c r="P22" s="39">
        <f t="shared" si="2"/>
        <v>7175</v>
      </c>
      <c r="Q22" s="77">
        <f t="shared" si="3"/>
        <v>3.0150753799999999E-2</v>
      </c>
      <c r="R22" s="86">
        <f t="shared" si="5"/>
        <v>4634147.1147977998</v>
      </c>
    </row>
    <row r="23" spans="1:18" ht="17.25" thickBot="1">
      <c r="A23" s="40" t="s">
        <v>248</v>
      </c>
      <c r="B23" s="11" t="s">
        <v>249</v>
      </c>
      <c r="C23" s="95">
        <v>1950</v>
      </c>
      <c r="D23" s="92">
        <v>2.6315789499999999E-2</v>
      </c>
      <c r="E23" s="93">
        <v>5099742.9480964802</v>
      </c>
      <c r="F23" s="35"/>
      <c r="G23" s="50" t="s">
        <v>38</v>
      </c>
      <c r="H23" s="228" t="s">
        <v>37</v>
      </c>
      <c r="I23" s="22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218</v>
      </c>
      <c r="P23" s="39">
        <f t="shared" si="2"/>
        <v>104</v>
      </c>
      <c r="Q23" s="77">
        <f t="shared" si="3"/>
        <v>2.9702970299999999E-2</v>
      </c>
      <c r="R23" s="86">
        <f t="shared" si="5"/>
        <v>99545893.013418302</v>
      </c>
    </row>
    <row r="24" spans="1:18">
      <c r="A24" s="40" t="s">
        <v>163</v>
      </c>
      <c r="B24" s="11" t="s">
        <v>164</v>
      </c>
      <c r="C24" s="95">
        <v>241</v>
      </c>
      <c r="D24" s="92">
        <v>2.5531914900000001E-2</v>
      </c>
      <c r="E24" s="93">
        <v>8285285.4059619</v>
      </c>
      <c r="F24" s="35"/>
      <c r="G24" s="273">
        <f>_xlfn.IFNA(VLOOKUP(G21, $B$2:$D$200, 3, FALSE), "-")</f>
        <v>7.3184273000000003E-3</v>
      </c>
      <c r="H24" s="275">
        <f>_xlfn.IFNA(VLOOKUP(G21, $B$2:$D$200, 2, FALSE), "-")</f>
        <v>39916000</v>
      </c>
      <c r="I24" s="276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208</v>
      </c>
      <c r="P24" s="39">
        <f t="shared" si="2"/>
        <v>9.76</v>
      </c>
      <c r="Q24" s="77">
        <f t="shared" si="3"/>
        <v>2.9535865000000001E-2</v>
      </c>
      <c r="R24" s="86">
        <f t="shared" si="5"/>
        <v>540690592.53909171</v>
      </c>
    </row>
    <row r="25" spans="1:18" ht="17.25" thickBot="1">
      <c r="A25" s="40" t="s">
        <v>135</v>
      </c>
      <c r="B25" s="11" t="s">
        <v>136</v>
      </c>
      <c r="C25" s="95">
        <v>1810</v>
      </c>
      <c r="D25" s="92">
        <v>2.54957507E-2</v>
      </c>
      <c r="E25" s="93">
        <v>867887.89363205002</v>
      </c>
      <c r="F25" s="35"/>
      <c r="G25" s="274"/>
      <c r="H25" s="277"/>
      <c r="I25" s="278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178</v>
      </c>
      <c r="P25" s="37">
        <f t="shared" si="2"/>
        <v>14.3</v>
      </c>
      <c r="Q25" s="79">
        <f t="shared" si="3"/>
        <v>2.87769784E-2</v>
      </c>
      <c r="R25" s="87">
        <f t="shared" si="5"/>
        <v>424955111.98661906</v>
      </c>
    </row>
    <row r="26" spans="1:18">
      <c r="A26" s="40" t="s">
        <v>109</v>
      </c>
      <c r="B26" s="11" t="s">
        <v>110</v>
      </c>
      <c r="C26" s="95">
        <v>122</v>
      </c>
      <c r="D26" s="92">
        <v>2.5210084000000001E-2</v>
      </c>
      <c r="E26" s="93">
        <v>165527317.62930387</v>
      </c>
      <c r="F26" s="35"/>
    </row>
    <row r="27" spans="1:18" ht="17.25" thickBot="1">
      <c r="A27" s="40" t="s">
        <v>83</v>
      </c>
      <c r="B27" s="11" t="s">
        <v>84</v>
      </c>
      <c r="C27" s="95">
        <v>4795</v>
      </c>
      <c r="D27" s="92">
        <v>2.45726496E-2</v>
      </c>
      <c r="E27" s="93">
        <v>18819867.241288319</v>
      </c>
      <c r="F27" s="35"/>
    </row>
    <row r="28" spans="1:18" ht="17.25" thickBot="1">
      <c r="A28" s="40" t="s">
        <v>141</v>
      </c>
      <c r="B28" s="11" t="s">
        <v>142</v>
      </c>
      <c r="C28" s="95">
        <v>6995</v>
      </c>
      <c r="D28" s="92">
        <v>2.4158125900000001E-2</v>
      </c>
      <c r="E28" s="93">
        <v>2198922.3853828502</v>
      </c>
      <c r="F28" s="35"/>
      <c r="G28" s="227" t="s">
        <v>46</v>
      </c>
      <c r="H28" s="228"/>
      <c r="I28" s="228"/>
      <c r="J28" s="229"/>
      <c r="K28" s="227" t="s">
        <v>44</v>
      </c>
      <c r="L28" s="228"/>
      <c r="M28" s="228"/>
      <c r="N28" s="229"/>
      <c r="O28" s="227" t="s">
        <v>45</v>
      </c>
      <c r="P28" s="228"/>
      <c r="Q28" s="228"/>
      <c r="R28" s="229"/>
    </row>
    <row r="29" spans="1:18" ht="17.25" thickBot="1">
      <c r="A29" s="40" t="s">
        <v>68</v>
      </c>
      <c r="B29" s="11" t="s">
        <v>69</v>
      </c>
      <c r="C29" s="95">
        <v>3780</v>
      </c>
      <c r="D29" s="92">
        <v>2.1621621600000002E-2</v>
      </c>
      <c r="E29" s="93">
        <v>800046.44881702005</v>
      </c>
      <c r="F29" s="35"/>
      <c r="G29" s="264" t="s">
        <v>55</v>
      </c>
      <c r="H29" s="280">
        <f ca="1">NOW()</f>
        <v>44389.02419236111</v>
      </c>
      <c r="I29" s="281"/>
      <c r="J29" s="282"/>
      <c r="K29" s="279" t="s">
        <v>55</v>
      </c>
      <c r="L29" s="280">
        <f ca="1">NOW()</f>
        <v>44389.02419236111</v>
      </c>
      <c r="M29" s="281"/>
      <c r="N29" s="282"/>
      <c r="O29" s="279" t="s">
        <v>55</v>
      </c>
      <c r="P29" s="280">
        <f ca="1">NOW()</f>
        <v>44389.02419236111</v>
      </c>
      <c r="Q29" s="281"/>
      <c r="R29" s="282"/>
    </row>
    <row r="30" spans="1:18" ht="17.25" thickBot="1">
      <c r="A30" s="40" t="s">
        <v>127</v>
      </c>
      <c r="B30" s="11" t="s">
        <v>128</v>
      </c>
      <c r="C30" s="95">
        <v>91.5</v>
      </c>
      <c r="D30" s="92">
        <v>2.1205357099999999E-2</v>
      </c>
      <c r="E30" s="93">
        <v>161157510.35479695</v>
      </c>
      <c r="F30" s="35"/>
      <c r="G30" s="272"/>
      <c r="H30" s="51" t="s">
        <v>58</v>
      </c>
      <c r="I30" s="73" t="s">
        <v>59</v>
      </c>
      <c r="J30" s="69" t="s">
        <v>265</v>
      </c>
      <c r="K30" s="250"/>
      <c r="L30" s="51" t="s">
        <v>58</v>
      </c>
      <c r="M30" s="73" t="s">
        <v>59</v>
      </c>
      <c r="N30" s="91" t="s">
        <v>265</v>
      </c>
      <c r="O30" s="250"/>
      <c r="P30" s="51" t="s">
        <v>58</v>
      </c>
      <c r="Q30" s="73" t="s">
        <v>59</v>
      </c>
      <c r="R30" s="91" t="s">
        <v>265</v>
      </c>
    </row>
    <row r="31" spans="1:18">
      <c r="A31" s="40" t="s">
        <v>101</v>
      </c>
      <c r="B31" s="11" t="s">
        <v>102</v>
      </c>
      <c r="C31" s="95">
        <v>831</v>
      </c>
      <c r="D31" s="92">
        <v>2.0884520899999998E-2</v>
      </c>
      <c r="E31" s="93">
        <v>3903705.5468047201</v>
      </c>
      <c r="F31" s="35"/>
      <c r="G31" s="52" t="s">
        <v>67</v>
      </c>
      <c r="H31" s="38">
        <f t="shared" ref="H31:H50" si="6">_xlfn.IFNA(VLOOKUP(G31, $B$2:$D$200, 2, FALSE), "")</f>
        <v>4135</v>
      </c>
      <c r="I31" s="76">
        <f t="shared" ref="I31:I50" si="7">_xlfn.IFNA(VLOOKUP(G31, $B$2:$D$200, 3, FALSE), "")</f>
        <v>0.32532051280000002</v>
      </c>
      <c r="J31" s="85">
        <f>_xlfn.IFNA(VLOOKUP(G31, $B$2:$E$200, 4, FALSE), "")</f>
        <v>102515952.73101903</v>
      </c>
      <c r="K31" s="81" t="s">
        <v>202</v>
      </c>
      <c r="L31" s="38">
        <f t="shared" ref="L31:L50" si="8">_xlfn.IFNA(VLOOKUP(K31, $B$2:$D$200, 2, FALSE), "")</f>
        <v>57.1</v>
      </c>
      <c r="M31" s="76">
        <f t="shared" ref="M31:M50" si="9">_xlfn.IFNA(VLOOKUP(K31, $B$2:$D$200, 3, FALSE), "")</f>
        <v>5.9369202199999999E-2</v>
      </c>
      <c r="N31" s="85">
        <f>_xlfn.IFNA(VLOOKUP(K31, $B$2:$E$200, 4, FALSE), "")</f>
        <v>962851886.28228116</v>
      </c>
      <c r="O31" s="81" t="s">
        <v>194</v>
      </c>
      <c r="P31" s="38">
        <f t="shared" ref="P31:P50" si="10">_xlfn.IFNA(VLOOKUP(O31, $B$2:$D$200, 2, FALSE), "")</f>
        <v>136</v>
      </c>
      <c r="Q31" s="76">
        <f t="shared" ref="Q31:Q50" si="11">_xlfn.IFNA(VLOOKUP(O31, $B$2:$D$200, 3, FALSE), "")</f>
        <v>0.1056910569</v>
      </c>
      <c r="R31" s="85">
        <f>_xlfn.IFNA(VLOOKUP(O31, $B$2:$E$200, 4, FALSE), "")</f>
        <v>253614125.80860037</v>
      </c>
    </row>
    <row r="32" spans="1:18">
      <c r="A32" s="40" t="s">
        <v>64</v>
      </c>
      <c r="B32" s="11" t="s">
        <v>65</v>
      </c>
      <c r="C32" s="95">
        <v>25</v>
      </c>
      <c r="D32" s="92">
        <v>2.0408163300000001E-2</v>
      </c>
      <c r="E32" s="93">
        <v>59668076.324108481</v>
      </c>
      <c r="F32" s="35"/>
      <c r="G32" s="47" t="s">
        <v>120</v>
      </c>
      <c r="H32" s="39">
        <f t="shared" si="6"/>
        <v>2885</v>
      </c>
      <c r="I32" s="77">
        <f t="shared" si="7"/>
        <v>0.1182170543</v>
      </c>
      <c r="J32" s="86">
        <f t="shared" ref="J32:J50" si="12">_xlfn.IFNA(VLOOKUP(G32, $B$2:$E$200, 4, FALSE), "")</f>
        <v>39871169.420358852</v>
      </c>
      <c r="K32" s="82" t="s">
        <v>235</v>
      </c>
      <c r="L32" s="39">
        <f t="shared" si="8"/>
        <v>54.7</v>
      </c>
      <c r="M32" s="77">
        <f t="shared" si="9"/>
        <v>5.5984555999999998E-2</v>
      </c>
      <c r="N32" s="86">
        <f t="shared" ref="N32:N50" si="13">_xlfn.IFNA(VLOOKUP(K32, $B$2:$E$200, 4, FALSE), "")</f>
        <v>679826209.97542596</v>
      </c>
      <c r="O32" s="82" t="s">
        <v>118</v>
      </c>
      <c r="P32" s="39">
        <f t="shared" si="10"/>
        <v>149</v>
      </c>
      <c r="Q32" s="77">
        <f t="shared" si="11"/>
        <v>6.4285714300000005E-2</v>
      </c>
      <c r="R32" s="86">
        <f t="shared" ref="R32:R50" si="14">_xlfn.IFNA(VLOOKUP(O32, $B$2:$E$200, 4, FALSE), "")</f>
        <v>70178283.026569098</v>
      </c>
    </row>
    <row r="33" spans="1:18">
      <c r="A33" s="40" t="s">
        <v>225</v>
      </c>
      <c r="B33" s="11" t="s">
        <v>226</v>
      </c>
      <c r="C33" s="95">
        <v>1295</v>
      </c>
      <c r="D33" s="92">
        <v>1.96850394E-2</v>
      </c>
      <c r="E33" s="93">
        <v>3716961.0304482202</v>
      </c>
      <c r="F33" s="35"/>
      <c r="G33" s="47" t="s">
        <v>194</v>
      </c>
      <c r="H33" s="39">
        <f t="shared" si="6"/>
        <v>136</v>
      </c>
      <c r="I33" s="77">
        <f t="shared" si="7"/>
        <v>0.1056910569</v>
      </c>
      <c r="J33" s="86">
        <f t="shared" si="12"/>
        <v>253614125.80860037</v>
      </c>
      <c r="K33" s="82" t="s">
        <v>162</v>
      </c>
      <c r="L33" s="39">
        <f t="shared" si="8"/>
        <v>79.7</v>
      </c>
      <c r="M33" s="77">
        <f t="shared" si="9"/>
        <v>4.3193717299999997E-2</v>
      </c>
      <c r="N33" s="86">
        <f t="shared" si="13"/>
        <v>394459761.97741461</v>
      </c>
      <c r="O33" s="82" t="s">
        <v>237</v>
      </c>
      <c r="P33" s="39">
        <f t="shared" si="10"/>
        <v>489</v>
      </c>
      <c r="Q33" s="77">
        <f t="shared" si="11"/>
        <v>4.7109207700000003E-2</v>
      </c>
      <c r="R33" s="86">
        <f t="shared" si="14"/>
        <v>124851727.62509599</v>
      </c>
    </row>
    <row r="34" spans="1:18">
      <c r="A34" s="40" t="s">
        <v>211</v>
      </c>
      <c r="B34" s="11" t="s">
        <v>212</v>
      </c>
      <c r="C34" s="95">
        <v>1040</v>
      </c>
      <c r="D34" s="92">
        <v>1.9607843100000001E-2</v>
      </c>
      <c r="E34" s="93">
        <v>12953747.64642985</v>
      </c>
      <c r="F34" s="35"/>
      <c r="G34" s="47" t="s">
        <v>156</v>
      </c>
      <c r="H34" s="39">
        <f t="shared" si="6"/>
        <v>1635</v>
      </c>
      <c r="I34" s="77">
        <f t="shared" si="7"/>
        <v>7.9207920799999998E-2</v>
      </c>
      <c r="J34" s="86">
        <f t="shared" si="12"/>
        <v>13817610.43187744</v>
      </c>
      <c r="K34" s="82" t="s">
        <v>204</v>
      </c>
      <c r="L34" s="39">
        <f t="shared" si="8"/>
        <v>12</v>
      </c>
      <c r="M34" s="77">
        <f t="shared" si="9"/>
        <v>3.4482758600000003E-2</v>
      </c>
      <c r="N34" s="86">
        <f t="shared" si="13"/>
        <v>913144615.83959937</v>
      </c>
      <c r="O34" s="82" t="s">
        <v>174</v>
      </c>
      <c r="P34" s="39">
        <f t="shared" si="10"/>
        <v>226</v>
      </c>
      <c r="Q34" s="77">
        <f t="shared" si="11"/>
        <v>3.6697247699999998E-2</v>
      </c>
      <c r="R34" s="86">
        <f t="shared" si="14"/>
        <v>92987936.46903722</v>
      </c>
    </row>
    <row r="35" spans="1:18">
      <c r="A35" s="40" t="s">
        <v>238</v>
      </c>
      <c r="B35" s="11" t="s">
        <v>239</v>
      </c>
      <c r="C35" s="95">
        <v>72.900000000000006</v>
      </c>
      <c r="D35" s="92">
        <v>1.9580419599999999E-2</v>
      </c>
      <c r="E35" s="93">
        <v>80493558.065753669</v>
      </c>
      <c r="F35" s="35"/>
      <c r="G35" s="47" t="s">
        <v>168</v>
      </c>
      <c r="H35" s="44">
        <f t="shared" si="6"/>
        <v>1560</v>
      </c>
      <c r="I35" s="78">
        <f t="shared" si="7"/>
        <v>6.4846416399999995E-2</v>
      </c>
      <c r="J35" s="90">
        <f t="shared" si="12"/>
        <v>121770922.90110008</v>
      </c>
      <c r="K35" s="83" t="s">
        <v>208</v>
      </c>
      <c r="L35" s="44">
        <f t="shared" si="8"/>
        <v>9.76</v>
      </c>
      <c r="M35" s="78">
        <f t="shared" si="9"/>
        <v>2.9535865000000001E-2</v>
      </c>
      <c r="N35" s="90">
        <f t="shared" si="13"/>
        <v>540690592.53909171</v>
      </c>
      <c r="O35" s="83" t="s">
        <v>218</v>
      </c>
      <c r="P35" s="44">
        <f t="shared" si="10"/>
        <v>104</v>
      </c>
      <c r="Q35" s="78">
        <f t="shared" si="11"/>
        <v>2.9702970299999999E-2</v>
      </c>
      <c r="R35" s="90">
        <f t="shared" si="14"/>
        <v>99545893.013418302</v>
      </c>
    </row>
    <row r="36" spans="1:18">
      <c r="A36" s="40" t="s">
        <v>169</v>
      </c>
      <c r="B36" s="11" t="s">
        <v>170</v>
      </c>
      <c r="C36" s="95">
        <v>17950</v>
      </c>
      <c r="D36" s="92">
        <v>1.9307211800000001E-2</v>
      </c>
      <c r="E36" s="93">
        <v>93657.9522612</v>
      </c>
      <c r="F36" s="35"/>
      <c r="G36" s="49" t="s">
        <v>118</v>
      </c>
      <c r="H36" s="39">
        <f t="shared" si="6"/>
        <v>149</v>
      </c>
      <c r="I36" s="77">
        <f t="shared" si="7"/>
        <v>6.4285714300000005E-2</v>
      </c>
      <c r="J36" s="99">
        <f t="shared" si="12"/>
        <v>70178283.026569098</v>
      </c>
      <c r="K36" s="82" t="s">
        <v>178</v>
      </c>
      <c r="L36" s="39">
        <f t="shared" si="8"/>
        <v>14.3</v>
      </c>
      <c r="M36" s="77">
        <f t="shared" si="9"/>
        <v>2.87769784E-2</v>
      </c>
      <c r="N36" s="99">
        <f t="shared" si="13"/>
        <v>424955111.98661906</v>
      </c>
      <c r="O36" s="82" t="s">
        <v>206</v>
      </c>
      <c r="P36" s="39">
        <f t="shared" si="10"/>
        <v>226</v>
      </c>
      <c r="Q36" s="77">
        <f t="shared" si="11"/>
        <v>2.7272727300000001E-2</v>
      </c>
      <c r="R36" s="99">
        <f t="shared" si="14"/>
        <v>56483707.185996369</v>
      </c>
    </row>
    <row r="37" spans="1:18">
      <c r="A37" s="40" t="s">
        <v>221</v>
      </c>
      <c r="B37" s="11" t="s">
        <v>222</v>
      </c>
      <c r="C37" s="95">
        <v>109</v>
      </c>
      <c r="D37" s="92">
        <v>1.8691588799999999E-2</v>
      </c>
      <c r="E37" s="93">
        <v>102264508.64809091</v>
      </c>
      <c r="F37" s="35"/>
      <c r="G37" s="47" t="s">
        <v>186</v>
      </c>
      <c r="H37" s="39">
        <f t="shared" si="6"/>
        <v>6435</v>
      </c>
      <c r="I37" s="77">
        <f t="shared" si="7"/>
        <v>6.2758051199999998E-2</v>
      </c>
      <c r="J37" s="86">
        <f t="shared" si="12"/>
        <v>8280318.9170151604</v>
      </c>
      <c r="K37" s="82" t="s">
        <v>128</v>
      </c>
      <c r="L37" s="39">
        <f t="shared" si="8"/>
        <v>91.5</v>
      </c>
      <c r="M37" s="77">
        <f t="shared" si="9"/>
        <v>2.1205357099999999E-2</v>
      </c>
      <c r="N37" s="86">
        <f t="shared" si="13"/>
        <v>161157510.35479695</v>
      </c>
      <c r="O37" s="82" t="s">
        <v>164</v>
      </c>
      <c r="P37" s="39">
        <f t="shared" si="10"/>
        <v>241</v>
      </c>
      <c r="Q37" s="77">
        <f t="shared" si="11"/>
        <v>2.5531914900000001E-2</v>
      </c>
      <c r="R37" s="86">
        <f t="shared" si="14"/>
        <v>8285285.4059619</v>
      </c>
    </row>
    <row r="38" spans="1:18">
      <c r="A38" s="40" t="s">
        <v>199</v>
      </c>
      <c r="B38" s="11" t="s">
        <v>200</v>
      </c>
      <c r="C38" s="95">
        <v>113</v>
      </c>
      <c r="D38" s="92">
        <v>1.8018018E-2</v>
      </c>
      <c r="E38" s="93">
        <v>69128200.726837516</v>
      </c>
      <c r="F38" s="35"/>
      <c r="G38" s="47" t="s">
        <v>202</v>
      </c>
      <c r="H38" s="39">
        <f t="shared" si="6"/>
        <v>57.1</v>
      </c>
      <c r="I38" s="77">
        <f t="shared" si="7"/>
        <v>5.9369202199999999E-2</v>
      </c>
      <c r="J38" s="86">
        <f t="shared" si="12"/>
        <v>962851886.28228116</v>
      </c>
      <c r="K38" s="82" t="s">
        <v>65</v>
      </c>
      <c r="L38" s="39">
        <f t="shared" si="8"/>
        <v>25</v>
      </c>
      <c r="M38" s="77">
        <f t="shared" si="9"/>
        <v>2.0408163300000001E-2</v>
      </c>
      <c r="N38" s="86">
        <f t="shared" si="13"/>
        <v>59668076.324108481</v>
      </c>
      <c r="O38" s="82" t="s">
        <v>110</v>
      </c>
      <c r="P38" s="39">
        <f t="shared" si="10"/>
        <v>122</v>
      </c>
      <c r="Q38" s="77">
        <f t="shared" si="11"/>
        <v>2.5210084000000001E-2</v>
      </c>
      <c r="R38" s="86">
        <f t="shared" si="14"/>
        <v>165527317.62930387</v>
      </c>
    </row>
    <row r="39" spans="1:18">
      <c r="A39" s="40" t="s">
        <v>145</v>
      </c>
      <c r="B39" s="11" t="s">
        <v>146</v>
      </c>
      <c r="C39" s="95">
        <v>2295</v>
      </c>
      <c r="D39" s="92">
        <v>1.7738359200000001E-2</v>
      </c>
      <c r="E39" s="93">
        <v>1552755.5616178999</v>
      </c>
      <c r="F39" s="35"/>
      <c r="G39" s="47" t="s">
        <v>172</v>
      </c>
      <c r="H39" s="39">
        <f t="shared" si="6"/>
        <v>1955</v>
      </c>
      <c r="I39" s="77">
        <f t="shared" si="7"/>
        <v>5.6756756800000002E-2</v>
      </c>
      <c r="J39" s="86">
        <f t="shared" si="12"/>
        <v>24284976.82103119</v>
      </c>
      <c r="K39" s="82" t="s">
        <v>239</v>
      </c>
      <c r="L39" s="39">
        <f t="shared" si="8"/>
        <v>72.900000000000006</v>
      </c>
      <c r="M39" s="77">
        <f t="shared" si="9"/>
        <v>1.9580419599999999E-2</v>
      </c>
      <c r="N39" s="86">
        <f t="shared" si="13"/>
        <v>80493558.065753669</v>
      </c>
      <c r="O39" s="82" t="s">
        <v>102</v>
      </c>
      <c r="P39" s="39">
        <f t="shared" si="10"/>
        <v>831</v>
      </c>
      <c r="Q39" s="77">
        <f t="shared" si="11"/>
        <v>2.0884520899999998E-2</v>
      </c>
      <c r="R39" s="86">
        <f t="shared" si="14"/>
        <v>3903705.5468047201</v>
      </c>
    </row>
    <row r="40" spans="1:18" ht="17.25" thickBot="1">
      <c r="A40" s="40" t="s">
        <v>181</v>
      </c>
      <c r="B40" s="11" t="s">
        <v>182</v>
      </c>
      <c r="C40" s="95">
        <v>49300</v>
      </c>
      <c r="D40" s="92">
        <v>1.7333883599999999E-2</v>
      </c>
      <c r="E40" s="93">
        <v>311071.27770177001</v>
      </c>
      <c r="F40" s="35"/>
      <c r="G40" s="53" t="s">
        <v>235</v>
      </c>
      <c r="H40" s="37">
        <f t="shared" si="6"/>
        <v>54.7</v>
      </c>
      <c r="I40" s="79">
        <f t="shared" si="7"/>
        <v>5.5984555999999998E-2</v>
      </c>
      <c r="J40" s="87">
        <f t="shared" si="12"/>
        <v>679826209.97542596</v>
      </c>
      <c r="K40" s="84" t="s">
        <v>216</v>
      </c>
      <c r="L40" s="37">
        <f t="shared" si="8"/>
        <v>8.32</v>
      </c>
      <c r="M40" s="79">
        <f t="shared" si="9"/>
        <v>1.4634146299999999E-2</v>
      </c>
      <c r="N40" s="87">
        <f t="shared" si="13"/>
        <v>1043069897.5339459</v>
      </c>
      <c r="O40" s="84" t="s">
        <v>222</v>
      </c>
      <c r="P40" s="37">
        <f t="shared" si="10"/>
        <v>109</v>
      </c>
      <c r="Q40" s="79">
        <f t="shared" si="11"/>
        <v>1.8691588799999999E-2</v>
      </c>
      <c r="R40" s="87">
        <f t="shared" si="14"/>
        <v>102264508.64809091</v>
      </c>
    </row>
    <row r="41" spans="1:18">
      <c r="A41" s="40" t="s">
        <v>191</v>
      </c>
      <c r="B41" s="11" t="s">
        <v>192</v>
      </c>
      <c r="C41" s="95">
        <v>184</v>
      </c>
      <c r="D41" s="92">
        <v>1.65745856E-2</v>
      </c>
      <c r="E41" s="93">
        <v>36016010.12028686</v>
      </c>
      <c r="F41" s="35"/>
      <c r="G41" s="52" t="s">
        <v>237</v>
      </c>
      <c r="H41" s="38">
        <f t="shared" si="6"/>
        <v>489</v>
      </c>
      <c r="I41" s="76">
        <f t="shared" si="7"/>
        <v>4.7109207700000003E-2</v>
      </c>
      <c r="J41" s="85">
        <f t="shared" si="12"/>
        <v>124851727.62509599</v>
      </c>
      <c r="K41" s="81" t="s">
        <v>190</v>
      </c>
      <c r="L41" s="38">
        <f t="shared" si="8"/>
        <v>14.5</v>
      </c>
      <c r="M41" s="76">
        <f t="shared" si="9"/>
        <v>1.3986014E-2</v>
      </c>
      <c r="N41" s="85">
        <f t="shared" si="13"/>
        <v>646252602.31844842</v>
      </c>
      <c r="O41" s="81" t="s">
        <v>200</v>
      </c>
      <c r="P41" s="38">
        <f t="shared" si="10"/>
        <v>113</v>
      </c>
      <c r="Q41" s="76">
        <f t="shared" si="11"/>
        <v>1.8018018E-2</v>
      </c>
      <c r="R41" s="85">
        <f t="shared" si="14"/>
        <v>69128200.726837516</v>
      </c>
    </row>
    <row r="42" spans="1:18">
      <c r="A42" s="40" t="s">
        <v>115</v>
      </c>
      <c r="B42" s="11" t="s">
        <v>116</v>
      </c>
      <c r="C42" s="95">
        <v>5170</v>
      </c>
      <c r="D42" s="92">
        <v>1.5717092299999999E-2</v>
      </c>
      <c r="E42" s="93">
        <v>462402.93421276001</v>
      </c>
      <c r="F42" s="35"/>
      <c r="G42" s="47" t="s">
        <v>162</v>
      </c>
      <c r="H42" s="39">
        <f t="shared" si="6"/>
        <v>79.7</v>
      </c>
      <c r="I42" s="77">
        <f t="shared" si="7"/>
        <v>4.3193717299999997E-2</v>
      </c>
      <c r="J42" s="86">
        <f t="shared" si="12"/>
        <v>394459761.97741461</v>
      </c>
      <c r="K42" s="82" t="s">
        <v>144</v>
      </c>
      <c r="L42" s="39">
        <f t="shared" si="8"/>
        <v>84.4</v>
      </c>
      <c r="M42" s="77">
        <f t="shared" si="9"/>
        <v>7.1599044999999997E-3</v>
      </c>
      <c r="N42" s="86">
        <f t="shared" si="13"/>
        <v>19374123.447858538</v>
      </c>
      <c r="O42" s="82" t="s">
        <v>192</v>
      </c>
      <c r="P42" s="39">
        <f t="shared" si="10"/>
        <v>184</v>
      </c>
      <c r="Q42" s="77">
        <f t="shared" si="11"/>
        <v>1.65745856E-2</v>
      </c>
      <c r="R42" s="86">
        <f t="shared" si="14"/>
        <v>36016010.12028686</v>
      </c>
    </row>
    <row r="43" spans="1:18">
      <c r="A43" s="40" t="s">
        <v>215</v>
      </c>
      <c r="B43" s="11" t="s">
        <v>216</v>
      </c>
      <c r="C43" s="95">
        <v>8.32</v>
      </c>
      <c r="D43" s="92">
        <v>1.4634146299999999E-2</v>
      </c>
      <c r="E43" s="93">
        <v>1043069897.5339459</v>
      </c>
      <c r="F43" s="35"/>
      <c r="G43" s="47" t="s">
        <v>140</v>
      </c>
      <c r="H43" s="39">
        <f t="shared" si="6"/>
        <v>4990</v>
      </c>
      <c r="I43" s="77">
        <f t="shared" si="7"/>
        <v>3.9583333300000002E-2</v>
      </c>
      <c r="J43" s="86">
        <f t="shared" si="12"/>
        <v>807593.35614815995</v>
      </c>
      <c r="K43" s="82" t="s">
        <v>98</v>
      </c>
      <c r="L43" s="39">
        <f t="shared" si="8"/>
        <v>2.97</v>
      </c>
      <c r="M43" s="77">
        <f t="shared" si="9"/>
        <v>6.7796610000000002E-3</v>
      </c>
      <c r="N43" s="86">
        <f t="shared" si="13"/>
        <v>3760950754.330946</v>
      </c>
      <c r="O43" s="82" t="s">
        <v>166</v>
      </c>
      <c r="P43" s="39">
        <f t="shared" si="10"/>
        <v>139</v>
      </c>
      <c r="Q43" s="77">
        <f t="shared" si="11"/>
        <v>1.45985401E-2</v>
      </c>
      <c r="R43" s="86">
        <f t="shared" si="14"/>
        <v>262069737.65540934</v>
      </c>
    </row>
    <row r="44" spans="1:18">
      <c r="A44" s="40" t="s">
        <v>165</v>
      </c>
      <c r="B44" s="11" t="s">
        <v>166</v>
      </c>
      <c r="C44" s="95">
        <v>139</v>
      </c>
      <c r="D44" s="92">
        <v>1.45985401E-2</v>
      </c>
      <c r="E44" s="93">
        <v>262069737.65540934</v>
      </c>
      <c r="F44" s="35"/>
      <c r="G44" s="47" t="s">
        <v>174</v>
      </c>
      <c r="H44" s="39">
        <f t="shared" si="6"/>
        <v>226</v>
      </c>
      <c r="I44" s="77">
        <f t="shared" si="7"/>
        <v>3.6697247699999998E-2</v>
      </c>
      <c r="J44" s="86">
        <f t="shared" si="12"/>
        <v>92987936.46903722</v>
      </c>
      <c r="K44" s="82" t="s">
        <v>148</v>
      </c>
      <c r="L44" s="39">
        <f t="shared" si="8"/>
        <v>15.3</v>
      </c>
      <c r="M44" s="77">
        <f t="shared" si="9"/>
        <v>6.5789474000000001E-3</v>
      </c>
      <c r="N44" s="86">
        <f t="shared" si="13"/>
        <v>330470122.00287139</v>
      </c>
      <c r="O44" s="82" t="s">
        <v>54</v>
      </c>
      <c r="P44" s="39">
        <f t="shared" si="10"/>
        <v>202</v>
      </c>
      <c r="Q44" s="77">
        <f t="shared" si="11"/>
        <v>0.01</v>
      </c>
      <c r="R44" s="86">
        <f t="shared" si="14"/>
        <v>22512413.59225649</v>
      </c>
    </row>
    <row r="45" spans="1:18">
      <c r="A45" s="40" t="s">
        <v>189</v>
      </c>
      <c r="B45" s="11" t="s">
        <v>190</v>
      </c>
      <c r="C45" s="95">
        <v>14.5</v>
      </c>
      <c r="D45" s="92">
        <v>1.3986014E-2</v>
      </c>
      <c r="E45" s="93">
        <v>646252602.31844842</v>
      </c>
      <c r="F45" s="35"/>
      <c r="G45" s="47" t="s">
        <v>204</v>
      </c>
      <c r="H45" s="44">
        <f t="shared" si="6"/>
        <v>12</v>
      </c>
      <c r="I45" s="78">
        <f t="shared" si="7"/>
        <v>3.4482758600000003E-2</v>
      </c>
      <c r="J45" s="90">
        <f t="shared" si="12"/>
        <v>913144615.83959937</v>
      </c>
      <c r="K45" s="83" t="s">
        <v>122</v>
      </c>
      <c r="L45" s="44">
        <f t="shared" si="8"/>
        <v>22.1</v>
      </c>
      <c r="M45" s="78">
        <f t="shared" si="9"/>
        <v>4.5454544999999997E-3</v>
      </c>
      <c r="N45" s="90">
        <f t="shared" si="13"/>
        <v>154939563.93902776</v>
      </c>
      <c r="O45" s="83" t="s">
        <v>86</v>
      </c>
      <c r="P45" s="44">
        <f t="shared" si="10"/>
        <v>305</v>
      </c>
      <c r="Q45" s="78">
        <f t="shared" si="11"/>
        <v>9.9337747999999997E-3</v>
      </c>
      <c r="R45" s="90">
        <f t="shared" si="14"/>
        <v>136110556.91999587</v>
      </c>
    </row>
    <row r="46" spans="1:18">
      <c r="A46" s="40" t="s">
        <v>175</v>
      </c>
      <c r="B46" s="11" t="s">
        <v>176</v>
      </c>
      <c r="C46" s="95">
        <v>1155</v>
      </c>
      <c r="D46" s="92">
        <v>1.3157894700000001E-2</v>
      </c>
      <c r="E46" s="93">
        <v>812223.82494990004</v>
      </c>
      <c r="F46" s="35"/>
      <c r="G46" s="49" t="s">
        <v>224</v>
      </c>
      <c r="H46" s="39">
        <f t="shared" si="6"/>
        <v>2990</v>
      </c>
      <c r="I46" s="77">
        <f t="shared" si="7"/>
        <v>3.1034482799999999E-2</v>
      </c>
      <c r="J46" s="99">
        <f t="shared" si="12"/>
        <v>1532747.5287778401</v>
      </c>
      <c r="K46" s="82" t="s">
        <v>152</v>
      </c>
      <c r="L46" s="39">
        <f t="shared" si="8"/>
        <v>72.900000000000006</v>
      </c>
      <c r="M46" s="77">
        <f t="shared" si="9"/>
        <v>4.1322314000000002E-3</v>
      </c>
      <c r="N46" s="99">
        <f t="shared" si="13"/>
        <v>55140106.73858469</v>
      </c>
      <c r="O46" s="82" t="s">
        <v>253</v>
      </c>
      <c r="P46" s="39">
        <f t="shared" si="10"/>
        <v>782</v>
      </c>
      <c r="Q46" s="77">
        <f t="shared" si="11"/>
        <v>9.0322580999999992E-3</v>
      </c>
      <c r="R46" s="99">
        <f t="shared" si="14"/>
        <v>3554599.3184646699</v>
      </c>
    </row>
    <row r="47" spans="1:18">
      <c r="A47" s="40" t="s">
        <v>133</v>
      </c>
      <c r="B47" s="11" t="s">
        <v>134</v>
      </c>
      <c r="C47" s="95">
        <v>18300</v>
      </c>
      <c r="D47" s="92">
        <v>1.2728278900000001E-2</v>
      </c>
      <c r="E47" s="93">
        <v>490874.30326830002</v>
      </c>
      <c r="F47" s="35"/>
      <c r="G47" s="47" t="s">
        <v>247</v>
      </c>
      <c r="H47" s="39">
        <f t="shared" si="6"/>
        <v>7175</v>
      </c>
      <c r="I47" s="77">
        <f t="shared" si="7"/>
        <v>3.0150753799999999E-2</v>
      </c>
      <c r="J47" s="86">
        <f t="shared" si="12"/>
        <v>4634147.1147977998</v>
      </c>
      <c r="K47" s="82" t="s">
        <v>130</v>
      </c>
      <c r="L47" s="39">
        <f t="shared" si="8"/>
        <v>81.8</v>
      </c>
      <c r="M47" s="77">
        <f t="shared" si="9"/>
        <v>3.6809816E-3</v>
      </c>
      <c r="N47" s="86">
        <f t="shared" si="13"/>
        <v>52728549.768174537</v>
      </c>
      <c r="O47" s="82" t="s">
        <v>214</v>
      </c>
      <c r="P47" s="39">
        <f t="shared" si="10"/>
        <v>239</v>
      </c>
      <c r="Q47" s="77">
        <f t="shared" si="11"/>
        <v>8.4388186E-3</v>
      </c>
      <c r="R47" s="86">
        <f t="shared" si="14"/>
        <v>23489065.34014206</v>
      </c>
    </row>
    <row r="48" spans="1:18">
      <c r="A48" s="40" t="s">
        <v>95</v>
      </c>
      <c r="B48" s="11" t="s">
        <v>96</v>
      </c>
      <c r="C48" s="95">
        <v>3330</v>
      </c>
      <c r="D48" s="92">
        <v>1.06221548E-2</v>
      </c>
      <c r="E48" s="93">
        <v>1034444.04325351</v>
      </c>
      <c r="F48" s="35"/>
      <c r="G48" s="47" t="s">
        <v>218</v>
      </c>
      <c r="H48" s="39">
        <f t="shared" si="6"/>
        <v>104</v>
      </c>
      <c r="I48" s="77">
        <f t="shared" si="7"/>
        <v>2.9702970299999999E-2</v>
      </c>
      <c r="J48" s="86">
        <f t="shared" si="12"/>
        <v>99545893.013418302</v>
      </c>
      <c r="K48" s="82" t="s">
        <v>132</v>
      </c>
      <c r="L48" s="39">
        <f t="shared" si="8"/>
        <v>86.6</v>
      </c>
      <c r="M48" s="77">
        <f t="shared" si="9"/>
        <v>3.4762457E-3</v>
      </c>
      <c r="N48" s="86">
        <f t="shared" si="13"/>
        <v>46007521.438316613</v>
      </c>
      <c r="O48" s="82" t="s">
        <v>57</v>
      </c>
      <c r="P48" s="39">
        <f t="shared" si="10"/>
        <v>144</v>
      </c>
      <c r="Q48" s="77">
        <f t="shared" si="11"/>
        <v>6.9930069999999999E-3</v>
      </c>
      <c r="R48" s="86">
        <f t="shared" si="14"/>
        <v>33168503.434092909</v>
      </c>
    </row>
    <row r="49" spans="1:18">
      <c r="A49" s="40" t="s">
        <v>53</v>
      </c>
      <c r="B49" s="11" t="s">
        <v>54</v>
      </c>
      <c r="C49" s="95">
        <v>202</v>
      </c>
      <c r="D49" s="92">
        <v>0.01</v>
      </c>
      <c r="E49" s="93">
        <v>22512413.59225649</v>
      </c>
      <c r="F49" s="35"/>
      <c r="G49" s="47" t="s">
        <v>208</v>
      </c>
      <c r="H49" s="39">
        <f t="shared" si="6"/>
        <v>9.76</v>
      </c>
      <c r="I49" s="77">
        <f t="shared" si="7"/>
        <v>2.9535865000000001E-2</v>
      </c>
      <c r="J49" s="86">
        <f t="shared" si="12"/>
        <v>540690592.53909171</v>
      </c>
      <c r="K49" s="82" t="s">
        <v>150</v>
      </c>
      <c r="L49" s="39">
        <f t="shared" si="8"/>
        <v>9.32</v>
      </c>
      <c r="M49" s="77">
        <f t="shared" si="9"/>
        <v>1.0741138999999999E-3</v>
      </c>
      <c r="N49" s="86">
        <f t="shared" si="13"/>
        <v>628869853.65250695</v>
      </c>
      <c r="O49" s="82" t="s">
        <v>267</v>
      </c>
      <c r="P49" s="39">
        <f t="shared" si="10"/>
        <v>254</v>
      </c>
      <c r="Q49" s="77">
        <f t="shared" si="11"/>
        <v>3.9525691999999996E-3</v>
      </c>
      <c r="R49" s="86">
        <f t="shared" si="14"/>
        <v>231117373.86557037</v>
      </c>
    </row>
    <row r="50" spans="1:18" ht="17.25" thickBot="1">
      <c r="A50" s="40" t="s">
        <v>85</v>
      </c>
      <c r="B50" s="11" t="s">
        <v>86</v>
      </c>
      <c r="C50" s="95">
        <v>305</v>
      </c>
      <c r="D50" s="92">
        <v>9.9337747999999997E-3</v>
      </c>
      <c r="E50" s="93">
        <v>136110556.91999587</v>
      </c>
      <c r="F50" s="35"/>
      <c r="G50" s="53" t="s">
        <v>178</v>
      </c>
      <c r="H50" s="37">
        <f t="shared" si="6"/>
        <v>14.3</v>
      </c>
      <c r="I50" s="79">
        <f t="shared" si="7"/>
        <v>2.87769784E-2</v>
      </c>
      <c r="J50" s="87">
        <f t="shared" si="12"/>
        <v>424955111.98661906</v>
      </c>
      <c r="K50" s="84" t="s">
        <v>72</v>
      </c>
      <c r="L50" s="37">
        <f t="shared" si="8"/>
        <v>18.2</v>
      </c>
      <c r="M50" s="79">
        <f t="shared" si="9"/>
        <v>0</v>
      </c>
      <c r="N50" s="87">
        <f t="shared" si="13"/>
        <v>173561203.68691772</v>
      </c>
      <c r="O50" s="84" t="s">
        <v>124</v>
      </c>
      <c r="P50" s="37">
        <f t="shared" si="10"/>
        <v>286</v>
      </c>
      <c r="Q50" s="79">
        <f t="shared" si="11"/>
        <v>3.5087718999999998E-3</v>
      </c>
      <c r="R50" s="87">
        <f t="shared" si="14"/>
        <v>9476125.8710791897</v>
      </c>
    </row>
    <row r="51" spans="1:18">
      <c r="A51" s="40" t="s">
        <v>93</v>
      </c>
      <c r="B51" s="11" t="s">
        <v>94</v>
      </c>
      <c r="C51" s="95">
        <v>2516000</v>
      </c>
      <c r="D51" s="92">
        <v>9.2258323000000003E-3</v>
      </c>
      <c r="E51" s="93">
        <v>40727.237697249999</v>
      </c>
      <c r="F51" s="35"/>
    </row>
    <row r="52" spans="1:18" ht="17.25" thickBot="1">
      <c r="A52" s="40" t="s">
        <v>252</v>
      </c>
      <c r="B52" s="11" t="s">
        <v>253</v>
      </c>
      <c r="C52" s="95">
        <v>782</v>
      </c>
      <c r="D52" s="92">
        <v>9.0322580999999992E-3</v>
      </c>
      <c r="E52" s="93">
        <v>3554599.3184646699</v>
      </c>
      <c r="F52" s="35"/>
    </row>
    <row r="53" spans="1:18" ht="17.25" thickBot="1">
      <c r="A53" s="40" t="s">
        <v>213</v>
      </c>
      <c r="B53" s="11" t="s">
        <v>214</v>
      </c>
      <c r="C53" s="95">
        <v>239</v>
      </c>
      <c r="D53" s="92">
        <v>8.4388186E-3</v>
      </c>
      <c r="E53" s="93">
        <v>23489065.34014206</v>
      </c>
      <c r="F53" s="35"/>
      <c r="G53" s="227" t="s">
        <v>256</v>
      </c>
      <c r="H53" s="228"/>
      <c r="I53" s="228"/>
      <c r="J53" s="229"/>
      <c r="K53" s="227" t="s">
        <v>259</v>
      </c>
      <c r="L53" s="228"/>
      <c r="M53" s="228"/>
      <c r="N53" s="229"/>
      <c r="O53" s="227" t="s">
        <v>260</v>
      </c>
      <c r="P53" s="228"/>
      <c r="Q53" s="228"/>
      <c r="R53" s="229"/>
    </row>
    <row r="54" spans="1:18" ht="17.25" thickBot="1">
      <c r="A54" s="40" t="s">
        <v>125</v>
      </c>
      <c r="B54" s="11" t="s">
        <v>126</v>
      </c>
      <c r="C54" s="95">
        <v>159400</v>
      </c>
      <c r="D54" s="92">
        <v>8.2226438999999998E-3</v>
      </c>
      <c r="E54" s="93">
        <v>16129.17944301</v>
      </c>
      <c r="F54" s="35"/>
      <c r="G54" s="264" t="s">
        <v>55</v>
      </c>
      <c r="H54" s="280">
        <f ca="1">NOW()</f>
        <v>44389.02419236111</v>
      </c>
      <c r="I54" s="281"/>
      <c r="J54" s="282"/>
      <c r="K54" s="279" t="s">
        <v>55</v>
      </c>
      <c r="L54" s="280">
        <f ca="1">NOW()</f>
        <v>44389.02419236111</v>
      </c>
      <c r="M54" s="281"/>
      <c r="N54" s="282"/>
      <c r="O54" s="279" t="s">
        <v>55</v>
      </c>
      <c r="P54" s="280">
        <f ca="1">NOW()</f>
        <v>44389.02419236111</v>
      </c>
      <c r="Q54" s="281"/>
      <c r="R54" s="282"/>
    </row>
    <row r="55" spans="1:18" ht="17.25" thickBot="1">
      <c r="A55" s="40" t="s">
        <v>48</v>
      </c>
      <c r="B55" s="11" t="s">
        <v>49</v>
      </c>
      <c r="C55" s="95">
        <v>39916000</v>
      </c>
      <c r="D55" s="92">
        <v>7.3184273000000003E-3</v>
      </c>
      <c r="E55" s="93">
        <v>2797.6049742099999</v>
      </c>
      <c r="F55" s="35"/>
      <c r="G55" s="272"/>
      <c r="H55" s="51" t="s">
        <v>58</v>
      </c>
      <c r="I55" s="73" t="s">
        <v>59</v>
      </c>
      <c r="J55" s="69" t="s">
        <v>265</v>
      </c>
      <c r="K55" s="250"/>
      <c r="L55" s="51" t="s">
        <v>58</v>
      </c>
      <c r="M55" s="73" t="s">
        <v>59</v>
      </c>
      <c r="N55" s="69" t="s">
        <v>265</v>
      </c>
      <c r="O55" s="250"/>
      <c r="P55" s="51" t="s">
        <v>58</v>
      </c>
      <c r="Q55" s="73" t="s">
        <v>59</v>
      </c>
      <c r="R55" s="69" t="s">
        <v>265</v>
      </c>
    </row>
    <row r="56" spans="1:18">
      <c r="A56" s="40" t="s">
        <v>143</v>
      </c>
      <c r="B56" s="11" t="s">
        <v>144</v>
      </c>
      <c r="C56" s="95">
        <v>84.4</v>
      </c>
      <c r="D56" s="92">
        <v>7.1599044999999997E-3</v>
      </c>
      <c r="E56" s="93">
        <v>19374123.447858538</v>
      </c>
      <c r="F56" s="35"/>
      <c r="G56" s="55" t="s">
        <v>138</v>
      </c>
      <c r="H56" s="38">
        <f t="shared" ref="H56:H75" si="15">_xlfn.IFNA(VLOOKUP(G56, $B$2:$D$200, 2, FALSE), "")</f>
        <v>406</v>
      </c>
      <c r="I56" s="76">
        <f t="shared" ref="I56:I65" si="16">_xlfn.IFNA(VLOOKUP(G56, $B$2:$D$200, 3, FALSE), "")</f>
        <v>0</v>
      </c>
      <c r="J56" s="85">
        <f>_xlfn.IFNA(VLOOKUP(G56, $B$2:$E$200, 4, FALSE), "")</f>
        <v>77552286.610026747</v>
      </c>
      <c r="K56" s="81" t="s">
        <v>208</v>
      </c>
      <c r="L56" s="38">
        <f t="shared" ref="L56:L75" si="17">_xlfn.IFNA(VLOOKUP(K56, $B$2:$D$200, 2, FALSE), "")</f>
        <v>9.76</v>
      </c>
      <c r="M56" s="76">
        <f t="shared" ref="M56:M75" si="18">_xlfn.IFNA(VLOOKUP(K56, $B$2:$D$200, 3, FALSE), "")</f>
        <v>2.9535865000000001E-2</v>
      </c>
      <c r="N56" s="85">
        <f>_xlfn.IFNA(VLOOKUP(K56, $B$2:$E$200, 4, FALSE), "")</f>
        <v>540690592.53909171</v>
      </c>
      <c r="O56" s="81" t="s">
        <v>86</v>
      </c>
      <c r="P56" s="38">
        <f t="shared" ref="P56:P75" si="19">_xlfn.IFNA(VLOOKUP(O56, $B$2:$D$200, 2, FALSE), "")</f>
        <v>305</v>
      </c>
      <c r="Q56" s="76">
        <f t="shared" ref="Q56:Q75" si="20">_xlfn.IFNA(VLOOKUP(O56, $B$2:$D$200, 3, FALSE), "")</f>
        <v>9.9337747999999997E-3</v>
      </c>
      <c r="R56" s="85">
        <f>_xlfn.IFNA(VLOOKUP(O56, $B$2:$E$200, 4, FALSE), "")</f>
        <v>136110556.91999587</v>
      </c>
    </row>
    <row r="57" spans="1:18">
      <c r="A57" s="40" t="s">
        <v>56</v>
      </c>
      <c r="B57" s="11" t="s">
        <v>57</v>
      </c>
      <c r="C57" s="95">
        <v>144</v>
      </c>
      <c r="D57" s="92">
        <v>6.9930069999999999E-3</v>
      </c>
      <c r="E57" s="93">
        <v>33168503.434092909</v>
      </c>
      <c r="F57" s="35"/>
      <c r="G57" s="56" t="s">
        <v>196</v>
      </c>
      <c r="H57" s="39">
        <f t="shared" si="15"/>
        <v>3680</v>
      </c>
      <c r="I57" s="77">
        <f t="shared" si="16"/>
        <v>0</v>
      </c>
      <c r="J57" s="86">
        <f t="shared" ref="J57:J75" si="21">_xlfn.IFNA(VLOOKUP(G57, $B$2:$E$200, 4, FALSE), "")</f>
        <v>36611715.795000523</v>
      </c>
      <c r="K57" s="82" t="s">
        <v>178</v>
      </c>
      <c r="L57" s="39">
        <f t="shared" si="17"/>
        <v>14.3</v>
      </c>
      <c r="M57" s="77">
        <f t="shared" si="18"/>
        <v>2.87769784E-2</v>
      </c>
      <c r="N57" s="86">
        <f t="shared" ref="N57:N75" si="22">_xlfn.IFNA(VLOOKUP(K57, $B$2:$E$200, 4, FALSE), "")</f>
        <v>424955111.98661906</v>
      </c>
      <c r="O57" s="82" t="s">
        <v>253</v>
      </c>
      <c r="P57" s="39">
        <f t="shared" si="19"/>
        <v>782</v>
      </c>
      <c r="Q57" s="77">
        <f t="shared" si="20"/>
        <v>9.0322580999999992E-3</v>
      </c>
      <c r="R57" s="86">
        <f t="shared" ref="R57:R75" si="23">_xlfn.IFNA(VLOOKUP(O57, $B$2:$E$200, 4, FALSE), "")</f>
        <v>3554599.3184646699</v>
      </c>
    </row>
    <row r="58" spans="1:18">
      <c r="A58" s="40" t="s">
        <v>97</v>
      </c>
      <c r="B58" s="11" t="s">
        <v>98</v>
      </c>
      <c r="C58" s="95">
        <v>2.97</v>
      </c>
      <c r="D58" s="92">
        <v>6.7796610000000002E-3</v>
      </c>
      <c r="E58" s="93">
        <v>3760950754.330946</v>
      </c>
      <c r="F58" s="35"/>
      <c r="G58" s="56" t="s">
        <v>78</v>
      </c>
      <c r="H58" s="39">
        <f t="shared" si="15"/>
        <v>587000</v>
      </c>
      <c r="I58" s="77">
        <f t="shared" si="16"/>
        <v>-1.0211027999999999E-3</v>
      </c>
      <c r="J58" s="86">
        <f t="shared" si="21"/>
        <v>9394.4063578400001</v>
      </c>
      <c r="K58" s="82" t="s">
        <v>128</v>
      </c>
      <c r="L58" s="39">
        <f t="shared" si="17"/>
        <v>91.5</v>
      </c>
      <c r="M58" s="77">
        <f t="shared" si="18"/>
        <v>2.1205357099999999E-2</v>
      </c>
      <c r="N58" s="86">
        <f t="shared" si="22"/>
        <v>161157510.35479695</v>
      </c>
      <c r="O58" s="82" t="s">
        <v>214</v>
      </c>
      <c r="P58" s="39">
        <f t="shared" si="19"/>
        <v>239</v>
      </c>
      <c r="Q58" s="77">
        <f t="shared" si="20"/>
        <v>8.4388186E-3</v>
      </c>
      <c r="R58" s="86">
        <f t="shared" si="23"/>
        <v>23489065.34014206</v>
      </c>
    </row>
    <row r="59" spans="1:18">
      <c r="A59" s="40" t="s">
        <v>147</v>
      </c>
      <c r="B59" s="11" t="s">
        <v>148</v>
      </c>
      <c r="C59" s="95">
        <v>15.3</v>
      </c>
      <c r="D59" s="92">
        <v>6.5789474000000001E-3</v>
      </c>
      <c r="E59" s="93">
        <v>330470122.00287139</v>
      </c>
      <c r="F59" s="35"/>
      <c r="G59" s="56" t="s">
        <v>104</v>
      </c>
      <c r="H59" s="39">
        <f t="shared" si="15"/>
        <v>936</v>
      </c>
      <c r="I59" s="77">
        <f t="shared" si="16"/>
        <v>-4.2553191000000001E-3</v>
      </c>
      <c r="J59" s="86">
        <f t="shared" si="21"/>
        <v>3538305.6456120601</v>
      </c>
      <c r="K59" s="82" t="s">
        <v>65</v>
      </c>
      <c r="L59" s="39">
        <f t="shared" si="17"/>
        <v>25</v>
      </c>
      <c r="M59" s="77">
        <f t="shared" si="18"/>
        <v>2.0408163300000001E-2</v>
      </c>
      <c r="N59" s="86">
        <f t="shared" si="22"/>
        <v>59668076.324108481</v>
      </c>
      <c r="O59" s="82" t="s">
        <v>57</v>
      </c>
      <c r="P59" s="39">
        <f t="shared" si="19"/>
        <v>144</v>
      </c>
      <c r="Q59" s="77">
        <f t="shared" si="20"/>
        <v>6.9930069999999999E-3</v>
      </c>
      <c r="R59" s="86">
        <f t="shared" si="23"/>
        <v>33168503.434092909</v>
      </c>
    </row>
    <row r="60" spans="1:18">
      <c r="A60" s="40" t="s">
        <v>157</v>
      </c>
      <c r="B60" s="11" t="s">
        <v>158</v>
      </c>
      <c r="C60" s="95">
        <v>16940</v>
      </c>
      <c r="D60" s="92">
        <v>6.5359477000000001E-3</v>
      </c>
      <c r="E60" s="93">
        <v>332731.86378034001</v>
      </c>
      <c r="F60" s="35"/>
      <c r="G60" s="56" t="s">
        <v>160</v>
      </c>
      <c r="H60" s="39">
        <f t="shared" si="15"/>
        <v>1115</v>
      </c>
      <c r="I60" s="77">
        <f t="shared" si="16"/>
        <v>-4.4642856999999999E-3</v>
      </c>
      <c r="J60" s="90">
        <f t="shared" si="21"/>
        <v>3468870.36074646</v>
      </c>
      <c r="K60" s="83" t="s">
        <v>239</v>
      </c>
      <c r="L60" s="44">
        <f t="shared" si="17"/>
        <v>72.900000000000006</v>
      </c>
      <c r="M60" s="78">
        <f t="shared" si="18"/>
        <v>1.9580419599999999E-2</v>
      </c>
      <c r="N60" s="90">
        <f t="shared" si="22"/>
        <v>80493558.065753669</v>
      </c>
      <c r="O60" s="83" t="s">
        <v>267</v>
      </c>
      <c r="P60" s="44">
        <f t="shared" si="19"/>
        <v>254</v>
      </c>
      <c r="Q60" s="78">
        <f t="shared" si="20"/>
        <v>3.9525691999999996E-3</v>
      </c>
      <c r="R60" s="90">
        <f t="shared" si="23"/>
        <v>231117373.86557037</v>
      </c>
    </row>
    <row r="61" spans="1:18">
      <c r="A61" s="40" t="s">
        <v>81</v>
      </c>
      <c r="B61" s="11" t="s">
        <v>82</v>
      </c>
      <c r="C61" s="95">
        <v>1585</v>
      </c>
      <c r="D61" s="92">
        <v>6.3492063000000001E-3</v>
      </c>
      <c r="E61" s="93">
        <v>7083504.6238269899</v>
      </c>
      <c r="F61" s="35"/>
      <c r="G61" s="60" t="s">
        <v>245</v>
      </c>
      <c r="H61" s="45">
        <f t="shared" si="15"/>
        <v>1110</v>
      </c>
      <c r="I61" s="80">
        <f t="shared" si="16"/>
        <v>-4.4843048999999996E-3</v>
      </c>
      <c r="J61" s="99">
        <f t="shared" si="21"/>
        <v>2283961.19045173</v>
      </c>
      <c r="K61" s="82" t="s">
        <v>216</v>
      </c>
      <c r="L61" s="39">
        <f t="shared" si="17"/>
        <v>8.32</v>
      </c>
      <c r="M61" s="77">
        <f t="shared" si="18"/>
        <v>1.4634146299999999E-2</v>
      </c>
      <c r="N61" s="99">
        <f t="shared" si="22"/>
        <v>1043069897.5339459</v>
      </c>
      <c r="O61" s="82" t="s">
        <v>124</v>
      </c>
      <c r="P61" s="39">
        <f t="shared" si="19"/>
        <v>286</v>
      </c>
      <c r="Q61" s="77">
        <f t="shared" si="20"/>
        <v>3.5087718999999998E-3</v>
      </c>
      <c r="R61" s="99">
        <f t="shared" si="23"/>
        <v>9476125.8710791897</v>
      </c>
    </row>
    <row r="62" spans="1:18">
      <c r="A62" s="40" t="s">
        <v>73</v>
      </c>
      <c r="B62" s="11" t="s">
        <v>74</v>
      </c>
      <c r="C62" s="95">
        <v>17130</v>
      </c>
      <c r="D62" s="92">
        <v>5.8719905999999999E-3</v>
      </c>
      <c r="E62" s="93">
        <v>427471.22470904997</v>
      </c>
      <c r="F62" s="35"/>
      <c r="G62" s="56" t="s">
        <v>255</v>
      </c>
      <c r="H62" s="39">
        <f t="shared" si="15"/>
        <v>190</v>
      </c>
      <c r="I62" s="77">
        <f t="shared" si="16"/>
        <v>-5.2356021000000003E-3</v>
      </c>
      <c r="J62" s="86">
        <f t="shared" si="21"/>
        <v>10571579.60369326</v>
      </c>
      <c r="K62" s="82" t="s">
        <v>190</v>
      </c>
      <c r="L62" s="39">
        <f t="shared" si="17"/>
        <v>14.5</v>
      </c>
      <c r="M62" s="77">
        <f t="shared" si="18"/>
        <v>1.3986014E-2</v>
      </c>
      <c r="N62" s="86">
        <f t="shared" si="22"/>
        <v>646252602.31844842</v>
      </c>
      <c r="O62" s="82" t="s">
        <v>51</v>
      </c>
      <c r="P62" s="39">
        <f t="shared" si="19"/>
        <v>289</v>
      </c>
      <c r="Q62" s="77">
        <f t="shared" si="20"/>
        <v>3.4722222000000001E-3</v>
      </c>
      <c r="R62" s="86">
        <f t="shared" si="23"/>
        <v>29826039.468093749</v>
      </c>
    </row>
    <row r="63" spans="1:18">
      <c r="A63" s="40" t="s">
        <v>75</v>
      </c>
      <c r="B63" s="11" t="s">
        <v>76</v>
      </c>
      <c r="C63" s="95">
        <v>21620</v>
      </c>
      <c r="D63" s="92">
        <v>5.5813952999999999E-3</v>
      </c>
      <c r="E63" s="93">
        <v>360599.76943692</v>
      </c>
      <c r="F63" s="35"/>
      <c r="G63" s="56" t="s">
        <v>154</v>
      </c>
      <c r="H63" s="39">
        <f t="shared" si="15"/>
        <v>20740</v>
      </c>
      <c r="I63" s="77">
        <f t="shared" si="16"/>
        <v>-5.2757793999999997E-3</v>
      </c>
      <c r="J63" s="86">
        <f t="shared" si="21"/>
        <v>16185354.00635089</v>
      </c>
      <c r="K63" s="82" t="s">
        <v>144</v>
      </c>
      <c r="L63" s="39">
        <f t="shared" si="17"/>
        <v>84.4</v>
      </c>
      <c r="M63" s="77">
        <f t="shared" si="18"/>
        <v>7.1599044999999997E-3</v>
      </c>
      <c r="N63" s="86">
        <f t="shared" si="22"/>
        <v>19374123.447858538</v>
      </c>
      <c r="O63" s="82" t="s">
        <v>80</v>
      </c>
      <c r="P63" s="39">
        <f t="shared" si="19"/>
        <v>660</v>
      </c>
      <c r="Q63" s="77">
        <f t="shared" si="20"/>
        <v>3.0395137E-3</v>
      </c>
      <c r="R63" s="86">
        <f t="shared" si="23"/>
        <v>1948405.91462519</v>
      </c>
    </row>
    <row r="64" spans="1:18">
      <c r="A64" s="40" t="s">
        <v>179</v>
      </c>
      <c r="B64" s="11" t="s">
        <v>180</v>
      </c>
      <c r="C64" s="95">
        <v>7875</v>
      </c>
      <c r="D64" s="92">
        <v>5.1052967000000003E-3</v>
      </c>
      <c r="E64" s="93">
        <v>1186283.78950125</v>
      </c>
      <c r="F64" s="35"/>
      <c r="G64" s="56" t="s">
        <v>184</v>
      </c>
      <c r="H64" s="39">
        <f t="shared" si="15"/>
        <v>874</v>
      </c>
      <c r="I64" s="77">
        <f t="shared" si="16"/>
        <v>-5.6882820999999998E-3</v>
      </c>
      <c r="J64" s="86">
        <f t="shared" si="21"/>
        <v>12106227.15086312</v>
      </c>
      <c r="K64" s="82" t="s">
        <v>98</v>
      </c>
      <c r="L64" s="39">
        <f t="shared" si="17"/>
        <v>2.97</v>
      </c>
      <c r="M64" s="77">
        <f t="shared" si="18"/>
        <v>6.7796610000000002E-3</v>
      </c>
      <c r="N64" s="86">
        <f t="shared" si="22"/>
        <v>3760950754.330946</v>
      </c>
      <c r="O64" s="82" t="s">
        <v>90</v>
      </c>
      <c r="P64" s="39">
        <f t="shared" si="19"/>
        <v>740</v>
      </c>
      <c r="Q64" s="77">
        <f t="shared" si="20"/>
        <v>2.7100270999999999E-3</v>
      </c>
      <c r="R64" s="86">
        <f t="shared" si="23"/>
        <v>90472209.209942237</v>
      </c>
    </row>
    <row r="65" spans="1:18" ht="17.25" thickBot="1">
      <c r="A65" s="40" t="s">
        <v>121</v>
      </c>
      <c r="B65" s="11" t="s">
        <v>122</v>
      </c>
      <c r="C65" s="95">
        <v>22.1</v>
      </c>
      <c r="D65" s="92">
        <v>4.5454544999999997E-3</v>
      </c>
      <c r="E65" s="93">
        <v>154939563.93902776</v>
      </c>
      <c r="F65" s="35"/>
      <c r="G65" s="57" t="s">
        <v>228</v>
      </c>
      <c r="H65" s="37">
        <f t="shared" si="15"/>
        <v>299</v>
      </c>
      <c r="I65" s="79">
        <f t="shared" si="16"/>
        <v>-6.6445183E-3</v>
      </c>
      <c r="J65" s="87">
        <f t="shared" si="21"/>
        <v>33002551.606322981</v>
      </c>
      <c r="K65" s="84" t="s">
        <v>148</v>
      </c>
      <c r="L65" s="37">
        <f t="shared" si="17"/>
        <v>15.3</v>
      </c>
      <c r="M65" s="79">
        <f t="shared" si="18"/>
        <v>6.5789474000000001E-3</v>
      </c>
      <c r="N65" s="87">
        <f t="shared" si="22"/>
        <v>330470122.00287139</v>
      </c>
      <c r="O65" s="84" t="s">
        <v>233</v>
      </c>
      <c r="P65" s="37">
        <f t="shared" si="19"/>
        <v>372</v>
      </c>
      <c r="Q65" s="79">
        <f t="shared" si="20"/>
        <v>2.6954178000000001E-3</v>
      </c>
      <c r="R65" s="87">
        <f t="shared" si="23"/>
        <v>31721573.7836105</v>
      </c>
    </row>
    <row r="66" spans="1:18">
      <c r="A66" s="40" t="s">
        <v>111</v>
      </c>
      <c r="B66" s="11" t="s">
        <v>112</v>
      </c>
      <c r="C66" s="95">
        <v>7000</v>
      </c>
      <c r="D66" s="92">
        <v>4.3041607000000003E-3</v>
      </c>
      <c r="E66" s="93">
        <v>712152.56120260002</v>
      </c>
      <c r="F66" s="35"/>
      <c r="G66" s="56" t="s">
        <v>188</v>
      </c>
      <c r="H66" s="38">
        <f t="shared" si="15"/>
        <v>9.6999999999999993</v>
      </c>
      <c r="I66" s="76">
        <f t="shared" ref="I66:I75" si="24">_xlfn.IFNA(VLOOKUP(G66, $B$2:$D$200, 3, FALSE), "")</f>
        <v>-1.22199593E-2</v>
      </c>
      <c r="J66" s="85">
        <f t="shared" si="21"/>
        <v>420983950.22488403</v>
      </c>
      <c r="K66" s="81" t="s">
        <v>122</v>
      </c>
      <c r="L66" s="38">
        <f t="shared" si="17"/>
        <v>22.1</v>
      </c>
      <c r="M66" s="76">
        <f t="shared" si="18"/>
        <v>4.5454544999999997E-3</v>
      </c>
      <c r="N66" s="85">
        <f t="shared" si="22"/>
        <v>154939563.93902776</v>
      </c>
      <c r="O66" s="81" t="s">
        <v>138</v>
      </c>
      <c r="P66" s="38">
        <f t="shared" si="19"/>
        <v>406</v>
      </c>
      <c r="Q66" s="76">
        <f t="shared" si="20"/>
        <v>0</v>
      </c>
      <c r="R66" s="85">
        <f t="shared" si="23"/>
        <v>77552286.610026747</v>
      </c>
    </row>
    <row r="67" spans="1:18">
      <c r="A67" s="40" t="s">
        <v>151</v>
      </c>
      <c r="B67" s="11" t="s">
        <v>152</v>
      </c>
      <c r="C67" s="95">
        <v>72.900000000000006</v>
      </c>
      <c r="D67" s="92">
        <v>4.1322314000000002E-3</v>
      </c>
      <c r="E67" s="93">
        <v>55140106.73858469</v>
      </c>
      <c r="F67" s="35"/>
      <c r="G67" s="56" t="s">
        <v>231</v>
      </c>
      <c r="H67" s="39">
        <f t="shared" si="15"/>
        <v>153</v>
      </c>
      <c r="I67" s="77">
        <f t="shared" si="24"/>
        <v>-1.2903225799999999E-2</v>
      </c>
      <c r="J67" s="86">
        <f t="shared" si="21"/>
        <v>20475941.047768328</v>
      </c>
      <c r="K67" s="82" t="s">
        <v>152</v>
      </c>
      <c r="L67" s="39">
        <f t="shared" si="17"/>
        <v>72.900000000000006</v>
      </c>
      <c r="M67" s="77">
        <f t="shared" si="18"/>
        <v>4.1322314000000002E-3</v>
      </c>
      <c r="N67" s="86">
        <f t="shared" si="22"/>
        <v>55140106.73858469</v>
      </c>
      <c r="O67" s="82" t="s">
        <v>104</v>
      </c>
      <c r="P67" s="39">
        <f t="shared" si="19"/>
        <v>936</v>
      </c>
      <c r="Q67" s="77">
        <f t="shared" si="20"/>
        <v>-4.2553191000000001E-3</v>
      </c>
      <c r="R67" s="86">
        <f t="shared" si="23"/>
        <v>3538305.6456120601</v>
      </c>
    </row>
    <row r="68" spans="1:18">
      <c r="A68" s="40" t="s">
        <v>266</v>
      </c>
      <c r="B68" s="11" t="s">
        <v>267</v>
      </c>
      <c r="C68" s="95">
        <v>254</v>
      </c>
      <c r="D68" s="92">
        <v>3.9525691999999996E-3</v>
      </c>
      <c r="E68" s="93">
        <v>231117373.86557037</v>
      </c>
      <c r="F68" s="35"/>
      <c r="G68" s="56" t="s">
        <v>243</v>
      </c>
      <c r="H68" s="39">
        <f t="shared" si="15"/>
        <v>369</v>
      </c>
      <c r="I68" s="77">
        <f t="shared" si="24"/>
        <v>-1.3368984E-2</v>
      </c>
      <c r="J68" s="86">
        <f t="shared" si="21"/>
        <v>3847373.24323826</v>
      </c>
      <c r="K68" s="82" t="s">
        <v>130</v>
      </c>
      <c r="L68" s="39">
        <f t="shared" si="17"/>
        <v>81.8</v>
      </c>
      <c r="M68" s="77">
        <f t="shared" si="18"/>
        <v>3.6809816E-3</v>
      </c>
      <c r="N68" s="86">
        <f t="shared" si="22"/>
        <v>52728549.768174537</v>
      </c>
      <c r="O68" s="82" t="s">
        <v>255</v>
      </c>
      <c r="P68" s="39">
        <f t="shared" si="19"/>
        <v>190</v>
      </c>
      <c r="Q68" s="77">
        <f t="shared" si="20"/>
        <v>-5.2356021000000003E-3</v>
      </c>
      <c r="R68" s="86">
        <f t="shared" si="23"/>
        <v>10571579.60369326</v>
      </c>
    </row>
    <row r="69" spans="1:18">
      <c r="A69" s="40" t="s">
        <v>129</v>
      </c>
      <c r="B69" s="11" t="s">
        <v>130</v>
      </c>
      <c r="C69" s="95">
        <v>81.8</v>
      </c>
      <c r="D69" s="92">
        <v>3.6809816E-3</v>
      </c>
      <c r="E69" s="93">
        <v>52728549.768174537</v>
      </c>
      <c r="F69" s="35"/>
      <c r="G69" s="56" t="s">
        <v>251</v>
      </c>
      <c r="H69" s="39">
        <f t="shared" si="15"/>
        <v>59</v>
      </c>
      <c r="I69" s="77">
        <f t="shared" si="24"/>
        <v>-1.33779264E-2</v>
      </c>
      <c r="J69" s="86">
        <f t="shared" si="21"/>
        <v>49975587.593031511</v>
      </c>
      <c r="K69" s="82" t="s">
        <v>132</v>
      </c>
      <c r="L69" s="39">
        <f t="shared" si="17"/>
        <v>86.6</v>
      </c>
      <c r="M69" s="77">
        <f t="shared" si="18"/>
        <v>3.4762457E-3</v>
      </c>
      <c r="N69" s="86">
        <f t="shared" si="22"/>
        <v>46007521.438316613</v>
      </c>
      <c r="O69" s="82" t="s">
        <v>184</v>
      </c>
      <c r="P69" s="39">
        <f t="shared" si="19"/>
        <v>874</v>
      </c>
      <c r="Q69" s="77">
        <f t="shared" si="20"/>
        <v>-5.6882820999999998E-3</v>
      </c>
      <c r="R69" s="86">
        <f t="shared" si="23"/>
        <v>12106227.15086312</v>
      </c>
    </row>
    <row r="70" spans="1:18">
      <c r="A70" s="40" t="s">
        <v>99</v>
      </c>
      <c r="B70" s="11" t="s">
        <v>100</v>
      </c>
      <c r="C70" s="95">
        <v>58220</v>
      </c>
      <c r="D70" s="92">
        <v>3.6200655000000002E-3</v>
      </c>
      <c r="E70" s="93">
        <v>1049933.57605729</v>
      </c>
      <c r="F70" s="35"/>
      <c r="G70" s="56" t="s">
        <v>61</v>
      </c>
      <c r="H70" s="39">
        <f t="shared" si="15"/>
        <v>870</v>
      </c>
      <c r="I70" s="77">
        <f t="shared" si="24"/>
        <v>-1.6949152499999998E-2</v>
      </c>
      <c r="J70" s="90">
        <f t="shared" si="21"/>
        <v>64975773.878899448</v>
      </c>
      <c r="K70" s="83" t="s">
        <v>150</v>
      </c>
      <c r="L70" s="44">
        <f t="shared" si="17"/>
        <v>9.32</v>
      </c>
      <c r="M70" s="78">
        <f t="shared" si="18"/>
        <v>1.0741138999999999E-3</v>
      </c>
      <c r="N70" s="90">
        <f t="shared" si="22"/>
        <v>628869853.65250695</v>
      </c>
      <c r="O70" s="83" t="s">
        <v>228</v>
      </c>
      <c r="P70" s="44">
        <f t="shared" si="19"/>
        <v>299</v>
      </c>
      <c r="Q70" s="78">
        <f t="shared" si="20"/>
        <v>-6.6445183E-3</v>
      </c>
      <c r="R70" s="90">
        <f t="shared" si="23"/>
        <v>33002551.606322981</v>
      </c>
    </row>
    <row r="71" spans="1:18">
      <c r="A71" s="40" t="s">
        <v>123</v>
      </c>
      <c r="B71" s="11" t="s">
        <v>124</v>
      </c>
      <c r="C71" s="95">
        <v>286</v>
      </c>
      <c r="D71" s="92">
        <v>3.5087718999999998E-3</v>
      </c>
      <c r="E71" s="93">
        <v>9476125.8710791897</v>
      </c>
      <c r="F71" s="35"/>
      <c r="G71" s="60" t="s">
        <v>241</v>
      </c>
      <c r="H71" s="45">
        <f t="shared" si="15"/>
        <v>53.9</v>
      </c>
      <c r="I71" s="80">
        <f t="shared" si="24"/>
        <v>-1.82149362E-2</v>
      </c>
      <c r="J71" s="99">
        <f t="shared" si="21"/>
        <v>253667953.46753153</v>
      </c>
      <c r="K71" s="82" t="s">
        <v>72</v>
      </c>
      <c r="L71" s="39">
        <f t="shared" si="17"/>
        <v>18.2</v>
      </c>
      <c r="M71" s="77">
        <f t="shared" si="18"/>
        <v>0</v>
      </c>
      <c r="N71" s="99">
        <f t="shared" si="22"/>
        <v>173561203.68691772</v>
      </c>
      <c r="O71" s="82" t="s">
        <v>231</v>
      </c>
      <c r="P71" s="39">
        <f t="shared" si="19"/>
        <v>153</v>
      </c>
      <c r="Q71" s="77">
        <f t="shared" si="20"/>
        <v>-1.2903225799999999E-2</v>
      </c>
      <c r="R71" s="99">
        <f t="shared" si="23"/>
        <v>20475941.047768328</v>
      </c>
    </row>
    <row r="72" spans="1:18">
      <c r="A72" s="40" t="s">
        <v>131</v>
      </c>
      <c r="B72" s="11" t="s">
        <v>132</v>
      </c>
      <c r="C72" s="95">
        <v>86.6</v>
      </c>
      <c r="D72" s="92">
        <v>3.4762457E-3</v>
      </c>
      <c r="E72" s="93">
        <v>46007521.438316613</v>
      </c>
      <c r="F72" s="35"/>
      <c r="G72" s="56" t="s">
        <v>220</v>
      </c>
      <c r="H72" s="39">
        <f t="shared" si="15"/>
        <v>169</v>
      </c>
      <c r="I72" s="77">
        <f t="shared" si="24"/>
        <v>-2.3121387300000001E-2</v>
      </c>
      <c r="J72" s="86">
        <f t="shared" si="21"/>
        <v>113890532.62104782</v>
      </c>
      <c r="K72" s="82" t="s">
        <v>188</v>
      </c>
      <c r="L72" s="39">
        <f t="shared" si="17"/>
        <v>9.6999999999999993</v>
      </c>
      <c r="M72" s="77">
        <f t="shared" si="18"/>
        <v>-1.22199593E-2</v>
      </c>
      <c r="N72" s="86">
        <f t="shared" si="22"/>
        <v>420983950.22488403</v>
      </c>
      <c r="O72" s="82" t="s">
        <v>243</v>
      </c>
      <c r="P72" s="39">
        <f t="shared" si="19"/>
        <v>369</v>
      </c>
      <c r="Q72" s="77">
        <f t="shared" si="20"/>
        <v>-1.3368984E-2</v>
      </c>
      <c r="R72" s="86">
        <f t="shared" si="23"/>
        <v>3847373.24323826</v>
      </c>
    </row>
    <row r="73" spans="1:18">
      <c r="A73" s="40" t="s">
        <v>50</v>
      </c>
      <c r="B73" s="11" t="s">
        <v>51</v>
      </c>
      <c r="C73" s="95">
        <v>289</v>
      </c>
      <c r="D73" s="92">
        <v>3.4722222000000001E-3</v>
      </c>
      <c r="E73" s="93">
        <v>29826039.468093749</v>
      </c>
      <c r="F73" s="35"/>
      <c r="G73" s="56" t="s">
        <v>210</v>
      </c>
      <c r="H73" s="39">
        <f t="shared" si="15"/>
        <v>9.5</v>
      </c>
      <c r="I73" s="77">
        <f t="shared" si="24"/>
        <v>-2.5641025599999999E-2</v>
      </c>
      <c r="J73" s="86">
        <f t="shared" si="21"/>
        <v>701215073.64674616</v>
      </c>
      <c r="K73" s="82" t="s">
        <v>251</v>
      </c>
      <c r="L73" s="39">
        <f t="shared" si="17"/>
        <v>59</v>
      </c>
      <c r="M73" s="77">
        <f t="shared" si="18"/>
        <v>-1.33779264E-2</v>
      </c>
      <c r="N73" s="86">
        <f t="shared" si="22"/>
        <v>49975587.593031511</v>
      </c>
      <c r="O73" s="82" t="s">
        <v>61</v>
      </c>
      <c r="P73" s="39">
        <f t="shared" si="19"/>
        <v>870</v>
      </c>
      <c r="Q73" s="77">
        <f t="shared" si="20"/>
        <v>-1.6949152499999998E-2</v>
      </c>
      <c r="R73" s="86">
        <f t="shared" si="23"/>
        <v>64975773.878899448</v>
      </c>
    </row>
    <row r="74" spans="1:18">
      <c r="A74" s="40" t="s">
        <v>79</v>
      </c>
      <c r="B74" s="11" t="s">
        <v>80</v>
      </c>
      <c r="C74" s="95">
        <v>660</v>
      </c>
      <c r="D74" s="92">
        <v>3.0395137E-3</v>
      </c>
      <c r="E74" s="93">
        <v>1948405.91462519</v>
      </c>
      <c r="F74" s="35"/>
      <c r="G74" s="56" t="s">
        <v>198</v>
      </c>
      <c r="H74" s="39">
        <f t="shared" si="15"/>
        <v>21640</v>
      </c>
      <c r="I74" s="77">
        <f t="shared" si="24"/>
        <v>-2.5664115299999998E-2</v>
      </c>
      <c r="J74" s="86">
        <f t="shared" si="21"/>
        <v>17831272.631281208</v>
      </c>
      <c r="K74" s="82" t="s">
        <v>241</v>
      </c>
      <c r="L74" s="39">
        <f t="shared" si="17"/>
        <v>53.9</v>
      </c>
      <c r="M74" s="77">
        <f t="shared" si="18"/>
        <v>-1.82149362E-2</v>
      </c>
      <c r="N74" s="86">
        <f t="shared" si="22"/>
        <v>253667953.46753153</v>
      </c>
      <c r="O74" s="82" t="s">
        <v>220</v>
      </c>
      <c r="P74" s="39">
        <f t="shared" si="19"/>
        <v>169</v>
      </c>
      <c r="Q74" s="77">
        <f t="shared" si="20"/>
        <v>-2.3121387300000001E-2</v>
      </c>
      <c r="R74" s="86">
        <f t="shared" si="23"/>
        <v>113890532.62104782</v>
      </c>
    </row>
    <row r="75" spans="1:18" ht="17.25" thickBot="1">
      <c r="A75" s="40" t="s">
        <v>89</v>
      </c>
      <c r="B75" s="11" t="s">
        <v>90</v>
      </c>
      <c r="C75" s="95">
        <v>740</v>
      </c>
      <c r="D75" s="92">
        <v>2.7100270999999999E-3</v>
      </c>
      <c r="E75" s="93">
        <v>90472209.209942237</v>
      </c>
      <c r="F75" s="35"/>
      <c r="G75" s="57" t="s">
        <v>114</v>
      </c>
      <c r="H75" s="37">
        <f t="shared" si="15"/>
        <v>562</v>
      </c>
      <c r="I75" s="79">
        <f t="shared" si="24"/>
        <v>-3.6020583199999998E-2</v>
      </c>
      <c r="J75" s="87">
        <f t="shared" si="21"/>
        <v>197758737.94729596</v>
      </c>
      <c r="K75" s="84" t="s">
        <v>210</v>
      </c>
      <c r="L75" s="37">
        <f t="shared" si="17"/>
        <v>9.5</v>
      </c>
      <c r="M75" s="79">
        <f t="shared" si="18"/>
        <v>-2.5641025599999999E-2</v>
      </c>
      <c r="N75" s="87">
        <f t="shared" si="22"/>
        <v>701215073.64674616</v>
      </c>
      <c r="O75" s="84" t="s">
        <v>114</v>
      </c>
      <c r="P75" s="37">
        <f t="shared" si="19"/>
        <v>562</v>
      </c>
      <c r="Q75" s="79">
        <f t="shared" si="20"/>
        <v>-3.6020583199999998E-2</v>
      </c>
      <c r="R75" s="87">
        <f t="shared" si="23"/>
        <v>197758737.94729596</v>
      </c>
    </row>
    <row r="76" spans="1:18">
      <c r="A76" s="40" t="s">
        <v>232</v>
      </c>
      <c r="B76" s="11" t="s">
        <v>233</v>
      </c>
      <c r="C76" s="95">
        <v>372</v>
      </c>
      <c r="D76" s="92">
        <v>2.6954178000000001E-3</v>
      </c>
      <c r="E76" s="93">
        <v>31721573.7836105</v>
      </c>
      <c r="F76" s="35"/>
      <c r="G76" s="35"/>
      <c r="H76" s="35"/>
      <c r="I76" s="35"/>
    </row>
    <row r="77" spans="1:18">
      <c r="A77" s="40" t="s">
        <v>62</v>
      </c>
      <c r="B77" s="11" t="s">
        <v>63</v>
      </c>
      <c r="C77" s="95">
        <v>40360</v>
      </c>
      <c r="D77" s="92">
        <v>2.4838549000000001E-3</v>
      </c>
      <c r="E77" s="93">
        <v>121433.65051371</v>
      </c>
      <c r="F77" s="35"/>
      <c r="G77" s="35"/>
      <c r="H77" s="35"/>
      <c r="I77" s="35"/>
    </row>
    <row r="78" spans="1:18">
      <c r="A78" s="40" t="s">
        <v>91</v>
      </c>
      <c r="B78" s="11" t="s">
        <v>92</v>
      </c>
      <c r="C78" s="95">
        <v>52010</v>
      </c>
      <c r="D78" s="92">
        <v>1.9264111000000001E-3</v>
      </c>
      <c r="E78" s="93">
        <v>163266.93904612001</v>
      </c>
      <c r="F78" s="35"/>
      <c r="G78" s="35"/>
      <c r="H78" s="35"/>
      <c r="I78" s="35"/>
    </row>
    <row r="79" spans="1:18">
      <c r="A79" s="40" t="s">
        <v>105</v>
      </c>
      <c r="B79" s="11" t="s">
        <v>106</v>
      </c>
      <c r="C79" s="95">
        <v>30950</v>
      </c>
      <c r="D79" s="92">
        <v>1.618123E-3</v>
      </c>
      <c r="E79" s="93">
        <v>135371.70928750001</v>
      </c>
      <c r="F79" s="35"/>
      <c r="G79" s="35"/>
      <c r="H79" s="35"/>
      <c r="I79" s="35"/>
    </row>
    <row r="80" spans="1:18">
      <c r="A80" s="40" t="s">
        <v>149</v>
      </c>
      <c r="B80" s="11" t="s">
        <v>150</v>
      </c>
      <c r="C80" s="95">
        <v>9.32</v>
      </c>
      <c r="D80" s="92">
        <v>1.0741138999999999E-3</v>
      </c>
      <c r="E80" s="93">
        <v>628869853.65250695</v>
      </c>
      <c r="F80" s="35"/>
      <c r="G80" s="35"/>
      <c r="H80" s="35"/>
      <c r="I80" s="35"/>
    </row>
    <row r="81" spans="1:9">
      <c r="A81" s="40" t="s">
        <v>107</v>
      </c>
      <c r="B81" s="11" t="s">
        <v>108</v>
      </c>
      <c r="C81" s="95">
        <v>1085</v>
      </c>
      <c r="D81" s="92">
        <v>0</v>
      </c>
      <c r="E81" s="93">
        <v>8073333.2800272303</v>
      </c>
      <c r="F81" s="35"/>
      <c r="G81" s="35"/>
      <c r="H81" s="35"/>
      <c r="I81" s="35"/>
    </row>
    <row r="82" spans="1:9">
      <c r="A82" s="40" t="s">
        <v>87</v>
      </c>
      <c r="B82" s="11" t="s">
        <v>88</v>
      </c>
      <c r="C82" s="95">
        <v>163500</v>
      </c>
      <c r="D82" s="92">
        <v>0</v>
      </c>
      <c r="E82" s="93">
        <v>13365.65898029</v>
      </c>
      <c r="F82" s="35"/>
      <c r="G82" s="35"/>
      <c r="H82" s="35"/>
      <c r="I82" s="35"/>
    </row>
    <row r="83" spans="1:9">
      <c r="A83" s="40" t="s">
        <v>71</v>
      </c>
      <c r="B83" s="11" t="s">
        <v>72</v>
      </c>
      <c r="C83" s="95">
        <v>18.2</v>
      </c>
      <c r="D83" s="92">
        <v>0</v>
      </c>
      <c r="E83" s="93">
        <v>173561203.68691772</v>
      </c>
      <c r="F83" s="35"/>
      <c r="G83" s="35"/>
      <c r="H83" s="35"/>
      <c r="I83" s="35"/>
    </row>
    <row r="84" spans="1:9">
      <c r="A84" s="40" t="s">
        <v>137</v>
      </c>
      <c r="B84" s="11" t="s">
        <v>138</v>
      </c>
      <c r="C84" s="95">
        <v>406</v>
      </c>
      <c r="D84" s="92">
        <v>0</v>
      </c>
      <c r="E84" s="93">
        <v>77552286.610026747</v>
      </c>
      <c r="F84" s="35"/>
      <c r="G84" s="35"/>
      <c r="H84" s="35"/>
      <c r="I84" s="35"/>
    </row>
    <row r="85" spans="1:9">
      <c r="A85" s="40" t="s">
        <v>195</v>
      </c>
      <c r="B85" s="11" t="s">
        <v>196</v>
      </c>
      <c r="C85" s="95">
        <v>3680</v>
      </c>
      <c r="D85" s="92">
        <v>0</v>
      </c>
      <c r="E85" s="93">
        <v>36611715.795000523</v>
      </c>
      <c r="F85" s="35"/>
      <c r="G85" s="35"/>
      <c r="H85" s="35"/>
      <c r="I85" s="35"/>
    </row>
    <row r="86" spans="1:9">
      <c r="A86" s="40" t="s">
        <v>77</v>
      </c>
      <c r="B86" s="11" t="s">
        <v>78</v>
      </c>
      <c r="C86" s="95">
        <v>587000</v>
      </c>
      <c r="D86" s="92">
        <v>-1.0211027999999999E-3</v>
      </c>
      <c r="E86" s="93">
        <v>9394.4063578400001</v>
      </c>
      <c r="F86" s="35"/>
      <c r="G86" s="35"/>
      <c r="H86" s="35"/>
      <c r="I86" s="35"/>
    </row>
    <row r="87" spans="1:9">
      <c r="A87" s="40" t="s">
        <v>103</v>
      </c>
      <c r="B87" s="11" t="s">
        <v>104</v>
      </c>
      <c r="C87" s="95">
        <v>936</v>
      </c>
      <c r="D87" s="92">
        <v>-4.2553191000000001E-3</v>
      </c>
      <c r="E87" s="93">
        <v>3538305.6456120601</v>
      </c>
      <c r="F87" s="35"/>
      <c r="G87" s="35"/>
      <c r="H87" s="35"/>
      <c r="I87" s="35"/>
    </row>
    <row r="88" spans="1:9">
      <c r="A88" s="40" t="s">
        <v>159</v>
      </c>
      <c r="B88" s="11" t="s">
        <v>160</v>
      </c>
      <c r="C88" s="95">
        <v>1115</v>
      </c>
      <c r="D88" s="92">
        <v>-4.4642856999999999E-3</v>
      </c>
      <c r="E88" s="93">
        <v>3468870.36074646</v>
      </c>
      <c r="F88" s="35"/>
      <c r="G88" s="35"/>
      <c r="H88" s="35"/>
      <c r="I88" s="35"/>
    </row>
    <row r="89" spans="1:9">
      <c r="A89" s="40" t="s">
        <v>244</v>
      </c>
      <c r="B89" s="11" t="s">
        <v>245</v>
      </c>
      <c r="C89" s="95">
        <v>1110</v>
      </c>
      <c r="D89" s="92">
        <v>-4.4843048999999996E-3</v>
      </c>
      <c r="E89" s="93">
        <v>2283961.19045173</v>
      </c>
      <c r="F89" s="35"/>
      <c r="G89" s="35"/>
      <c r="H89" s="35"/>
      <c r="I89" s="35"/>
    </row>
    <row r="90" spans="1:9">
      <c r="A90" s="40" t="s">
        <v>254</v>
      </c>
      <c r="B90" s="11" t="s">
        <v>255</v>
      </c>
      <c r="C90" s="95">
        <v>190</v>
      </c>
      <c r="D90" s="92">
        <v>-5.2356021000000003E-3</v>
      </c>
      <c r="E90" s="93">
        <v>10571579.60369326</v>
      </c>
      <c r="F90" s="35"/>
      <c r="G90" s="35"/>
      <c r="H90" s="35"/>
      <c r="I90" s="35"/>
    </row>
    <row r="91" spans="1:9">
      <c r="A91" s="40" t="s">
        <v>153</v>
      </c>
      <c r="B91" s="11" t="s">
        <v>154</v>
      </c>
      <c r="C91" s="95">
        <v>20740</v>
      </c>
      <c r="D91" s="92">
        <v>-5.2757793999999997E-3</v>
      </c>
      <c r="E91" s="93">
        <v>16185354.00635089</v>
      </c>
      <c r="F91" s="35"/>
      <c r="G91" s="35"/>
      <c r="H91" s="35"/>
      <c r="I91" s="35"/>
    </row>
    <row r="92" spans="1:9">
      <c r="A92" s="40" t="s">
        <v>183</v>
      </c>
      <c r="B92" s="11" t="s">
        <v>184</v>
      </c>
      <c r="C92" s="95">
        <v>874</v>
      </c>
      <c r="D92" s="92">
        <v>-5.6882820999999998E-3</v>
      </c>
      <c r="E92" s="93">
        <v>12106227.15086312</v>
      </c>
      <c r="F92" s="35"/>
      <c r="G92" s="35"/>
      <c r="H92" s="35"/>
      <c r="I92" s="35"/>
    </row>
    <row r="93" spans="1:9">
      <c r="A93" s="40" t="s">
        <v>227</v>
      </c>
      <c r="B93" s="11" t="s">
        <v>228</v>
      </c>
      <c r="C93" s="95">
        <v>299</v>
      </c>
      <c r="D93" s="92">
        <v>-6.6445183E-3</v>
      </c>
      <c r="E93" s="93">
        <v>33002551.606322981</v>
      </c>
      <c r="F93" s="35"/>
      <c r="G93" s="35"/>
      <c r="H93" s="35"/>
      <c r="I93" s="35"/>
    </row>
    <row r="94" spans="1:9">
      <c r="A94" s="40" t="s">
        <v>187</v>
      </c>
      <c r="B94" s="11" t="s">
        <v>188</v>
      </c>
      <c r="C94" s="95">
        <v>9.6999999999999993</v>
      </c>
      <c r="D94" s="92">
        <v>-1.22199593E-2</v>
      </c>
      <c r="E94" s="93">
        <v>420983950.22488403</v>
      </c>
      <c r="F94" s="35"/>
      <c r="G94" s="35"/>
      <c r="H94" s="35"/>
      <c r="I94" s="35"/>
    </row>
    <row r="95" spans="1:9">
      <c r="A95" s="40" t="s">
        <v>230</v>
      </c>
      <c r="B95" s="11" t="s">
        <v>231</v>
      </c>
      <c r="C95" s="95">
        <v>153</v>
      </c>
      <c r="D95" s="92">
        <v>-1.2903225799999999E-2</v>
      </c>
      <c r="E95" s="93">
        <v>20475941.047768328</v>
      </c>
      <c r="F95" s="35"/>
      <c r="G95" s="35"/>
      <c r="H95" s="35"/>
      <c r="I95" s="35"/>
    </row>
    <row r="96" spans="1:9">
      <c r="A96" s="40" t="s">
        <v>242</v>
      </c>
      <c r="B96" s="11" t="s">
        <v>243</v>
      </c>
      <c r="C96" s="95">
        <v>369</v>
      </c>
      <c r="D96" s="92">
        <v>-1.3368984E-2</v>
      </c>
      <c r="E96" s="93">
        <v>3847373.24323826</v>
      </c>
      <c r="F96" s="35"/>
      <c r="G96" s="35"/>
      <c r="H96" s="35"/>
      <c r="I96" s="35"/>
    </row>
    <row r="97" spans="1:9">
      <c r="A97" s="40" t="s">
        <v>250</v>
      </c>
      <c r="B97" s="11" t="s">
        <v>251</v>
      </c>
      <c r="C97" s="95">
        <v>59</v>
      </c>
      <c r="D97" s="92">
        <v>-1.33779264E-2</v>
      </c>
      <c r="E97" s="93">
        <v>49975587.593031511</v>
      </c>
      <c r="F97" s="35"/>
      <c r="G97" s="35"/>
      <c r="H97" s="35"/>
      <c r="I97" s="35"/>
    </row>
    <row r="98" spans="1:9">
      <c r="A98" s="40" t="s">
        <v>60</v>
      </c>
      <c r="B98" s="11" t="s">
        <v>61</v>
      </c>
      <c r="C98" s="95">
        <v>870</v>
      </c>
      <c r="D98" s="92">
        <v>-1.6949152499999998E-2</v>
      </c>
      <c r="E98" s="93">
        <v>64975773.878899448</v>
      </c>
      <c r="F98" s="35"/>
      <c r="G98" s="35"/>
      <c r="H98" s="35"/>
      <c r="I98" s="35"/>
    </row>
    <row r="99" spans="1:9">
      <c r="A99" s="40" t="s">
        <v>240</v>
      </c>
      <c r="B99" s="11" t="s">
        <v>241</v>
      </c>
      <c r="C99" s="95">
        <v>53.9</v>
      </c>
      <c r="D99" s="92">
        <v>-1.82149362E-2</v>
      </c>
      <c r="E99" s="93">
        <v>253667953.46753153</v>
      </c>
      <c r="F99" s="35"/>
      <c r="G99" s="35"/>
      <c r="H99" s="35"/>
      <c r="I99" s="35"/>
    </row>
    <row r="100" spans="1:9">
      <c r="A100" s="40" t="s">
        <v>219</v>
      </c>
      <c r="B100" s="11" t="s">
        <v>220</v>
      </c>
      <c r="C100" s="95">
        <v>169</v>
      </c>
      <c r="D100" s="92">
        <v>-2.3121387300000001E-2</v>
      </c>
      <c r="E100" s="93">
        <v>113890532.62104782</v>
      </c>
      <c r="F100" s="35"/>
      <c r="G100" s="35"/>
      <c r="H100" s="35"/>
      <c r="I100" s="35"/>
    </row>
    <row r="101" spans="1:9">
      <c r="A101" s="40" t="s">
        <v>209</v>
      </c>
      <c r="B101" s="11" t="s">
        <v>210</v>
      </c>
      <c r="C101" s="95">
        <v>9.5</v>
      </c>
      <c r="D101" s="92">
        <v>-2.5641025599999999E-2</v>
      </c>
      <c r="E101" s="93">
        <v>701215073.64674616</v>
      </c>
      <c r="F101" s="35"/>
      <c r="G101" s="35"/>
      <c r="H101" s="35"/>
      <c r="I101" s="35"/>
    </row>
    <row r="102" spans="1:9">
      <c r="A102" s="40" t="s">
        <v>197</v>
      </c>
      <c r="B102" s="11" t="s">
        <v>198</v>
      </c>
      <c r="C102" s="95">
        <v>21640</v>
      </c>
      <c r="D102" s="92">
        <v>-2.5664115299999998E-2</v>
      </c>
      <c r="E102" s="93">
        <v>17831272.631281208</v>
      </c>
      <c r="F102" s="35"/>
      <c r="G102" s="35"/>
      <c r="H102" s="35"/>
      <c r="I102" s="35"/>
    </row>
    <row r="103" spans="1:9">
      <c r="A103" s="40" t="s">
        <v>113</v>
      </c>
      <c r="B103" s="11" t="s">
        <v>114</v>
      </c>
      <c r="C103" s="95">
        <v>562</v>
      </c>
      <c r="D103" s="92">
        <v>-3.6020583199999998E-2</v>
      </c>
      <c r="E103" s="93">
        <v>197758737.94729596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abSelected="1" topLeftCell="B43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58" t="str">
        <f>TEXT(투자전략!$G$1, "[$-ko-KR]yyyy년 mm월") &amp; " 총결산"</f>
        <v>2021년 07월 총결산</v>
      </c>
      <c r="B1" s="259"/>
      <c r="C1" s="259"/>
      <c r="D1" s="259"/>
      <c r="E1" s="259"/>
      <c r="F1" s="259"/>
      <c r="G1" s="259"/>
      <c r="H1" s="259"/>
      <c r="I1" s="259"/>
      <c r="J1" s="259"/>
      <c r="K1" s="259"/>
      <c r="L1" s="259"/>
      <c r="M1" s="259"/>
      <c r="N1" s="259"/>
      <c r="O1" s="260"/>
    </row>
    <row r="2" spans="1:15" ht="16.5" customHeight="1" thickBot="1">
      <c r="A2" s="255" t="s">
        <v>290</v>
      </c>
      <c r="B2" s="256"/>
      <c r="C2" s="256"/>
      <c r="D2" s="228" t="s">
        <v>286</v>
      </c>
      <c r="E2" s="228"/>
      <c r="F2" s="229"/>
      <c r="G2" s="258" t="s">
        <v>287</v>
      </c>
      <c r="H2" s="259"/>
      <c r="I2" s="260"/>
      <c r="J2" s="227" t="s">
        <v>288</v>
      </c>
      <c r="K2" s="228"/>
      <c r="L2" s="228"/>
      <c r="M2" s="228" t="s">
        <v>289</v>
      </c>
      <c r="N2" s="228"/>
      <c r="O2" s="229"/>
    </row>
    <row r="3" spans="1:15" ht="16.5" customHeight="1">
      <c r="A3" s="285">
        <v>1</v>
      </c>
      <c r="B3" s="2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[오전 00:00] 엽전코인 Top20</v>
      </c>
      <c r="C3" s="257"/>
      <c r="D3" s="255" t="s">
        <v>291</v>
      </c>
      <c r="E3" s="256"/>
      <c r="F3" s="257"/>
      <c r="G3" s="255" t="s">
        <v>298</v>
      </c>
      <c r="H3" s="256"/>
      <c r="I3" s="257"/>
      <c r="J3" s="255" t="s">
        <v>305</v>
      </c>
      <c r="K3" s="256"/>
      <c r="L3" s="257"/>
      <c r="M3" s="255" t="s">
        <v>312</v>
      </c>
      <c r="N3" s="256"/>
      <c r="O3" s="257"/>
    </row>
    <row r="4" spans="1:15" ht="16.5" customHeight="1" thickBot="1">
      <c r="A4" s="286"/>
      <c r="B4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351,417 KRW (17.57%)</v>
      </c>
      <c r="C4" s="250"/>
      <c r="D4" s="248" t="str">
        <f ca="1" xml:space="preserve"> TEXT($F$92, "#,##0") &amp; " KRW (" &amp; TEXT($E$92, "0.00%)")</f>
        <v>256,113 KRW (12.81%)</v>
      </c>
      <c r="E4" s="249"/>
      <c r="F4" s="250"/>
      <c r="G4" s="248" t="str">
        <f ca="1" xml:space="preserve"> TEXT($I$92, "#,##0") &amp; " KRW (" &amp; TEXT($H$92, "0.00%)")</f>
        <v>155,353 KRW (7.77%)</v>
      </c>
      <c r="H4" s="249"/>
      <c r="I4" s="250"/>
      <c r="J4" s="248" t="str">
        <f ca="1" xml:space="preserve"> TEXT($L$92, "#,##0") &amp; " KRW (" &amp; TEXT($K$92, "0.00%)")</f>
        <v>171,799 KRW (8.59%)</v>
      </c>
      <c r="K4" s="249"/>
      <c r="L4" s="250"/>
      <c r="M4" s="248" t="str">
        <f ca="1" xml:space="preserve"> TEXT($O$92, "#,##0") &amp; " KRW (" &amp; TEXT($N$92, "0.00%)")</f>
        <v>351,417 KRW (17.57%)</v>
      </c>
      <c r="N4" s="249"/>
      <c r="O4" s="250"/>
    </row>
    <row r="5" spans="1:15" ht="16.5" customHeight="1">
      <c r="A5" s="285">
        <v>2</v>
      </c>
      <c r="B5" s="25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[오전 00:00] 엽전코인 Bottom20</v>
      </c>
      <c r="C5" s="257"/>
      <c r="D5" s="255" t="s">
        <v>292</v>
      </c>
      <c r="E5" s="256"/>
      <c r="F5" s="257"/>
      <c r="G5" s="255" t="s">
        <v>299</v>
      </c>
      <c r="H5" s="256"/>
      <c r="I5" s="257"/>
      <c r="J5" s="255" t="s">
        <v>306</v>
      </c>
      <c r="K5" s="256"/>
      <c r="L5" s="257"/>
      <c r="M5" s="255" t="s">
        <v>313</v>
      </c>
      <c r="N5" s="256"/>
      <c r="O5" s="257"/>
    </row>
    <row r="6" spans="1:15" ht="16.5" customHeight="1" thickBot="1">
      <c r="A6" s="286"/>
      <c r="B6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312,722 KRW (15.64%)</v>
      </c>
      <c r="C6" s="250"/>
      <c r="D6" s="248" t="str">
        <f ca="1" xml:space="preserve"> TEXT($F$130, "#,##0") &amp; " KRW (" &amp; TEXT($E$130, "0.00%)")</f>
        <v>199,508 KRW (9.98%)</v>
      </c>
      <c r="E6" s="249"/>
      <c r="F6" s="250"/>
      <c r="G6" s="248" t="str">
        <f ca="1" xml:space="preserve"> TEXT($I$130, "#,##0") &amp; " KRW (" &amp; TEXT($H$130, "0.00%)")</f>
        <v>61,420 KRW (3.07%)</v>
      </c>
      <c r="H6" s="249"/>
      <c r="I6" s="250"/>
      <c r="J6" s="248" t="str">
        <f ca="1" xml:space="preserve"> TEXT($L$130, "#,##0") &amp; " KRW (" &amp; TEXT($K$130, "0.00%)")</f>
        <v>72,073 KRW (3.60%)</v>
      </c>
      <c r="K6" s="249"/>
      <c r="L6" s="250"/>
      <c r="M6" s="248" t="str">
        <f ca="1" xml:space="preserve"> TEXT($O$130, "#,##0") &amp; " KRW (" &amp; TEXT($N$130, "0.00%)")</f>
        <v>227,135 KRW (11.36%)</v>
      </c>
      <c r="N6" s="249"/>
      <c r="O6" s="250"/>
    </row>
    <row r="7" spans="1:15" ht="16.5" customHeight="1">
      <c r="A7" s="285">
        <v>3</v>
      </c>
      <c r="B7" s="25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Bottom20</v>
      </c>
      <c r="C7" s="257"/>
      <c r="D7" s="255" t="s">
        <v>293</v>
      </c>
      <c r="E7" s="256"/>
      <c r="F7" s="257"/>
      <c r="G7" s="255" t="s">
        <v>300</v>
      </c>
      <c r="H7" s="256"/>
      <c r="I7" s="257"/>
      <c r="J7" s="255" t="s">
        <v>307</v>
      </c>
      <c r="K7" s="256"/>
      <c r="L7" s="257"/>
      <c r="M7" s="255" t="s">
        <v>314</v>
      </c>
      <c r="N7" s="256"/>
      <c r="O7" s="257"/>
    </row>
    <row r="8" spans="1:15" ht="16.5" customHeight="1" thickBot="1">
      <c r="A8" s="286"/>
      <c r="B8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258,648 KRW (12.93%)</v>
      </c>
      <c r="C8" s="250"/>
      <c r="D8" s="248" t="str">
        <f ca="1" xml:space="preserve"> TEXT($F$206, "#,##0") &amp; " KRW (" &amp; TEXT($E$206, "0.00%)")</f>
        <v>258,648 KRW (12.93%)</v>
      </c>
      <c r="E8" s="249"/>
      <c r="F8" s="250"/>
      <c r="G8" s="248" t="str">
        <f ca="1" xml:space="preserve"> TEXT($I$206, "#,##0") &amp; " KRW (" &amp; TEXT($H$206, "0.00%)")</f>
        <v>90,453 KRW (4.52%)</v>
      </c>
      <c r="H8" s="249"/>
      <c r="I8" s="250"/>
      <c r="J8" s="248" t="str">
        <f ca="1" xml:space="preserve"> TEXT($L$206, "#,##0") &amp; " KRW (" &amp; TEXT($K$206, "0.00%)")</f>
        <v>125,730 KRW (6.29%)</v>
      </c>
      <c r="K8" s="249"/>
      <c r="L8" s="250"/>
      <c r="M8" s="248" t="str">
        <f ca="1" xml:space="preserve"> TEXT($O$206, "#,##0") &amp; " KRW (" &amp; TEXT($N$206, "0.00%)")</f>
        <v>312,722 KRW (15.64%)</v>
      </c>
      <c r="N8" s="249"/>
      <c r="O8" s="250"/>
    </row>
    <row r="9" spans="1:15" ht="16.5" customHeight="1">
      <c r="A9" s="285">
        <v>4</v>
      </c>
      <c r="B9" s="25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엽전코인 Top20</v>
      </c>
      <c r="C9" s="257"/>
      <c r="D9" s="255" t="s">
        <v>294</v>
      </c>
      <c r="E9" s="256"/>
      <c r="F9" s="257"/>
      <c r="G9" s="255" t="s">
        <v>301</v>
      </c>
      <c r="H9" s="256"/>
      <c r="I9" s="257"/>
      <c r="J9" s="255" t="s">
        <v>308</v>
      </c>
      <c r="K9" s="256"/>
      <c r="L9" s="257"/>
      <c r="M9" s="255" t="s">
        <v>315</v>
      </c>
      <c r="N9" s="256"/>
      <c r="O9" s="257"/>
    </row>
    <row r="10" spans="1:15" ht="16.5" customHeight="1" thickBot="1">
      <c r="A10" s="286"/>
      <c r="B10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256,113 KRW (12.81%)</v>
      </c>
      <c r="C10" s="250"/>
      <c r="D10" s="248" t="str">
        <f ca="1" xml:space="preserve"> TEXT($F$244, "#,##0") &amp; " KRW (" &amp; TEXT($E$244, "0.00%)")</f>
        <v>177,780 KRW (8.89%)</v>
      </c>
      <c r="E10" s="249"/>
      <c r="F10" s="250"/>
      <c r="G10" s="248" t="str">
        <f ca="1" xml:space="preserve"> TEXT($I$244, "#,##0") &amp; " KRW (" &amp; TEXT($H$244, "0.00%)")</f>
        <v>-51,375 KRW (-2.57%)</v>
      </c>
      <c r="H10" s="249"/>
      <c r="I10" s="250"/>
      <c r="J10" s="248" t="str">
        <f ca="1" xml:space="preserve"> TEXT($L$244, "#,##0") &amp; " KRW (" &amp; TEXT($K$244, "0.00%)")</f>
        <v>-10,035 KRW (-0.50%)</v>
      </c>
      <c r="K10" s="249"/>
      <c r="L10" s="250"/>
      <c r="M10" s="248" t="str">
        <f ca="1" xml:space="preserve"> TEXT($O$244, "#,##0") &amp; " KRW (" &amp; TEXT($N$244, "0.00%)")</f>
        <v>136,832 KRW (6.84%)</v>
      </c>
      <c r="N10" s="249"/>
      <c r="O10" s="250"/>
    </row>
    <row r="11" spans="1:15" ht="16.5" customHeight="1">
      <c r="A11" s="285">
        <v>5</v>
      </c>
      <c r="B11" s="25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[오전 00:00] 동전코인 Top20</v>
      </c>
      <c r="C11" s="257"/>
      <c r="D11" s="255" t="s">
        <v>295</v>
      </c>
      <c r="E11" s="256"/>
      <c r="F11" s="257"/>
      <c r="G11" s="255" t="s">
        <v>302</v>
      </c>
      <c r="H11" s="256"/>
      <c r="I11" s="257"/>
      <c r="J11" s="255" t="s">
        <v>309</v>
      </c>
      <c r="K11" s="256"/>
      <c r="L11" s="257"/>
      <c r="M11" s="255" t="s">
        <v>316</v>
      </c>
      <c r="N11" s="256"/>
      <c r="O11" s="257"/>
    </row>
    <row r="12" spans="1:15" ht="16.5" customHeight="1" thickBot="1">
      <c r="A12" s="286"/>
      <c r="B12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227,135 KRW (11.36%)</v>
      </c>
      <c r="C12" s="250"/>
      <c r="D12" s="248" t="str">
        <f ca="1" xml:space="preserve"> TEXT($F$168, "#,##0") &amp; " KRW (" &amp; TEXT($E$168, "0.00%)")</f>
        <v>207,527 KRW (10.38%)</v>
      </c>
      <c r="E12" s="249"/>
      <c r="F12" s="250"/>
      <c r="G12" s="248" t="str">
        <f ca="1" xml:space="preserve"> TEXT($I$168, "#,##0") &amp; " KRW (" &amp; TEXT($H$168, "0.00%)")</f>
        <v>36,050 KRW (1.80%)</v>
      </c>
      <c r="H12" s="249"/>
      <c r="I12" s="250"/>
      <c r="J12" s="248" t="str">
        <f ca="1" xml:space="preserve"> TEXT($L$168, "#,##0") &amp; " KRW (" &amp; TEXT($K$168, "0.00%)")</f>
        <v>24,923 KRW (1.25%)</v>
      </c>
      <c r="K12" s="249"/>
      <c r="L12" s="250"/>
      <c r="M12" s="248" t="str">
        <f ca="1" xml:space="preserve"> TEXT($O$168, "#,##0") &amp; " KRW (" &amp; TEXT($N$168, "0.00%)")</f>
        <v>218,723 KRW (10.94%)</v>
      </c>
      <c r="N12" s="249"/>
      <c r="O12" s="250"/>
    </row>
    <row r="13" spans="1:15" ht="16.5" customHeight="1">
      <c r="A13" s="285">
        <v>6</v>
      </c>
      <c r="B13" s="25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[오전 00:00] 전일대비 상승률 Top20</v>
      </c>
      <c r="C13" s="257"/>
      <c r="D13" s="255" t="s">
        <v>296</v>
      </c>
      <c r="E13" s="256"/>
      <c r="F13" s="257"/>
      <c r="G13" s="255" t="s">
        <v>303</v>
      </c>
      <c r="H13" s="256"/>
      <c r="I13" s="257"/>
      <c r="J13" s="255" t="s">
        <v>310</v>
      </c>
      <c r="K13" s="256"/>
      <c r="L13" s="257"/>
      <c r="M13" s="255" t="s">
        <v>317</v>
      </c>
      <c r="N13" s="256"/>
      <c r="O13" s="257"/>
    </row>
    <row r="14" spans="1:15" ht="16.5" customHeight="1" thickBot="1">
      <c r="A14" s="286"/>
      <c r="B14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218,723 KRW (10.94%)</v>
      </c>
      <c r="C14" s="250"/>
      <c r="D14" s="248" t="str">
        <f ca="1" xml:space="preserve"> TEXT($F$282, "#,##0") &amp; " KRW (" &amp; TEXT($E$282, "0.00%)")</f>
        <v>202,681 KRW (10.13%)</v>
      </c>
      <c r="E14" s="249"/>
      <c r="F14" s="250"/>
      <c r="G14" s="248" t="str">
        <f ca="1" xml:space="preserve"> TEXT($I$282, "#,##0") &amp; " KRW (" &amp; TEXT($H$282, "0.00%)")</f>
        <v>-115,464 KRW (-5.77%)</v>
      </c>
      <c r="H14" s="249"/>
      <c r="I14" s="250"/>
      <c r="J14" s="248" t="str">
        <f ca="1" xml:space="preserve"> TEXT($L$282, "#,##0") &amp; " KRW (" &amp; TEXT($K$282, "0.00%)")</f>
        <v>-50,688 KRW (-2.53%)</v>
      </c>
      <c r="K14" s="249"/>
      <c r="L14" s="250"/>
      <c r="M14" s="248" t="str">
        <f ca="1" xml:space="preserve"> TEXT($O$282, "#,##0") &amp; " KRW (" &amp; TEXT($N$282, "0.00%)")</f>
        <v>154,255 KRW (7.71%)</v>
      </c>
      <c r="N14" s="249"/>
      <c r="O14" s="250"/>
    </row>
    <row r="15" spans="1:15" ht="16.5" customHeight="1">
      <c r="A15" s="285">
        <v>7</v>
      </c>
      <c r="B15" s="25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전일대비 상승률 Top20</v>
      </c>
      <c r="C15" s="257"/>
      <c r="D15" s="255" t="s">
        <v>297</v>
      </c>
      <c r="E15" s="256"/>
      <c r="F15" s="257"/>
      <c r="G15" s="255" t="s">
        <v>304</v>
      </c>
      <c r="H15" s="256"/>
      <c r="I15" s="257"/>
      <c r="J15" s="255" t="s">
        <v>311</v>
      </c>
      <c r="K15" s="256"/>
      <c r="L15" s="257"/>
      <c r="M15" s="255" t="s">
        <v>318</v>
      </c>
      <c r="N15" s="256"/>
      <c r="O15" s="257"/>
    </row>
    <row r="16" spans="1:15" ht="16.5" customHeight="1" thickBot="1">
      <c r="A16" s="286"/>
      <c r="B16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207,527 KRW (10.38%)</v>
      </c>
      <c r="C16" s="250"/>
      <c r="D16" s="248" t="str">
        <f ca="1" xml:space="preserve"> TEXT($F$54, "#,##0") &amp; " KRW (" &amp; TEXT($E$54, "0.00%)")</f>
        <v>0 KRW (0.00%)</v>
      </c>
      <c r="E16" s="249"/>
      <c r="F16" s="250"/>
      <c r="G16" s="248" t="str">
        <f ca="1" xml:space="preserve"> TEXT($I$54, "#,##0") &amp; " KRW (" &amp; TEXT($H$54, "0.00%)")</f>
        <v>0 KRW (0.00%)</v>
      </c>
      <c r="H16" s="249"/>
      <c r="I16" s="250"/>
      <c r="J16" s="248" t="str">
        <f ca="1" xml:space="preserve"> TEXT($L$54, "#,##0") &amp; " KRW (" &amp; TEXT($K$54, "0.00%)")</f>
        <v>0 KRW (0.00%)</v>
      </c>
      <c r="K16" s="249"/>
      <c r="L16" s="250"/>
      <c r="M16" s="248" t="str">
        <f ca="1" xml:space="preserve"> TEXT($O$54, "#,##0") &amp; " KRW (" &amp; TEXT($N$54, "0.00%)")</f>
        <v>0 KRW (0.00%)</v>
      </c>
      <c r="N16" s="249"/>
      <c r="O16" s="250"/>
    </row>
    <row r="18" spans="1:15" ht="16.5" customHeight="1" thickBot="1"/>
    <row r="19" spans="1:15" ht="16.5" customHeight="1" thickBot="1">
      <c r="A19" s="227" t="str">
        <f>TEXT(투자전략!$G$1, "[$-ko-KR]yyyy년 mm월 ") &amp; "실거래 월말결산"</f>
        <v>2021년 07월 실거래 월말결산</v>
      </c>
      <c r="B19" s="228"/>
      <c r="C19" s="228"/>
      <c r="D19" s="228"/>
      <c r="E19" s="228"/>
      <c r="F19" s="228"/>
      <c r="G19" s="228"/>
      <c r="H19" s="228"/>
      <c r="I19" s="228"/>
      <c r="J19" s="228"/>
      <c r="K19" s="228"/>
      <c r="L19" s="228"/>
      <c r="M19" s="228"/>
      <c r="N19" s="228"/>
      <c r="O19" s="229"/>
    </row>
    <row r="20" spans="1:15" ht="16.5" customHeight="1" thickBot="1">
      <c r="A20" s="271" t="s">
        <v>285</v>
      </c>
      <c r="B20" s="248" t="s">
        <v>283</v>
      </c>
      <c r="C20" s="250"/>
      <c r="D20" s="248" t="s">
        <v>275</v>
      </c>
      <c r="E20" s="249"/>
      <c r="F20" s="250"/>
      <c r="G20" s="248" t="s">
        <v>276</v>
      </c>
      <c r="H20" s="249"/>
      <c r="I20" s="250"/>
      <c r="J20" s="248" t="s">
        <v>277</v>
      </c>
      <c r="K20" s="249"/>
      <c r="L20" s="250"/>
      <c r="M20" s="248" t="s">
        <v>278</v>
      </c>
      <c r="N20" s="249"/>
      <c r="O20" s="250"/>
    </row>
    <row r="21" spans="1:15" ht="16.5" customHeight="1" thickBot="1">
      <c r="A21" s="264"/>
      <c r="B21" s="146" t="s">
        <v>273</v>
      </c>
      <c r="C21" s="146" t="s">
        <v>42</v>
      </c>
      <c r="D21" s="121" t="s">
        <v>274</v>
      </c>
      <c r="E21" s="133" t="s">
        <v>40</v>
      </c>
      <c r="F21" s="149" t="s">
        <v>41</v>
      </c>
      <c r="G21" s="121" t="s">
        <v>274</v>
      </c>
      <c r="H21" s="133" t="s">
        <v>40</v>
      </c>
      <c r="I21" s="149" t="s">
        <v>41</v>
      </c>
      <c r="J21" s="121" t="s">
        <v>274</v>
      </c>
      <c r="K21" s="133" t="s">
        <v>40</v>
      </c>
      <c r="L21" s="149" t="s">
        <v>41</v>
      </c>
      <c r="M21" s="121" t="s">
        <v>274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2021.07.01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2021.07.02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2021.07.03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2021.07.04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2021.07.05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2021.07.06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2021.07.07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2021.07.08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2021.07.09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2021.07.10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2021.07.11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2021.07.12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2021.07.13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2021.07.14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2021.07.15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2021.07.16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2021.07.17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2021.07.18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2021.07.19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2021.07.20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2021.07.21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2021.07.22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2021.07.23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2021.07.24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2021.07.25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2021.07.26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2021.07.27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2021.07.28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2021.07.29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2021.07.30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55" t="s">
        <v>284</v>
      </c>
      <c r="B53" s="257"/>
      <c r="C53" s="132" t="s">
        <v>279</v>
      </c>
      <c r="D53" s="143" t="s">
        <v>280</v>
      </c>
      <c r="E53" s="144" t="s">
        <v>281</v>
      </c>
      <c r="F53" s="145" t="s">
        <v>282</v>
      </c>
      <c r="G53" s="143" t="s">
        <v>280</v>
      </c>
      <c r="H53" s="144" t="s">
        <v>281</v>
      </c>
      <c r="I53" s="145" t="s">
        <v>282</v>
      </c>
      <c r="J53" s="143" t="s">
        <v>280</v>
      </c>
      <c r="K53" s="144" t="s">
        <v>281</v>
      </c>
      <c r="L53" s="145" t="s">
        <v>282</v>
      </c>
      <c r="M53" s="143" t="s">
        <v>280</v>
      </c>
      <c r="N53" s="144" t="s">
        <v>281</v>
      </c>
      <c r="O53" s="145" t="s">
        <v>282</v>
      </c>
    </row>
    <row r="54" spans="1:15" ht="16.5" customHeight="1" thickBot="1">
      <c r="A54" s="248"/>
      <c r="B54" s="250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27" t="str">
        <f>TEXT(투자전략!$G$1, "[$-ko-KR]yyyy년 mm월 ") &amp; "[엽전코인] 전일대비 상승률 Top20 월말결산"</f>
        <v>2021년 07월 [엽전코인] 전일대비 상승률 Top20 월말결산</v>
      </c>
      <c r="B57" s="228"/>
      <c r="C57" s="228"/>
      <c r="D57" s="228"/>
      <c r="E57" s="228"/>
      <c r="F57" s="228"/>
      <c r="G57" s="228"/>
      <c r="H57" s="228"/>
      <c r="I57" s="228"/>
      <c r="J57" s="228"/>
      <c r="K57" s="228"/>
      <c r="L57" s="228"/>
      <c r="M57" s="228"/>
      <c r="N57" s="228"/>
      <c r="O57" s="229"/>
    </row>
    <row r="58" spans="1:15" ht="16.5" customHeight="1" thickBot="1">
      <c r="A58" s="271" t="s">
        <v>285</v>
      </c>
      <c r="B58" s="248" t="s">
        <v>283</v>
      </c>
      <c r="C58" s="250"/>
      <c r="D58" s="248" t="s">
        <v>275</v>
      </c>
      <c r="E58" s="249"/>
      <c r="F58" s="250"/>
      <c r="G58" s="248" t="s">
        <v>276</v>
      </c>
      <c r="H58" s="249"/>
      <c r="I58" s="250"/>
      <c r="J58" s="248" t="s">
        <v>277</v>
      </c>
      <c r="K58" s="249"/>
      <c r="L58" s="250"/>
      <c r="M58" s="248" t="s">
        <v>278</v>
      </c>
      <c r="N58" s="249"/>
      <c r="O58" s="250"/>
    </row>
    <row r="59" spans="1:15" ht="16.5" customHeight="1" thickBot="1">
      <c r="A59" s="264"/>
      <c r="B59" s="154" t="s">
        <v>273</v>
      </c>
      <c r="C59" s="154" t="s">
        <v>42</v>
      </c>
      <c r="D59" s="121" t="s">
        <v>274</v>
      </c>
      <c r="E59" s="133" t="s">
        <v>40</v>
      </c>
      <c r="F59" s="156" t="s">
        <v>41</v>
      </c>
      <c r="G59" s="121" t="s">
        <v>274</v>
      </c>
      <c r="H59" s="133" t="s">
        <v>40</v>
      </c>
      <c r="I59" s="156" t="s">
        <v>41</v>
      </c>
      <c r="J59" s="121" t="s">
        <v>274</v>
      </c>
      <c r="K59" s="133" t="s">
        <v>40</v>
      </c>
      <c r="L59" s="156" t="s">
        <v>41</v>
      </c>
      <c r="M59" s="121" t="s">
        <v>274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2021.07.01</v>
      </c>
      <c r="C60" s="134">
        <f ca="1">IFERROR(COUNTA(INDIRECT($B60&amp;"!A44:A63")) * INDIRECT($B60&amp;"!B64"), "")</f>
        <v>2000000</v>
      </c>
      <c r="D60" s="142">
        <f ca="1">IFERROR($C60 * (1 + E60), "")</f>
        <v>2218829.7692085276</v>
      </c>
      <c r="E60" s="76">
        <f ca="1">IFERROR(INDIRECT($B60&amp;"!E64"), "")</f>
        <v>0.10941488460426385</v>
      </c>
      <c r="F60" s="141">
        <f ca="1">IFERROR(INDIRECT($B60&amp;"!F64"), "")</f>
        <v>218829.76920852769</v>
      </c>
      <c r="G60" s="142">
        <f ca="1">IFERROR($C60 * (1 + H60), "")</f>
        <v>2081920.6876547374</v>
      </c>
      <c r="H60" s="76">
        <f ca="1">IFERROR(INDIRECT($B60&amp;"!H64"), "")</f>
        <v>4.0960343827368642E-2</v>
      </c>
      <c r="I60" s="141">
        <f ca="1">IFERROR(INDIRECT($B60&amp;"!I64"), "")</f>
        <v>81920.687654737296</v>
      </c>
      <c r="J60" s="142">
        <f ca="1">IFERROR($C60 * (1 + K60), "")</f>
        <v>2135563.029665262</v>
      </c>
      <c r="K60" s="76">
        <f ca="1">IFERROR(INDIRECT($B60&amp;"!K64"), "")</f>
        <v>6.7781514832630965E-2</v>
      </c>
      <c r="L60" s="141">
        <f ca="1">IFERROR(INDIRECT($B60&amp;"!L64"), "")</f>
        <v>135563.02966526189</v>
      </c>
      <c r="M60" s="142">
        <f ca="1">IFERROR($C60 * (1 + N60), "")</f>
        <v>2131708.1797403889</v>
      </c>
      <c r="N60" s="76">
        <f ca="1">IFERROR(INDIRECT($B60&amp;"!N64"), "")</f>
        <v>6.5854089870194379E-2</v>
      </c>
      <c r="O60" s="141">
        <f ca="1">IFERROR(INDIRECT($B60&amp;"!O64"), "")</f>
        <v>131708.17974038873</v>
      </c>
    </row>
    <row r="61" spans="1:15" ht="16.5" customHeight="1">
      <c r="A61" s="153">
        <v>2</v>
      </c>
      <c r="B61" s="153" t="str">
        <f>TEXT(투자전략!$G$1+1, "[$-ko-KR]yyyy.mm.dd")</f>
        <v>2021.07.02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2074388.7737015286</v>
      </c>
      <c r="E61" s="77">
        <f t="shared" ref="E61:E90" ca="1" si="15">IFERROR(INDIRECT($B61&amp;"!E64"), "")</f>
        <v>3.7194386850764163E-2</v>
      </c>
      <c r="F61" s="137">
        <f t="shared" ref="F61:F90" ca="1" si="16">IFERROR(INDIRECT($B61&amp;"!F64"), "")</f>
        <v>74388.77370152832</v>
      </c>
      <c r="G61" s="139">
        <f t="shared" ref="G61:G90" ca="1" si="17">IFERROR($C61 * (1 + H61), "")</f>
        <v>2097771.6004203707</v>
      </c>
      <c r="H61" s="77">
        <f t="shared" ref="H61:H90" ca="1" si="18">IFERROR(INDIRECT($B61&amp;"!H64"), "")</f>
        <v>4.8885800210185189E-2</v>
      </c>
      <c r="I61" s="137">
        <f t="shared" ref="I61:I90" ca="1" si="19">IFERROR(INDIRECT($B61&amp;"!I64"), "")</f>
        <v>97771.600420370392</v>
      </c>
      <c r="J61" s="139">
        <f t="shared" ref="J61:J90" ca="1" si="20">IFERROR($C61 * (1 + K61), "")</f>
        <v>2146591.9683554568</v>
      </c>
      <c r="K61" s="77">
        <f t="shared" ref="K61:K90" ca="1" si="21">IFERROR(INDIRECT($B61&amp;"!K64"), "")</f>
        <v>7.3295984177728354E-2</v>
      </c>
      <c r="L61" s="137">
        <f t="shared" ref="L61:L90" ca="1" si="22">IFERROR(INDIRECT($B61&amp;"!L64"), "")</f>
        <v>146591.96835545672</v>
      </c>
      <c r="M61" s="139">
        <f t="shared" ref="M61:M90" ca="1" si="23">IFERROR($C61 * (1 + N61), "")</f>
        <v>2132314.6709039826</v>
      </c>
      <c r="N61" s="77">
        <f t="shared" ref="N61:N90" ca="1" si="24">IFERROR(INDIRECT($B61&amp;"!N64"), "")</f>
        <v>6.6157335451991414E-2</v>
      </c>
      <c r="O61" s="137">
        <f t="shared" ref="O61:O90" ca="1" si="25">IFERROR(INDIRECT($B61&amp;"!O64"), "")</f>
        <v>132314.6709039828</v>
      </c>
    </row>
    <row r="62" spans="1:15" ht="16.5" customHeight="1">
      <c r="A62" s="153">
        <v>3</v>
      </c>
      <c r="B62" s="153" t="str">
        <f>TEXT(투자전략!$G$1+2, "[$-ko-KR]yyyy.mm.dd")</f>
        <v>2021.07.03</v>
      </c>
      <c r="C62" s="135">
        <f t="shared" ca="1" si="13"/>
        <v>2000000</v>
      </c>
      <c r="D62" s="139">
        <f t="shared" ca="1" si="14"/>
        <v>1969513.282957566</v>
      </c>
      <c r="E62" s="77">
        <f t="shared" ca="1" si="15"/>
        <v>-1.5243358521217106E-2</v>
      </c>
      <c r="F62" s="137">
        <f t="shared" ca="1" si="16"/>
        <v>-30486.717042434211</v>
      </c>
      <c r="G62" s="139">
        <f t="shared" ca="1" si="17"/>
        <v>2012322.52363239</v>
      </c>
      <c r="H62" s="77">
        <f t="shared" ca="1" si="18"/>
        <v>6.1612618161950034E-3</v>
      </c>
      <c r="I62" s="137">
        <f t="shared" ca="1" si="19"/>
        <v>12322.523632390015</v>
      </c>
      <c r="J62" s="139">
        <f t="shared" ca="1" si="20"/>
        <v>2014560.4050688224</v>
      </c>
      <c r="K62" s="77">
        <f t="shared" ca="1" si="21"/>
        <v>7.2802025344112804E-3</v>
      </c>
      <c r="L62" s="137">
        <f t="shared" ca="1" si="22"/>
        <v>14560.405068822558</v>
      </c>
      <c r="M62" s="139">
        <f t="shared" ca="1" si="23"/>
        <v>2039005.9197708638</v>
      </c>
      <c r="N62" s="77">
        <f t="shared" ca="1" si="24"/>
        <v>1.9502959885431943E-2</v>
      </c>
      <c r="O62" s="137">
        <f t="shared" ca="1" si="25"/>
        <v>39005.919770863889</v>
      </c>
    </row>
    <row r="63" spans="1:15" ht="16.5" customHeight="1">
      <c r="A63" s="153">
        <v>4</v>
      </c>
      <c r="B63" s="153" t="str">
        <f>TEXT(투자전략!$G$1+3, "[$-ko-KR]yyyy.mm.dd")</f>
        <v>2021.07.04</v>
      </c>
      <c r="C63" s="135">
        <f t="shared" ca="1" si="13"/>
        <v>2000000</v>
      </c>
      <c r="D63" s="139">
        <f t="shared" ca="1" si="14"/>
        <v>2044607.6050513894</v>
      </c>
      <c r="E63" s="77">
        <f t="shared" ca="1" si="15"/>
        <v>2.2303802525694773E-2</v>
      </c>
      <c r="F63" s="137">
        <f t="shared" ca="1" si="16"/>
        <v>44607.605051389546</v>
      </c>
      <c r="G63" s="139">
        <f t="shared" ca="1" si="17"/>
        <v>2052750.9076542251</v>
      </c>
      <c r="H63" s="77">
        <f t="shared" ca="1" si="18"/>
        <v>2.637545382711267E-2</v>
      </c>
      <c r="I63" s="137">
        <f t="shared" ca="1" si="19"/>
        <v>52750.907654225339</v>
      </c>
      <c r="J63" s="139">
        <f t="shared" ca="1" si="20"/>
        <v>2073631.7711347495</v>
      </c>
      <c r="K63" s="77">
        <f t="shared" ca="1" si="21"/>
        <v>3.6815885567374848E-2</v>
      </c>
      <c r="L63" s="137">
        <f t="shared" ca="1" si="22"/>
        <v>73631.771134749695</v>
      </c>
      <c r="M63" s="139">
        <f t="shared" ca="1" si="23"/>
        <v>2129627.6040011891</v>
      </c>
      <c r="N63" s="77">
        <f t="shared" ca="1" si="24"/>
        <v>6.4813802000594709E-2</v>
      </c>
      <c r="O63" s="137">
        <f t="shared" ca="1" si="25"/>
        <v>129627.60400118942</v>
      </c>
    </row>
    <row r="64" spans="1:15" ht="16.5" customHeight="1">
      <c r="A64" s="153">
        <v>5</v>
      </c>
      <c r="B64" s="153" t="str">
        <f>TEXT(투자전략!$G$1+4, "[$-ko-KR]yyyy.mm.dd")</f>
        <v>2021.07.05</v>
      </c>
      <c r="C64" s="135">
        <f t="shared" ca="1" si="13"/>
        <v>2000000</v>
      </c>
      <c r="D64" s="139">
        <f t="shared" ca="1" si="14"/>
        <v>2006231.0672652898</v>
      </c>
      <c r="E64" s="77">
        <f t="shared" ca="1" si="15"/>
        <v>3.1155336326449527E-3</v>
      </c>
      <c r="F64" s="137">
        <f t="shared" ca="1" si="16"/>
        <v>6231.0672652899038</v>
      </c>
      <c r="G64" s="139">
        <f t="shared" ca="1" si="17"/>
        <v>2082012.0667008862</v>
      </c>
      <c r="H64" s="77">
        <f t="shared" ca="1" si="18"/>
        <v>4.1006033350443227E-2</v>
      </c>
      <c r="I64" s="137">
        <f t="shared" ca="1" si="19"/>
        <v>82012.066700886469</v>
      </c>
      <c r="J64" s="139">
        <f t="shared" ca="1" si="20"/>
        <v>1944939.635859729</v>
      </c>
      <c r="K64" s="77">
        <f t="shared" ca="1" si="21"/>
        <v>-2.7530182070135523E-2</v>
      </c>
      <c r="L64" s="137">
        <f t="shared" ca="1" si="22"/>
        <v>-55060.364140271035</v>
      </c>
      <c r="M64" s="139">
        <f t="shared" ca="1" si="23"/>
        <v>1992547.9180604203</v>
      </c>
      <c r="N64" s="77">
        <f t="shared" ca="1" si="24"/>
        <v>-3.7260409697898607E-3</v>
      </c>
      <c r="O64" s="137">
        <f t="shared" ca="1" si="25"/>
        <v>-7452.0819395797262</v>
      </c>
    </row>
    <row r="65" spans="1:15" ht="16.5" customHeight="1">
      <c r="A65" s="153">
        <v>6</v>
      </c>
      <c r="B65" s="153" t="str">
        <f>TEXT(투자전략!$G$1+5, "[$-ko-KR]yyyy.mm.dd")</f>
        <v>2021.07.06</v>
      </c>
      <c r="C65" s="135">
        <f t="shared" ca="1" si="13"/>
        <v>2000000</v>
      </c>
      <c r="D65" s="139">
        <f t="shared" ca="1" si="14"/>
        <v>2076988.932179952</v>
      </c>
      <c r="E65" s="77">
        <f t="shared" ca="1" si="15"/>
        <v>3.8494466089975907E-2</v>
      </c>
      <c r="F65" s="137">
        <f t="shared" ca="1" si="16"/>
        <v>76988.932179951793</v>
      </c>
      <c r="G65" s="139">
        <f t="shared" ca="1" si="17"/>
        <v>2038231.9259012118</v>
      </c>
      <c r="H65" s="77">
        <f t="shared" ca="1" si="18"/>
        <v>1.911596295060599E-2</v>
      </c>
      <c r="I65" s="137">
        <f t="shared" ca="1" si="19"/>
        <v>38231.925901211973</v>
      </c>
      <c r="J65" s="139">
        <f t="shared" ca="1" si="20"/>
        <v>2052575.3222061135</v>
      </c>
      <c r="K65" s="77">
        <f t="shared" ca="1" si="21"/>
        <v>2.6287661103056748E-2</v>
      </c>
      <c r="L65" s="137">
        <f t="shared" ca="1" si="22"/>
        <v>52575.32220611348</v>
      </c>
      <c r="M65" s="139">
        <f t="shared" ca="1" si="23"/>
        <v>2054813.6391820293</v>
      </c>
      <c r="N65" s="77">
        <f t="shared" ca="1" si="24"/>
        <v>2.7406819591014719E-2</v>
      </c>
      <c r="O65" s="137">
        <f t="shared" ca="1" si="25"/>
        <v>54813.639182029438</v>
      </c>
    </row>
    <row r="66" spans="1:15" ht="16.5" customHeight="1" thickBot="1">
      <c r="A66" s="155">
        <v>7</v>
      </c>
      <c r="B66" s="155" t="str">
        <f>TEXT(투자전략!$G$1+6, "[$-ko-KR]yyyy.mm.dd")</f>
        <v>2021.07.07</v>
      </c>
      <c r="C66" s="135">
        <f t="shared" ca="1" si="13"/>
        <v>2000000</v>
      </c>
      <c r="D66" s="139">
        <f t="shared" ca="1" si="14"/>
        <v>2016526.9905241798</v>
      </c>
      <c r="E66" s="77">
        <f t="shared" ca="1" si="15"/>
        <v>8.2634952620898178E-3</v>
      </c>
      <c r="F66" s="137">
        <f t="shared" ca="1" si="16"/>
        <v>16526.99052417964</v>
      </c>
      <c r="G66" s="139">
        <f t="shared" ca="1" si="17"/>
        <v>2027938.4330986864</v>
      </c>
      <c r="H66" s="77">
        <f t="shared" ca="1" si="18"/>
        <v>1.3969216549343206E-2</v>
      </c>
      <c r="I66" s="137">
        <f t="shared" ca="1" si="19"/>
        <v>27938.433098686404</v>
      </c>
      <c r="J66" s="139">
        <f t="shared" ca="1" si="20"/>
        <v>2046932.3796814617</v>
      </c>
      <c r="K66" s="77">
        <f t="shared" ca="1" si="21"/>
        <v>2.3466189840730893E-2</v>
      </c>
      <c r="L66" s="137">
        <f t="shared" ca="1" si="22"/>
        <v>46932.379681461774</v>
      </c>
      <c r="M66" s="139">
        <f t="shared" ca="1" si="23"/>
        <v>2037390.7367279402</v>
      </c>
      <c r="N66" s="77">
        <f t="shared" ca="1" si="24"/>
        <v>1.8695368363970219E-2</v>
      </c>
      <c r="O66" s="137">
        <f t="shared" ca="1" si="25"/>
        <v>37390.736727940443</v>
      </c>
    </row>
    <row r="67" spans="1:15" ht="16.5" customHeight="1">
      <c r="A67" s="154">
        <v>8</v>
      </c>
      <c r="B67" s="154" t="str">
        <f>TEXT(투자전략!$G$1+7, "[$-ko-KR]yyyy.mm.dd")</f>
        <v>2021.07.08</v>
      </c>
      <c r="C67" s="134">
        <f t="shared" ca="1" si="13"/>
        <v>2000000</v>
      </c>
      <c r="D67" s="142">
        <f t="shared" ca="1" si="14"/>
        <v>1906558.6018436388</v>
      </c>
      <c r="E67" s="76">
        <f t="shared" ca="1" si="15"/>
        <v>-4.672069907818055E-2</v>
      </c>
      <c r="F67" s="141">
        <f t="shared" ca="1" si="16"/>
        <v>-93441.398156361072</v>
      </c>
      <c r="G67" s="142">
        <f t="shared" ca="1" si="17"/>
        <v>1818459.9312233296</v>
      </c>
      <c r="H67" s="76">
        <f t="shared" ca="1" si="18"/>
        <v>-9.0770034388335197E-2</v>
      </c>
      <c r="I67" s="141">
        <f t="shared" ca="1" si="19"/>
        <v>-181540.06877667035</v>
      </c>
      <c r="J67" s="142">
        <f t="shared" ca="1" si="20"/>
        <v>1819626.6594138248</v>
      </c>
      <c r="K67" s="76">
        <f t="shared" ca="1" si="21"/>
        <v>-9.0186670293087523E-2</v>
      </c>
      <c r="L67" s="141">
        <f t="shared" ca="1" si="22"/>
        <v>-180373.34058617501</v>
      </c>
      <c r="M67" s="142">
        <f t="shared" ca="1" si="23"/>
        <v>1833220.0617698524</v>
      </c>
      <c r="N67" s="76">
        <f t="shared" ca="1" si="24"/>
        <v>-8.3389969115073778E-2</v>
      </c>
      <c r="O67" s="141">
        <f t="shared" ca="1" si="25"/>
        <v>-166779.93823014756</v>
      </c>
    </row>
    <row r="68" spans="1:15" ht="16.5" customHeight="1">
      <c r="A68" s="153">
        <v>9</v>
      </c>
      <c r="B68" s="153" t="str">
        <f>TEXT(투자전략!$G$1+8, "[$-ko-KR]yyyy.mm.dd")</f>
        <v>2021.07.09</v>
      </c>
      <c r="C68" s="135">
        <f t="shared" ca="1" si="13"/>
        <v>2000000</v>
      </c>
      <c r="D68" s="139">
        <f t="shared" ca="1" si="14"/>
        <v>1933961.3410284773</v>
      </c>
      <c r="E68" s="77">
        <f t="shared" ca="1" si="15"/>
        <v>-3.3019329485761403E-2</v>
      </c>
      <c r="F68" s="137">
        <f t="shared" ca="1" si="16"/>
        <v>-66038.658971522804</v>
      </c>
      <c r="G68" s="139">
        <f t="shared" ca="1" si="17"/>
        <v>1886052.276035192</v>
      </c>
      <c r="H68" s="77">
        <f t="shared" ca="1" si="18"/>
        <v>-5.6973861982404041E-2</v>
      </c>
      <c r="I68" s="137">
        <f t="shared" ca="1" si="19"/>
        <v>-113947.72396480806</v>
      </c>
      <c r="J68" s="139">
        <f t="shared" ca="1" si="20"/>
        <v>1867625.7976634894</v>
      </c>
      <c r="K68" s="77">
        <f t="shared" ca="1" si="21"/>
        <v>-6.6187101168255269E-2</v>
      </c>
      <c r="L68" s="137">
        <f t="shared" ca="1" si="22"/>
        <v>-132374.20233651053</v>
      </c>
      <c r="M68" s="139">
        <f t="shared" ca="1" si="23"/>
        <v>1938239.6751395008</v>
      </c>
      <c r="N68" s="77">
        <f t="shared" ca="1" si="24"/>
        <v>-3.0880162430249648E-2</v>
      </c>
      <c r="O68" s="137">
        <f t="shared" ca="1" si="25"/>
        <v>-61760.324860499284</v>
      </c>
    </row>
    <row r="69" spans="1:15" ht="16.5" customHeight="1">
      <c r="A69" s="153">
        <v>10</v>
      </c>
      <c r="B69" s="153" t="str">
        <f>TEXT(투자전략!$G$1+9, "[$-ko-KR]yyyy.mm.dd")</f>
        <v>2021.07.10</v>
      </c>
      <c r="C69" s="135">
        <f t="shared" ca="1" si="13"/>
        <v>2000000</v>
      </c>
      <c r="D69" s="139">
        <f t="shared" ca="1" si="14"/>
        <v>2065313.2589244661</v>
      </c>
      <c r="E69" s="77">
        <f t="shared" ca="1" si="15"/>
        <v>3.2656629462232925E-2</v>
      </c>
      <c r="F69" s="137">
        <f t="shared" ca="1" si="16"/>
        <v>65313.258924465874</v>
      </c>
      <c r="G69" s="139">
        <f t="shared" ca="1" si="17"/>
        <v>2057892.7629016065</v>
      </c>
      <c r="H69" s="77">
        <f t="shared" ca="1" si="18"/>
        <v>2.8946381450803312E-2</v>
      </c>
      <c r="I69" s="137">
        <f t="shared" ca="1" si="19"/>
        <v>57892.76290160662</v>
      </c>
      <c r="J69" s="139">
        <f t="shared" ca="1" si="20"/>
        <v>2066467.8695546153</v>
      </c>
      <c r="K69" s="77">
        <f t="shared" ca="1" si="21"/>
        <v>3.3233934777307739E-2</v>
      </c>
      <c r="L69" s="137">
        <f t="shared" ca="1" si="22"/>
        <v>66467.869554615507</v>
      </c>
      <c r="M69" s="139">
        <f t="shared" ca="1" si="23"/>
        <v>2051141.6611131602</v>
      </c>
      <c r="N69" s="77">
        <f t="shared" ca="1" si="24"/>
        <v>2.5570830556580059E-2</v>
      </c>
      <c r="O69" s="137">
        <f t="shared" ca="1" si="25"/>
        <v>51141.661113160124</v>
      </c>
    </row>
    <row r="70" spans="1:15" ht="16.5" customHeight="1">
      <c r="A70" s="153">
        <v>11</v>
      </c>
      <c r="B70" s="153" t="str">
        <f>TEXT(투자전략!$G$1+10, "[$-ko-KR]yyyy.mm.dd")</f>
        <v>2021.07.11</v>
      </c>
      <c r="C70" s="135">
        <f t="shared" ca="1" si="13"/>
        <v>2000000</v>
      </c>
      <c r="D70" s="139">
        <f t="shared" ca="1" si="14"/>
        <v>1943193.5396929001</v>
      </c>
      <c r="E70" s="77">
        <f t="shared" ca="1" si="15"/>
        <v>-2.8403230153549897E-2</v>
      </c>
      <c r="F70" s="137">
        <f t="shared" ca="1" si="16"/>
        <v>-56806.460307099791</v>
      </c>
      <c r="G70" s="139">
        <f t="shared" ca="1" si="17"/>
        <v>2000000</v>
      </c>
      <c r="H70" s="77">
        <f t="shared" ca="1" si="18"/>
        <v>0</v>
      </c>
      <c r="I70" s="137">
        <f t="shared" ca="1" si="19"/>
        <v>0</v>
      </c>
      <c r="J70" s="139">
        <f t="shared" ca="1" si="20"/>
        <v>2003284.0601943466</v>
      </c>
      <c r="K70" s="77">
        <f t="shared" ca="1" si="21"/>
        <v>1.6420300971732526E-3</v>
      </c>
      <c r="L70" s="137">
        <f t="shared" ca="1" si="22"/>
        <v>3284.0601943465058</v>
      </c>
      <c r="M70" s="139">
        <f t="shared" ca="1" si="23"/>
        <v>2011406.7172193138</v>
      </c>
      <c r="N70" s="77">
        <f t="shared" ca="1" si="24"/>
        <v>5.7033586096568705E-3</v>
      </c>
      <c r="O70" s="137">
        <f t="shared" ca="1" si="25"/>
        <v>11406.717219313739</v>
      </c>
    </row>
    <row r="71" spans="1:15" ht="16.5" customHeight="1">
      <c r="A71" s="153">
        <v>12</v>
      </c>
      <c r="B71" s="153" t="str">
        <f>TEXT(투자전략!$G$1+11, "[$-ko-KR]yyyy.mm.dd")</f>
        <v>2021.07.12</v>
      </c>
      <c r="C71" s="135">
        <f t="shared" ca="1" si="13"/>
        <v>2000000</v>
      </c>
      <c r="D71" s="139">
        <f t="shared" ca="1" si="14"/>
        <v>2000000</v>
      </c>
      <c r="E71" s="77">
        <f t="shared" ca="1" si="15"/>
        <v>0</v>
      </c>
      <c r="F71" s="137">
        <f t="shared" ca="1" si="16"/>
        <v>0</v>
      </c>
      <c r="G71" s="139">
        <f t="shared" ca="1" si="17"/>
        <v>2000000</v>
      </c>
      <c r="H71" s="77">
        <f t="shared" ca="1" si="18"/>
        <v>0</v>
      </c>
      <c r="I71" s="137">
        <f t="shared" ca="1" si="19"/>
        <v>0</v>
      </c>
      <c r="J71" s="139">
        <f t="shared" ca="1" si="20"/>
        <v>2000000</v>
      </c>
      <c r="K71" s="77">
        <f t="shared" ca="1" si="21"/>
        <v>0</v>
      </c>
      <c r="L71" s="137">
        <f t="shared" ca="1" si="22"/>
        <v>0</v>
      </c>
      <c r="M71" s="139">
        <f t="shared" ca="1" si="23"/>
        <v>2000000</v>
      </c>
      <c r="N71" s="77">
        <f t="shared" ca="1" si="24"/>
        <v>0</v>
      </c>
      <c r="O71" s="137">
        <f t="shared" ca="1" si="25"/>
        <v>0</v>
      </c>
    </row>
    <row r="72" spans="1:15" ht="16.5" customHeight="1">
      <c r="A72" s="153">
        <v>13</v>
      </c>
      <c r="B72" s="153" t="str">
        <f>TEXT(투자전략!$G$1+12, "[$-ko-KR]yyyy.mm.dd")</f>
        <v>2021.07.13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2021.07.14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2021.07.15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2021.07.16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2021.07.17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2021.07.18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2021.07.19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2021.07.20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2021.07.21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2021.07.22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2021.07.23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2021.07.24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2021.07.25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2021.07.26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2021.07.27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2021.07.28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2021.07.29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2021.07.30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55" t="s">
        <v>284</v>
      </c>
      <c r="B91" s="257"/>
      <c r="C91" s="132" t="s">
        <v>279</v>
      </c>
      <c r="D91" s="150" t="s">
        <v>280</v>
      </c>
      <c r="E91" s="151" t="s">
        <v>281</v>
      </c>
      <c r="F91" s="152" t="s">
        <v>282</v>
      </c>
      <c r="G91" s="150" t="s">
        <v>280</v>
      </c>
      <c r="H91" s="151" t="s">
        <v>281</v>
      </c>
      <c r="I91" s="152" t="s">
        <v>282</v>
      </c>
      <c r="J91" s="150" t="s">
        <v>280</v>
      </c>
      <c r="K91" s="151" t="s">
        <v>281</v>
      </c>
      <c r="L91" s="152" t="s">
        <v>282</v>
      </c>
      <c r="M91" s="150" t="s">
        <v>280</v>
      </c>
      <c r="N91" s="151" t="s">
        <v>281</v>
      </c>
      <c r="O91" s="152" t="s">
        <v>282</v>
      </c>
    </row>
    <row r="92" spans="1:15" ht="16.5" customHeight="1" thickBot="1">
      <c r="A92" s="248"/>
      <c r="B92" s="250"/>
      <c r="C92" s="136">
        <f ca="1">SUM(C60:C90)</f>
        <v>24000000</v>
      </c>
      <c r="D92" s="140">
        <f ca="1">SUM(D60:D90)</f>
        <v>24256113.162377916</v>
      </c>
      <c r="E92" s="79">
        <f ca="1">IFERROR(F92 / (SUM($C60:$C90) / COUNT($C60:$C90)), 0)</f>
        <v>0.12805658118895744</v>
      </c>
      <c r="F92" s="138">
        <f ca="1">SUM(F60:F90)</f>
        <v>256113.16237791488</v>
      </c>
      <c r="G92" s="140">
        <f ca="1">SUM(G60:G90)</f>
        <v>24155353.115222637</v>
      </c>
      <c r="H92" s="79">
        <f ca="1">IFERROR(I92 / (SUM($C60:$C90) / COUNT($C60:$C90)), 0)</f>
        <v>7.7676557611318045E-2</v>
      </c>
      <c r="I92" s="138">
        <f ca="1">SUM(I60:I90)</f>
        <v>155353.11522263609</v>
      </c>
      <c r="J92" s="140">
        <f ca="1">SUM(J60:J90)</f>
        <v>24171798.898797873</v>
      </c>
      <c r="K92" s="79">
        <f ca="1">IFERROR(L92 / (SUM($C60:$C90) / COUNT($C60:$C90)), 0)</f>
        <v>8.5899449398935762E-2</v>
      </c>
      <c r="L92" s="138">
        <f ca="1">SUM(L60:L90)</f>
        <v>171798.89879787152</v>
      </c>
      <c r="M92" s="140">
        <f ca="1">SUM(M60:M90)</f>
        <v>24351416.783628643</v>
      </c>
      <c r="N92" s="79">
        <f ca="1">IFERROR(O92 / (SUM($C60:$C90) / COUNT($C60:$C90)), 0)</f>
        <v>0.17570839181432099</v>
      </c>
      <c r="O92" s="138">
        <f ca="1">SUM(O60:O90)</f>
        <v>351416.78362864198</v>
      </c>
    </row>
    <row r="94" spans="1:15" ht="16.5" customHeight="1" thickBot="1"/>
    <row r="95" spans="1:15" ht="16.5" customHeight="1" thickBot="1">
      <c r="A95" s="227" t="str">
        <f>TEXT(투자전략!$G$1, "[$-ko-KR]yyyy년 mm월 ") &amp; "[동전코인] 전일대비 상승률 Top20 월말결산"</f>
        <v>2021년 07월 [동전코인] 전일대비 상승률 Top20 월말결산</v>
      </c>
      <c r="B95" s="228"/>
      <c r="C95" s="228"/>
      <c r="D95" s="228"/>
      <c r="E95" s="228"/>
      <c r="F95" s="228"/>
      <c r="G95" s="228"/>
      <c r="H95" s="228"/>
      <c r="I95" s="228"/>
      <c r="J95" s="228"/>
      <c r="K95" s="228"/>
      <c r="L95" s="228"/>
      <c r="M95" s="228"/>
      <c r="N95" s="228"/>
      <c r="O95" s="229"/>
    </row>
    <row r="96" spans="1:15" ht="16.5" customHeight="1" thickBot="1">
      <c r="A96" s="271" t="s">
        <v>285</v>
      </c>
      <c r="B96" s="248" t="s">
        <v>283</v>
      </c>
      <c r="C96" s="250"/>
      <c r="D96" s="248" t="s">
        <v>275</v>
      </c>
      <c r="E96" s="249"/>
      <c r="F96" s="250"/>
      <c r="G96" s="248" t="s">
        <v>276</v>
      </c>
      <c r="H96" s="249"/>
      <c r="I96" s="250"/>
      <c r="J96" s="248" t="s">
        <v>277</v>
      </c>
      <c r="K96" s="249"/>
      <c r="L96" s="250"/>
      <c r="M96" s="248" t="s">
        <v>278</v>
      </c>
      <c r="N96" s="249"/>
      <c r="O96" s="250"/>
    </row>
    <row r="97" spans="1:15" ht="16.5" customHeight="1" thickBot="1">
      <c r="A97" s="264"/>
      <c r="B97" s="154" t="s">
        <v>273</v>
      </c>
      <c r="C97" s="154" t="s">
        <v>42</v>
      </c>
      <c r="D97" s="121" t="s">
        <v>274</v>
      </c>
      <c r="E97" s="133" t="s">
        <v>40</v>
      </c>
      <c r="F97" s="156" t="s">
        <v>41</v>
      </c>
      <c r="G97" s="121" t="s">
        <v>274</v>
      </c>
      <c r="H97" s="133" t="s">
        <v>40</v>
      </c>
      <c r="I97" s="156" t="s">
        <v>41</v>
      </c>
      <c r="J97" s="121" t="s">
        <v>274</v>
      </c>
      <c r="K97" s="133" t="s">
        <v>40</v>
      </c>
      <c r="L97" s="156" t="s">
        <v>41</v>
      </c>
      <c r="M97" s="121" t="s">
        <v>274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2021.07.01</v>
      </c>
      <c r="C98" s="134">
        <f ca="1">IFERROR(COUNTA(INDIRECT($B98&amp;"!A71:A90")) * INDIRECT($B98&amp;"!B91"), "")</f>
        <v>2000000</v>
      </c>
      <c r="D98" s="142">
        <f ca="1">IFERROR($C98 * (1 + E98), "")</f>
        <v>2098766.3967816401</v>
      </c>
      <c r="E98" s="76">
        <f ca="1">IFERROR(INDIRECT($B98&amp;"!E91"), "")</f>
        <v>4.938319839081997E-2</v>
      </c>
      <c r="F98" s="141">
        <f ca="1">IFERROR(INDIRECT($B98&amp;"!F91"), "")</f>
        <v>98766.396781639938</v>
      </c>
      <c r="G98" s="142">
        <f ca="1">IFERROR($C98 * (1 + H98), "")</f>
        <v>2049279.8608264523</v>
      </c>
      <c r="H98" s="76">
        <f ca="1">IFERROR(INDIRECT($B98&amp;"!H91"), "")</f>
        <v>2.4639930413226086E-2</v>
      </c>
      <c r="I98" s="141">
        <f ca="1">IFERROR(INDIRECT($B98&amp;"!I91"), "")</f>
        <v>49279.860826452183</v>
      </c>
      <c r="J98" s="142">
        <f ca="1">IFERROR($C98 * (1 + K98), "")</f>
        <v>2108945.421082092</v>
      </c>
      <c r="K98" s="76">
        <f ca="1">IFERROR(INDIRECT($B98&amp;"!K91"), "")</f>
        <v>5.4472710541046174E-2</v>
      </c>
      <c r="L98" s="141">
        <f ca="1">IFERROR(INDIRECT($B98&amp;"!L91"), "")</f>
        <v>108945.42108209235</v>
      </c>
      <c r="M98" s="142">
        <f ca="1">IFERROR($C98 * (1 + N98), "")</f>
        <v>2081409.525879526</v>
      </c>
      <c r="N98" s="76">
        <f ca="1">IFERROR(INDIRECT($B98&amp;"!N91"), "")</f>
        <v>4.0704762939762898E-2</v>
      </c>
      <c r="O98" s="141">
        <f ca="1">IFERROR(INDIRECT($B98&amp;"!O91"), "")</f>
        <v>81409.525879525769</v>
      </c>
    </row>
    <row r="99" spans="1:15" ht="16.5" customHeight="1">
      <c r="A99" s="153">
        <v>2</v>
      </c>
      <c r="B99" s="153" t="str">
        <f>TEXT(투자전략!$G$1+1, "[$-ko-KR]yyyy.mm.dd")</f>
        <v>2021.07.02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1890805.6409830812</v>
      </c>
      <c r="E99" s="77">
        <f t="shared" ref="E99:E128" ca="1" si="28">IFERROR(INDIRECT($B99&amp;"!E91"), "")</f>
        <v>-5.4597179508459402E-2</v>
      </c>
      <c r="F99" s="137">
        <f t="shared" ref="F99:F128" ca="1" si="29">IFERROR(INDIRECT($B99&amp;"!F91"), "")</f>
        <v>-109194.3590169188</v>
      </c>
      <c r="G99" s="139">
        <f t="shared" ref="G99:G128" ca="1" si="30">IFERROR($C99 * (1 + H99), "")</f>
        <v>1862332.2209777737</v>
      </c>
      <c r="H99" s="77">
        <f t="shared" ref="H99:H128" ca="1" si="31">IFERROR(INDIRECT($B99&amp;"!H91"), "")</f>
        <v>-6.8833889511113189E-2</v>
      </c>
      <c r="I99" s="137">
        <f t="shared" ref="I99:I128" ca="1" si="32">IFERROR(INDIRECT($B99&amp;"!I91"), "")</f>
        <v>-137667.7790222264</v>
      </c>
      <c r="J99" s="139">
        <f t="shared" ref="J99:J128" ca="1" si="33">IFERROR($C99 * (1 + K99), "")</f>
        <v>1879485.2130444923</v>
      </c>
      <c r="K99" s="77">
        <f t="shared" ref="K99:K128" ca="1" si="34">IFERROR(INDIRECT($B99&amp;"!K91"), "")</f>
        <v>-6.0257393477753864E-2</v>
      </c>
      <c r="L99" s="137">
        <f t="shared" ref="L99:L128" ca="1" si="35">IFERROR(INDIRECT($B99&amp;"!L91"), "")</f>
        <v>-120514.78695550772</v>
      </c>
      <c r="M99" s="139">
        <f t="shared" ref="M99:M128" ca="1" si="36">IFERROR($C99 * (1 + N99), "")</f>
        <v>1915952.2844160262</v>
      </c>
      <c r="N99" s="77">
        <f t="shared" ref="N99:N128" ca="1" si="37">IFERROR(INDIRECT($B99&amp;"!N91"), "")</f>
        <v>-4.2023857791986932E-2</v>
      </c>
      <c r="O99" s="137">
        <f t="shared" ref="O99:O128" ca="1" si="38">IFERROR(INDIRECT($B99&amp;"!O91"), "")</f>
        <v>-84047.715583973884</v>
      </c>
    </row>
    <row r="100" spans="1:15" ht="16.5" customHeight="1">
      <c r="A100" s="153">
        <v>3</v>
      </c>
      <c r="B100" s="153" t="str">
        <f>TEXT(투자전략!$G$1+2, "[$-ko-KR]yyyy.mm.dd")</f>
        <v>2021.07.03</v>
      </c>
      <c r="C100" s="135">
        <f t="shared" ca="1" si="26"/>
        <v>2000000</v>
      </c>
      <c r="D100" s="139">
        <f t="shared" ca="1" si="27"/>
        <v>2023556.1258832288</v>
      </c>
      <c r="E100" s="77">
        <f t="shared" ca="1" si="28"/>
        <v>1.1778062941614372E-2</v>
      </c>
      <c r="F100" s="137">
        <f t="shared" ca="1" si="29"/>
        <v>23556.125883228742</v>
      </c>
      <c r="G100" s="139">
        <f t="shared" ca="1" si="30"/>
        <v>2061121.3452994917</v>
      </c>
      <c r="H100" s="77">
        <f t="shared" ca="1" si="31"/>
        <v>3.0560672649745789E-2</v>
      </c>
      <c r="I100" s="137">
        <f t="shared" ca="1" si="32"/>
        <v>61121.345299491586</v>
      </c>
      <c r="J100" s="139">
        <f t="shared" ca="1" si="33"/>
        <v>2068006.7444478713</v>
      </c>
      <c r="K100" s="77">
        <f t="shared" ca="1" si="34"/>
        <v>3.4003372223935714E-2</v>
      </c>
      <c r="L100" s="137">
        <f t="shared" ca="1" si="35"/>
        <v>68006.744447871417</v>
      </c>
      <c r="M100" s="139">
        <f t="shared" ca="1" si="36"/>
        <v>2089647.8865385002</v>
      </c>
      <c r="N100" s="77">
        <f t="shared" ca="1" si="37"/>
        <v>4.4823943269250197E-2</v>
      </c>
      <c r="O100" s="137">
        <f t="shared" ca="1" si="38"/>
        <v>89647.886538500417</v>
      </c>
    </row>
    <row r="101" spans="1:15" ht="16.5" customHeight="1">
      <c r="A101" s="153">
        <v>4</v>
      </c>
      <c r="B101" s="153" t="str">
        <f>TEXT(투자전략!$G$1+3, "[$-ko-KR]yyyy.mm.dd")</f>
        <v>2021.07.04</v>
      </c>
      <c r="C101" s="135">
        <f t="shared" ca="1" si="26"/>
        <v>2000000</v>
      </c>
      <c r="D101" s="139">
        <f t="shared" ca="1" si="27"/>
        <v>2003555.3197937021</v>
      </c>
      <c r="E101" s="77">
        <f t="shared" ca="1" si="28"/>
        <v>1.7776598968509752E-3</v>
      </c>
      <c r="F101" s="137">
        <f t="shared" ca="1" si="29"/>
        <v>3555.3197937019495</v>
      </c>
      <c r="G101" s="139">
        <f t="shared" ca="1" si="30"/>
        <v>2031157.8773335621</v>
      </c>
      <c r="H101" s="77">
        <f t="shared" ca="1" si="31"/>
        <v>1.5578938666781131E-2</v>
      </c>
      <c r="I101" s="137">
        <f t="shared" ca="1" si="32"/>
        <v>31157.877333562261</v>
      </c>
      <c r="J101" s="139">
        <f t="shared" ca="1" si="33"/>
        <v>2043576.5806028883</v>
      </c>
      <c r="K101" s="77">
        <f t="shared" ca="1" si="34"/>
        <v>2.1788290301444215E-2</v>
      </c>
      <c r="L101" s="137">
        <f t="shared" ca="1" si="35"/>
        <v>43576.580602888425</v>
      </c>
      <c r="M101" s="139">
        <f t="shared" ca="1" si="36"/>
        <v>2034749.3138876422</v>
      </c>
      <c r="N101" s="77">
        <f t="shared" ca="1" si="37"/>
        <v>1.7374656943821169E-2</v>
      </c>
      <c r="O101" s="137">
        <f t="shared" ca="1" si="38"/>
        <v>34749.313887642347</v>
      </c>
    </row>
    <row r="102" spans="1:15" ht="16.5" customHeight="1">
      <c r="A102" s="153">
        <v>5</v>
      </c>
      <c r="B102" s="153" t="str">
        <f>TEXT(투자전략!$G$1+4, "[$-ko-KR]yyyy.mm.dd")</f>
        <v>2021.07.05</v>
      </c>
      <c r="C102" s="135">
        <f t="shared" ca="1" si="26"/>
        <v>2000000</v>
      </c>
      <c r="D102" s="139">
        <f t="shared" ca="1" si="27"/>
        <v>2071566.7225677166</v>
      </c>
      <c r="E102" s="77">
        <f t="shared" ca="1" si="28"/>
        <v>3.578336128385818E-2</v>
      </c>
      <c r="F102" s="137">
        <f t="shared" ca="1" si="29"/>
        <v>71566.722567716322</v>
      </c>
      <c r="G102" s="139">
        <f t="shared" ca="1" si="30"/>
        <v>2102389.2700595795</v>
      </c>
      <c r="H102" s="77">
        <f t="shared" ca="1" si="31"/>
        <v>5.1194635029789715E-2</v>
      </c>
      <c r="I102" s="137">
        <f t="shared" ca="1" si="32"/>
        <v>102389.27005957944</v>
      </c>
      <c r="J102" s="139">
        <f t="shared" ca="1" si="33"/>
        <v>1992532.7767771557</v>
      </c>
      <c r="K102" s="77">
        <f t="shared" ca="1" si="34"/>
        <v>-3.7336116114221737E-3</v>
      </c>
      <c r="L102" s="137">
        <f t="shared" ca="1" si="35"/>
        <v>-7467.2232228443472</v>
      </c>
      <c r="M102" s="139">
        <f t="shared" ca="1" si="36"/>
        <v>2028327.3859699534</v>
      </c>
      <c r="N102" s="77">
        <f t="shared" ca="1" si="37"/>
        <v>1.4163692984976634E-2</v>
      </c>
      <c r="O102" s="137">
        <f t="shared" ca="1" si="38"/>
        <v>28327.38596995327</v>
      </c>
    </row>
    <row r="103" spans="1:15" ht="16.5" customHeight="1">
      <c r="A103" s="153">
        <v>6</v>
      </c>
      <c r="B103" s="153" t="str">
        <f>TEXT(투자전략!$G$1+5, "[$-ko-KR]yyyy.mm.dd")</f>
        <v>2021.07.06</v>
      </c>
      <c r="C103" s="135">
        <f t="shared" ca="1" si="26"/>
        <v>2000000</v>
      </c>
      <c r="D103" s="139">
        <f t="shared" ca="1" si="27"/>
        <v>2070388.20973341</v>
      </c>
      <c r="E103" s="77">
        <f t="shared" ca="1" si="28"/>
        <v>3.5194104866705114E-2</v>
      </c>
      <c r="F103" s="137">
        <f t="shared" ca="1" si="29"/>
        <v>70388.209733410244</v>
      </c>
      <c r="G103" s="139">
        <f t="shared" ca="1" si="30"/>
        <v>2034839.1458009155</v>
      </c>
      <c r="H103" s="77">
        <f t="shared" ca="1" si="31"/>
        <v>1.7419572900457807E-2</v>
      </c>
      <c r="I103" s="137">
        <f t="shared" ca="1" si="32"/>
        <v>34839.145800915627</v>
      </c>
      <c r="J103" s="139">
        <f t="shared" ca="1" si="33"/>
        <v>2041798.2408832551</v>
      </c>
      <c r="K103" s="77">
        <f t="shared" ca="1" si="34"/>
        <v>2.0899120441627592E-2</v>
      </c>
      <c r="L103" s="137">
        <f t="shared" ca="1" si="35"/>
        <v>41798.240883255188</v>
      </c>
      <c r="M103" s="139">
        <f t="shared" ca="1" si="36"/>
        <v>2053299.6846599833</v>
      </c>
      <c r="N103" s="77">
        <f t="shared" ca="1" si="37"/>
        <v>2.6649842329991586E-2</v>
      </c>
      <c r="O103" s="137">
        <f t="shared" ca="1" si="38"/>
        <v>53299.684659983184</v>
      </c>
    </row>
    <row r="104" spans="1:15" ht="16.5" customHeight="1" thickBot="1">
      <c r="A104" s="155">
        <v>7</v>
      </c>
      <c r="B104" s="155" t="str">
        <f>TEXT(투자전략!$G$1+6, "[$-ko-KR]yyyy.mm.dd")</f>
        <v>2021.07.07</v>
      </c>
      <c r="C104" s="135">
        <f t="shared" ca="1" si="26"/>
        <v>2000000</v>
      </c>
      <c r="D104" s="139">
        <f t="shared" ca="1" si="27"/>
        <v>2090861.0351450848</v>
      </c>
      <c r="E104" s="77">
        <f t="shared" ca="1" si="28"/>
        <v>4.5430517572542448E-2</v>
      </c>
      <c r="F104" s="137">
        <f t="shared" ca="1" si="29"/>
        <v>90861.035145084912</v>
      </c>
      <c r="G104" s="139">
        <f t="shared" ca="1" si="30"/>
        <v>2094148.0768686854</v>
      </c>
      <c r="H104" s="77">
        <f t="shared" ca="1" si="31"/>
        <v>4.707403843434263E-2</v>
      </c>
      <c r="I104" s="137">
        <f t="shared" ca="1" si="32"/>
        <v>94148.076868685268</v>
      </c>
      <c r="J104" s="139">
        <f t="shared" ca="1" si="33"/>
        <v>2109160.5091837896</v>
      </c>
      <c r="K104" s="77">
        <f t="shared" ca="1" si="34"/>
        <v>5.4580254591894792E-2</v>
      </c>
      <c r="L104" s="137">
        <f t="shared" ca="1" si="35"/>
        <v>109160.5091837896</v>
      </c>
      <c r="M104" s="139">
        <f t="shared" ca="1" si="36"/>
        <v>2107135.4182682079</v>
      </c>
      <c r="N104" s="77">
        <f t="shared" ca="1" si="37"/>
        <v>5.3567709134104066E-2</v>
      </c>
      <c r="O104" s="137">
        <f t="shared" ca="1" si="38"/>
        <v>107135.41826820812</v>
      </c>
    </row>
    <row r="105" spans="1:15" ht="16.5" customHeight="1">
      <c r="A105" s="154">
        <v>8</v>
      </c>
      <c r="B105" s="154" t="str">
        <f>TEXT(투자전략!$G$1+7, "[$-ko-KR]yyyy.mm.dd")</f>
        <v>2021.07.08</v>
      </c>
      <c r="C105" s="134">
        <f t="shared" ca="1" si="26"/>
        <v>2000000</v>
      </c>
      <c r="D105" s="142">
        <f t="shared" ca="1" si="27"/>
        <v>1985329.849040177</v>
      </c>
      <c r="E105" s="76">
        <f t="shared" ca="1" si="28"/>
        <v>-7.3350754799115254E-3</v>
      </c>
      <c r="F105" s="141">
        <f t="shared" ca="1" si="29"/>
        <v>-14670.15095982305</v>
      </c>
      <c r="G105" s="142">
        <f t="shared" ca="1" si="30"/>
        <v>1884135.8425728579</v>
      </c>
      <c r="H105" s="76">
        <f t="shared" ca="1" si="31"/>
        <v>-5.7932078713571131E-2</v>
      </c>
      <c r="I105" s="141">
        <f t="shared" ca="1" si="32"/>
        <v>-115864.15742714227</v>
      </c>
      <c r="J105" s="142">
        <f t="shared" ca="1" si="33"/>
        <v>1886146.3229439352</v>
      </c>
      <c r="K105" s="76">
        <f t="shared" ca="1" si="34"/>
        <v>-5.6926838528032396E-2</v>
      </c>
      <c r="L105" s="141">
        <f t="shared" ca="1" si="35"/>
        <v>-113853.67705606477</v>
      </c>
      <c r="M105" s="142">
        <f t="shared" ca="1" si="36"/>
        <v>1885873.2918818409</v>
      </c>
      <c r="N105" s="76">
        <f t="shared" ca="1" si="37"/>
        <v>-5.7063354059079599E-2</v>
      </c>
      <c r="O105" s="141">
        <f t="shared" ca="1" si="38"/>
        <v>-114126.70811815921</v>
      </c>
    </row>
    <row r="106" spans="1:15" ht="16.5" customHeight="1">
      <c r="A106" s="153">
        <v>9</v>
      </c>
      <c r="B106" s="153" t="str">
        <f>TEXT(투자전략!$G$1+8, "[$-ko-KR]yyyy.mm.dd")</f>
        <v>2021.07.09</v>
      </c>
      <c r="C106" s="135">
        <f t="shared" ca="1" si="26"/>
        <v>2000000</v>
      </c>
      <c r="D106" s="139">
        <f t="shared" ca="1" si="27"/>
        <v>1978152.7634580797</v>
      </c>
      <c r="E106" s="77">
        <f t="shared" ca="1" si="28"/>
        <v>-1.0923618270960275E-2</v>
      </c>
      <c r="F106" s="137">
        <f t="shared" ca="1" si="29"/>
        <v>-21847.236541920545</v>
      </c>
      <c r="G106" s="139">
        <f t="shared" ca="1" si="30"/>
        <v>1943437.3261360289</v>
      </c>
      <c r="H106" s="77">
        <f t="shared" ca="1" si="31"/>
        <v>-2.82813369319855E-2</v>
      </c>
      <c r="I106" s="137">
        <f t="shared" ca="1" si="32"/>
        <v>-56562.673863971009</v>
      </c>
      <c r="J106" s="139">
        <f t="shared" ca="1" si="33"/>
        <v>1934891.2707272023</v>
      </c>
      <c r="K106" s="77">
        <f t="shared" ca="1" si="34"/>
        <v>-3.2554364636398866E-2</v>
      </c>
      <c r="L106" s="137">
        <f t="shared" ca="1" si="35"/>
        <v>-65108.729272797747</v>
      </c>
      <c r="M106" s="139">
        <f t="shared" ca="1" si="36"/>
        <v>2000387.2000853366</v>
      </c>
      <c r="N106" s="77">
        <f t="shared" ca="1" si="37"/>
        <v>1.9360004266837124E-4</v>
      </c>
      <c r="O106" s="137">
        <f t="shared" ca="1" si="38"/>
        <v>387.20008533674445</v>
      </c>
    </row>
    <row r="107" spans="1:15" ht="16.5" customHeight="1">
      <c r="A107" s="153">
        <v>10</v>
      </c>
      <c r="B107" s="153" t="str">
        <f>TEXT(투자전략!$G$1+9, "[$-ko-KR]yyyy.mm.dd")</f>
        <v>2021.07.10</v>
      </c>
      <c r="C107" s="135">
        <f t="shared" ca="1" si="26"/>
        <v>2000000</v>
      </c>
      <c r="D107" s="139">
        <f t="shared" ca="1" si="27"/>
        <v>2013482.2166082759</v>
      </c>
      <c r="E107" s="77">
        <f t="shared" ca="1" si="28"/>
        <v>6.7411083041379856E-3</v>
      </c>
      <c r="F107" s="137">
        <f t="shared" ca="1" si="29"/>
        <v>13482.216608275972</v>
      </c>
      <c r="G107" s="139">
        <f t="shared" ca="1" si="30"/>
        <v>1998578.7982436067</v>
      </c>
      <c r="H107" s="77">
        <f t="shared" ca="1" si="31"/>
        <v>-7.106008781966566E-4</v>
      </c>
      <c r="I107" s="137">
        <f t="shared" ca="1" si="32"/>
        <v>-1421.2017563933125</v>
      </c>
      <c r="J107" s="139">
        <f t="shared" ca="1" si="33"/>
        <v>2004747.5144309085</v>
      </c>
      <c r="K107" s="77">
        <f t="shared" ca="1" si="34"/>
        <v>2.3737572154544063E-3</v>
      </c>
      <c r="L107" s="137">
        <f t="shared" ca="1" si="35"/>
        <v>4747.5144309088137</v>
      </c>
      <c r="M107" s="139">
        <f t="shared" ca="1" si="36"/>
        <v>2009393.6953887565</v>
      </c>
      <c r="N107" s="77">
        <f t="shared" ca="1" si="37"/>
        <v>4.6968476943783808E-3</v>
      </c>
      <c r="O107" s="137">
        <f t="shared" ca="1" si="38"/>
        <v>9393.6953887567652</v>
      </c>
    </row>
    <row r="108" spans="1:15" ht="16.5" customHeight="1">
      <c r="A108" s="153">
        <v>11</v>
      </c>
      <c r="B108" s="153" t="str">
        <f>TEXT(투자전략!$G$1+10, "[$-ko-KR]yyyy.mm.dd")</f>
        <v>2021.07.11</v>
      </c>
      <c r="C108" s="135">
        <f t="shared" ca="1" si="26"/>
        <v>2000000</v>
      </c>
      <c r="D108" s="139">
        <f t="shared" ca="1" si="27"/>
        <v>1973044.1831155817</v>
      </c>
      <c r="E108" s="77">
        <f t="shared" ca="1" si="28"/>
        <v>-1.3477908442209075E-2</v>
      </c>
      <c r="F108" s="137">
        <f t="shared" ca="1" si="29"/>
        <v>-26955.816884418156</v>
      </c>
      <c r="G108" s="139">
        <f t="shared" ca="1" si="30"/>
        <v>2000000</v>
      </c>
      <c r="H108" s="77">
        <f t="shared" ca="1" si="31"/>
        <v>0</v>
      </c>
      <c r="I108" s="137">
        <f t="shared" ca="1" si="32"/>
        <v>0</v>
      </c>
      <c r="J108" s="139">
        <f t="shared" ca="1" si="33"/>
        <v>2002782.83315492</v>
      </c>
      <c r="K108" s="77">
        <f t="shared" ca="1" si="34"/>
        <v>1.3914165774599244E-3</v>
      </c>
      <c r="L108" s="137">
        <f t="shared" ca="1" si="35"/>
        <v>2782.8331549198506</v>
      </c>
      <c r="M108" s="139">
        <f t="shared" ca="1" si="36"/>
        <v>2020959.7010466291</v>
      </c>
      <c r="N108" s="77">
        <f t="shared" ca="1" si="37"/>
        <v>1.0479850523314651E-2</v>
      </c>
      <c r="O108" s="137">
        <f t="shared" ca="1" si="38"/>
        <v>20959.7010466293</v>
      </c>
    </row>
    <row r="109" spans="1:15" ht="16.5" customHeight="1">
      <c r="A109" s="153">
        <v>12</v>
      </c>
      <c r="B109" s="153" t="str">
        <f>TEXT(투자전략!$G$1+11, "[$-ko-KR]yyyy.mm.dd")</f>
        <v>2021.07.12</v>
      </c>
      <c r="C109" s="135">
        <f t="shared" ca="1" si="26"/>
        <v>2000000</v>
      </c>
      <c r="D109" s="139">
        <f t="shared" ca="1" si="27"/>
        <v>2000000</v>
      </c>
      <c r="E109" s="77">
        <f t="shared" ca="1" si="28"/>
        <v>0</v>
      </c>
      <c r="F109" s="137">
        <f t="shared" ca="1" si="29"/>
        <v>0</v>
      </c>
      <c r="G109" s="139">
        <f t="shared" ca="1" si="30"/>
        <v>2000000</v>
      </c>
      <c r="H109" s="77">
        <f t="shared" ca="1" si="31"/>
        <v>0</v>
      </c>
      <c r="I109" s="137">
        <f t="shared" ca="1" si="32"/>
        <v>0</v>
      </c>
      <c r="J109" s="139">
        <f t="shared" ca="1" si="33"/>
        <v>2000000</v>
      </c>
      <c r="K109" s="77">
        <f t="shared" ca="1" si="34"/>
        <v>0</v>
      </c>
      <c r="L109" s="137">
        <f t="shared" ca="1" si="35"/>
        <v>0</v>
      </c>
      <c r="M109" s="139">
        <f t="shared" ca="1" si="36"/>
        <v>2000000</v>
      </c>
      <c r="N109" s="77">
        <f t="shared" ca="1" si="37"/>
        <v>0</v>
      </c>
      <c r="O109" s="137">
        <f t="shared" ca="1" si="38"/>
        <v>0</v>
      </c>
    </row>
    <row r="110" spans="1:15" ht="16.5" customHeight="1">
      <c r="A110" s="153">
        <v>13</v>
      </c>
      <c r="B110" s="153" t="str">
        <f>TEXT(투자전략!$G$1+12, "[$-ko-KR]yyyy.mm.dd")</f>
        <v>2021.07.13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2021.07.14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2021.07.15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2021.07.16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2021.07.17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2021.07.18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2021.07.19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2021.07.20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2021.07.21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2021.07.22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2021.07.23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2021.07.24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2021.07.25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2021.07.26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2021.07.27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2021.07.28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2021.07.29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2021.07.30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55" t="s">
        <v>284</v>
      </c>
      <c r="B129" s="257"/>
      <c r="C129" s="132" t="s">
        <v>279</v>
      </c>
      <c r="D129" s="150" t="s">
        <v>280</v>
      </c>
      <c r="E129" s="151" t="s">
        <v>281</v>
      </c>
      <c r="F129" s="152" t="s">
        <v>282</v>
      </c>
      <c r="G129" s="150" t="s">
        <v>280</v>
      </c>
      <c r="H129" s="151" t="s">
        <v>281</v>
      </c>
      <c r="I129" s="152" t="s">
        <v>282</v>
      </c>
      <c r="J129" s="150" t="s">
        <v>280</v>
      </c>
      <c r="K129" s="151" t="s">
        <v>281</v>
      </c>
      <c r="L129" s="152" t="s">
        <v>282</v>
      </c>
      <c r="M129" s="150" t="s">
        <v>280</v>
      </c>
      <c r="N129" s="151" t="s">
        <v>281</v>
      </c>
      <c r="O129" s="152" t="s">
        <v>282</v>
      </c>
    </row>
    <row r="130" spans="1:15" ht="16.5" customHeight="1" thickBot="1">
      <c r="A130" s="248"/>
      <c r="B130" s="250"/>
      <c r="C130" s="136">
        <f ca="1">SUM(C98:C128)</f>
        <v>24000000</v>
      </c>
      <c r="D130" s="140">
        <f ca="1">SUM(D98:D128)</f>
        <v>24199508.463109978</v>
      </c>
      <c r="E130" s="79">
        <f ca="1">IFERROR(F130 / (SUM($C98:$C128) / COUNT($C98:$C128)), 0)</f>
        <v>9.9754231554988762E-2</v>
      </c>
      <c r="F130" s="138">
        <f ca="1">SUM(F98:F128)</f>
        <v>199508.46310997751</v>
      </c>
      <c r="G130" s="140">
        <f ca="1">SUM(G98:G128)</f>
        <v>24061419.764118958</v>
      </c>
      <c r="H130" s="79">
        <f ca="1">IFERROR(I130 / (SUM($C98:$C128) / COUNT($C98:$C128)), 0)</f>
        <v>3.0709882059476685E-2</v>
      </c>
      <c r="I130" s="138">
        <f ca="1">SUM(I98:I128)</f>
        <v>61419.764118953368</v>
      </c>
      <c r="J130" s="140">
        <f ca="1">SUM(J98:J128)</f>
        <v>24072073.427278515</v>
      </c>
      <c r="K130" s="79">
        <f ca="1">IFERROR(L130 / (SUM($C98:$C128) / COUNT($C98:$C128)), 0)</f>
        <v>3.6036713639255528E-2</v>
      </c>
      <c r="L130" s="138">
        <f ca="1">SUM(L98:L128)</f>
        <v>72073.427278511052</v>
      </c>
      <c r="M130" s="140">
        <f ca="1">SUM(M98:M128)</f>
        <v>24227135.388022404</v>
      </c>
      <c r="N130" s="79">
        <f ca="1">IFERROR(O130 / (SUM($C98:$C128) / COUNT($C98:$C128)), 0)</f>
        <v>0.11356769401120138</v>
      </c>
      <c r="O130" s="138">
        <f ca="1">SUM(O98:O128)</f>
        <v>227135.38802240277</v>
      </c>
    </row>
    <row r="132" spans="1:15" ht="16.5" customHeight="1" thickBot="1"/>
    <row r="133" spans="1:15" ht="16.5" customHeight="1" thickBot="1">
      <c r="A133" s="227" t="str">
        <f>TEXT(투자전략!$G$1, "[$-ko-KR]yyyy년 mm월 ") &amp; "전일대비 상승률 Top20 월말결산"</f>
        <v>2021년 07월 전일대비 상승률 Top20 월말결산</v>
      </c>
      <c r="B133" s="228"/>
      <c r="C133" s="228"/>
      <c r="D133" s="228"/>
      <c r="E133" s="228"/>
      <c r="F133" s="228"/>
      <c r="G133" s="228"/>
      <c r="H133" s="228"/>
      <c r="I133" s="228"/>
      <c r="J133" s="228"/>
      <c r="K133" s="228"/>
      <c r="L133" s="228"/>
      <c r="M133" s="228"/>
      <c r="N133" s="228"/>
      <c r="O133" s="229"/>
    </row>
    <row r="134" spans="1:15" ht="16.5" customHeight="1" thickBot="1">
      <c r="A134" s="271" t="s">
        <v>285</v>
      </c>
      <c r="B134" s="248" t="s">
        <v>283</v>
      </c>
      <c r="C134" s="250"/>
      <c r="D134" s="248" t="s">
        <v>275</v>
      </c>
      <c r="E134" s="249"/>
      <c r="F134" s="250"/>
      <c r="G134" s="248" t="s">
        <v>276</v>
      </c>
      <c r="H134" s="249"/>
      <c r="I134" s="250"/>
      <c r="J134" s="248" t="s">
        <v>277</v>
      </c>
      <c r="K134" s="249"/>
      <c r="L134" s="250"/>
      <c r="M134" s="248" t="s">
        <v>278</v>
      </c>
      <c r="N134" s="249"/>
      <c r="O134" s="250"/>
    </row>
    <row r="135" spans="1:15" ht="16.5" customHeight="1" thickBot="1">
      <c r="A135" s="264"/>
      <c r="B135" s="154" t="s">
        <v>273</v>
      </c>
      <c r="C135" s="154" t="s">
        <v>42</v>
      </c>
      <c r="D135" s="121" t="s">
        <v>274</v>
      </c>
      <c r="E135" s="133" t="s">
        <v>40</v>
      </c>
      <c r="F135" s="156" t="s">
        <v>41</v>
      </c>
      <c r="G135" s="121" t="s">
        <v>274</v>
      </c>
      <c r="H135" s="133" t="s">
        <v>40</v>
      </c>
      <c r="I135" s="156" t="s">
        <v>41</v>
      </c>
      <c r="J135" s="121" t="s">
        <v>274</v>
      </c>
      <c r="K135" s="133" t="s">
        <v>40</v>
      </c>
      <c r="L135" s="156" t="s">
        <v>41</v>
      </c>
      <c r="M135" s="121" t="s">
        <v>274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2021.07.01</v>
      </c>
      <c r="C136" s="134">
        <f ca="1">IFERROR(COUNTA(INDIRECT($B136&amp;"!A98:A117")) * INDIRECT($B136&amp;"!B118"), "")</f>
        <v>2000000</v>
      </c>
      <c r="D136" s="142">
        <f ca="1">IFERROR($C136 * (1 + E136), "")</f>
        <v>2055386.9952028519</v>
      </c>
      <c r="E136" s="76">
        <f ca="1">IFERROR(INDIRECT($B136&amp;"!E118"), "")</f>
        <v>2.7693497601426108E-2</v>
      </c>
      <c r="F136" s="141">
        <f ca="1">IFERROR(INDIRECT($B136&amp;"!F118"), "")</f>
        <v>55386.995202852202</v>
      </c>
      <c r="G136" s="142">
        <f ca="1">IFERROR($C136 * (1 + H136), "")</f>
        <v>1977802.3401935217</v>
      </c>
      <c r="H136" s="76">
        <f ca="1">IFERROR(INDIRECT($B136&amp;"!H118"), "")</f>
        <v>-1.1098829903239219E-2</v>
      </c>
      <c r="I136" s="141">
        <f ca="1">IFERROR(INDIRECT($B136&amp;"!I118"), "")</f>
        <v>-22197.659806478427</v>
      </c>
      <c r="J136" s="142">
        <f ca="1">IFERROR($C136 * (1 + K136), "")</f>
        <v>2034778.3984150803</v>
      </c>
      <c r="K136" s="76">
        <f ca="1">IFERROR(INDIRECT($B136&amp;"!K118"), "")</f>
        <v>1.7389199207540128E-2</v>
      </c>
      <c r="L136" s="141">
        <f ca="1">IFERROR(INDIRECT($B136&amp;"!L118"), "")</f>
        <v>34778.398415080257</v>
      </c>
      <c r="M136" s="142">
        <f ca="1">IFERROR($C136 * (1 + N136), "")</f>
        <v>2014960.0983519941</v>
      </c>
      <c r="N136" s="76">
        <f ca="1">IFERROR(INDIRECT($B136&amp;"!N118"), "")</f>
        <v>7.480049175997058E-3</v>
      </c>
      <c r="O136" s="141">
        <f ca="1">IFERROR(INDIRECT($B136&amp;"!O118"), "")</f>
        <v>14960.098351994106</v>
      </c>
    </row>
    <row r="137" spans="1:15" ht="16.5" customHeight="1">
      <c r="A137" s="153">
        <v>2</v>
      </c>
      <c r="B137" s="153" t="str">
        <f>TEXT(투자전략!$G$1+1, "[$-ko-KR]yyyy.mm.dd")</f>
        <v>2021.07.02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1897095.5665470341</v>
      </c>
      <c r="E137" s="77">
        <f t="shared" ref="E137:E166" ca="1" si="41">IFERROR(INDIRECT($B137&amp;"!E118"), "")</f>
        <v>-5.145221672648289E-2</v>
      </c>
      <c r="F137" s="137">
        <f t="shared" ref="F137:F166" ca="1" si="42">IFERROR(INDIRECT($B137&amp;"!F118"), "")</f>
        <v>-102904.43345296579</v>
      </c>
      <c r="G137" s="139">
        <f t="shared" ref="G137:G166" ca="1" si="43">IFERROR($C137 * (1 + H137), "")</f>
        <v>1866364.0566864351</v>
      </c>
      <c r="H137" s="77">
        <f t="shared" ref="H137:H166" ca="1" si="44">IFERROR(INDIRECT($B137&amp;"!H118"), "")</f>
        <v>-6.6817971656782507E-2</v>
      </c>
      <c r="I137" s="137">
        <f t="shared" ref="I137:I166" ca="1" si="45">IFERROR(INDIRECT($B137&amp;"!I118"), "")</f>
        <v>-133635.94331356502</v>
      </c>
      <c r="J137" s="139">
        <f t="shared" ref="J137:J166" ca="1" si="46">IFERROR($C137 * (1 + K137), "")</f>
        <v>1896185.7555599147</v>
      </c>
      <c r="K137" s="77">
        <f t="shared" ref="K137:K166" ca="1" si="47">IFERROR(INDIRECT($B137&amp;"!K118"), "")</f>
        <v>-5.1907122220042665E-2</v>
      </c>
      <c r="L137" s="137">
        <f t="shared" ref="L137:L166" ca="1" si="48">IFERROR(INDIRECT($B137&amp;"!L118"), "")</f>
        <v>-103814.24444008531</v>
      </c>
      <c r="M137" s="139">
        <f t="shared" ref="M137:M166" ca="1" si="49">IFERROR($C137 * (1 + N137), "")</f>
        <v>1920686.0944878955</v>
      </c>
      <c r="N137" s="77">
        <f t="shared" ref="N137:N166" ca="1" si="50">IFERROR(INDIRECT($B137&amp;"!N118"), "")</f>
        <v>-3.9656952756052348E-2</v>
      </c>
      <c r="O137" s="137">
        <f t="shared" ref="O137:O166" ca="1" si="51">IFERROR(INDIRECT($B137&amp;"!O118"), "")</f>
        <v>-79313.905512104684</v>
      </c>
    </row>
    <row r="138" spans="1:15" ht="16.5" customHeight="1">
      <c r="A138" s="153">
        <v>3</v>
      </c>
      <c r="B138" s="153" t="str">
        <f>TEXT(투자전략!$G$1+2, "[$-ko-KR]yyyy.mm.dd")</f>
        <v>2021.07.03</v>
      </c>
      <c r="C138" s="135">
        <f t="shared" ca="1" si="39"/>
        <v>2000000</v>
      </c>
      <c r="D138" s="139">
        <f t="shared" ca="1" si="40"/>
        <v>1949779.7646040036</v>
      </c>
      <c r="E138" s="77">
        <f t="shared" ca="1" si="41"/>
        <v>-2.5110117697998219E-2</v>
      </c>
      <c r="F138" s="137">
        <f t="shared" ca="1" si="42"/>
        <v>-50220.235395996431</v>
      </c>
      <c r="G138" s="139">
        <f t="shared" ca="1" si="43"/>
        <v>1999584.9623695367</v>
      </c>
      <c r="H138" s="77">
        <f t="shared" ca="1" si="44"/>
        <v>-2.0751881523163493E-4</v>
      </c>
      <c r="I138" s="137">
        <f t="shared" ca="1" si="45"/>
        <v>-415.03763046326185</v>
      </c>
      <c r="J138" s="139">
        <f t="shared" ca="1" si="46"/>
        <v>2007200.9371947898</v>
      </c>
      <c r="K138" s="77">
        <f t="shared" ca="1" si="47"/>
        <v>3.600468597394906E-3</v>
      </c>
      <c r="L138" s="137">
        <f t="shared" ca="1" si="48"/>
        <v>7200.9371947898144</v>
      </c>
      <c r="M138" s="139">
        <f t="shared" ca="1" si="49"/>
        <v>2026401.3291594957</v>
      </c>
      <c r="N138" s="77">
        <f t="shared" ca="1" si="50"/>
        <v>1.320066457974774E-2</v>
      </c>
      <c r="O138" s="137">
        <f t="shared" ca="1" si="51"/>
        <v>26401.329159495486</v>
      </c>
    </row>
    <row r="139" spans="1:15" ht="16.5" customHeight="1">
      <c r="A139" s="153">
        <v>4</v>
      </c>
      <c r="B139" s="153" t="str">
        <f>TEXT(투자전략!$G$1+3, "[$-ko-KR]yyyy.mm.dd")</f>
        <v>2021.07.04</v>
      </c>
      <c r="C139" s="135">
        <f t="shared" ca="1" si="39"/>
        <v>2000000</v>
      </c>
      <c r="D139" s="139">
        <f t="shared" ca="1" si="40"/>
        <v>2046256.5809084387</v>
      </c>
      <c r="E139" s="77">
        <f t="shared" ca="1" si="41"/>
        <v>2.3128290454219297E-2</v>
      </c>
      <c r="F139" s="137">
        <f t="shared" ca="1" si="42"/>
        <v>46256.580908438613</v>
      </c>
      <c r="G139" s="139">
        <f t="shared" ca="1" si="43"/>
        <v>2057870.4247181495</v>
      </c>
      <c r="H139" s="77">
        <f t="shared" ca="1" si="44"/>
        <v>2.8935212359074803E-2</v>
      </c>
      <c r="I139" s="137">
        <f t="shared" ca="1" si="45"/>
        <v>57870.42471814961</v>
      </c>
      <c r="J139" s="139">
        <f t="shared" ca="1" si="46"/>
        <v>2067129.8059017218</v>
      </c>
      <c r="K139" s="77">
        <f t="shared" ca="1" si="47"/>
        <v>3.3564902950860856E-2</v>
      </c>
      <c r="L139" s="137">
        <f t="shared" ca="1" si="48"/>
        <v>67129.805901721702</v>
      </c>
      <c r="M139" s="139">
        <f t="shared" ca="1" si="49"/>
        <v>2055877.1519504408</v>
      </c>
      <c r="N139" s="77">
        <f t="shared" ca="1" si="50"/>
        <v>2.7938575975220415E-2</v>
      </c>
      <c r="O139" s="137">
        <f t="shared" ca="1" si="51"/>
        <v>55877.151950440835</v>
      </c>
    </row>
    <row r="140" spans="1:15" ht="16.5" customHeight="1">
      <c r="A140" s="153">
        <v>5</v>
      </c>
      <c r="B140" s="153" t="str">
        <f>TEXT(투자전략!$G$1+4, "[$-ko-KR]yyyy.mm.dd")</f>
        <v>2021.07.05</v>
      </c>
      <c r="C140" s="135">
        <f t="shared" ca="1" si="39"/>
        <v>2000000</v>
      </c>
      <c r="D140" s="139">
        <f t="shared" ca="1" si="40"/>
        <v>2062124.9155559477</v>
      </c>
      <c r="E140" s="77">
        <f t="shared" ca="1" si="41"/>
        <v>3.1062457777973819E-2</v>
      </c>
      <c r="F140" s="137">
        <f t="shared" ca="1" si="42"/>
        <v>62124.915555947635</v>
      </c>
      <c r="G140" s="139">
        <f t="shared" ca="1" si="43"/>
        <v>2111336.5977342734</v>
      </c>
      <c r="H140" s="77">
        <f t="shared" ca="1" si="44"/>
        <v>5.5668298867136534E-2</v>
      </c>
      <c r="I140" s="137">
        <f t="shared" ca="1" si="45"/>
        <v>111336.59773427306</v>
      </c>
      <c r="J140" s="139">
        <f t="shared" ca="1" si="46"/>
        <v>1982540.4745458977</v>
      </c>
      <c r="K140" s="77">
        <f t="shared" ca="1" si="47"/>
        <v>-8.7297627270511522E-3</v>
      </c>
      <c r="L140" s="137">
        <f t="shared" ca="1" si="48"/>
        <v>-17459.525454102302</v>
      </c>
      <c r="M140" s="139">
        <f t="shared" ca="1" si="49"/>
        <v>2014042.3842960394</v>
      </c>
      <c r="N140" s="77">
        <f t="shared" ca="1" si="50"/>
        <v>7.0211921480197474E-3</v>
      </c>
      <c r="O140" s="137">
        <f t="shared" ca="1" si="51"/>
        <v>14042.384296039494</v>
      </c>
    </row>
    <row r="141" spans="1:15" ht="16.5" customHeight="1">
      <c r="A141" s="153">
        <v>6</v>
      </c>
      <c r="B141" s="153" t="str">
        <f>TEXT(투자전략!$G$1+5, "[$-ko-KR]yyyy.mm.dd")</f>
        <v>2021.07.06</v>
      </c>
      <c r="C141" s="135">
        <f t="shared" ca="1" si="39"/>
        <v>2000000</v>
      </c>
      <c r="D141" s="139">
        <f t="shared" ca="1" si="40"/>
        <v>2049660.8681040769</v>
      </c>
      <c r="E141" s="77">
        <f t="shared" ca="1" si="41"/>
        <v>2.4830434052038334E-2</v>
      </c>
      <c r="F141" s="137">
        <f t="shared" ca="1" si="42"/>
        <v>49660.868104076668</v>
      </c>
      <c r="G141" s="139">
        <f t="shared" ca="1" si="43"/>
        <v>2007076.8054705476</v>
      </c>
      <c r="H141" s="77">
        <f t="shared" ca="1" si="44"/>
        <v>3.538402735273837E-3</v>
      </c>
      <c r="I141" s="137">
        <f t="shared" ca="1" si="45"/>
        <v>7076.8054705476707</v>
      </c>
      <c r="J141" s="139">
        <f t="shared" ca="1" si="46"/>
        <v>2016187.1707756331</v>
      </c>
      <c r="K141" s="77">
        <f t="shared" ca="1" si="47"/>
        <v>8.0935853878166091E-3</v>
      </c>
      <c r="L141" s="137">
        <f t="shared" ca="1" si="48"/>
        <v>16187.170775633218</v>
      </c>
      <c r="M141" s="139">
        <f t="shared" ca="1" si="49"/>
        <v>2034623.7581203601</v>
      </c>
      <c r="N141" s="77">
        <f t="shared" ca="1" si="50"/>
        <v>1.731187906018003E-2</v>
      </c>
      <c r="O141" s="137">
        <f t="shared" ca="1" si="51"/>
        <v>34623.758120360057</v>
      </c>
    </row>
    <row r="142" spans="1:15" ht="16.5" customHeight="1" thickBot="1">
      <c r="A142" s="155">
        <v>7</v>
      </c>
      <c r="B142" s="155" t="str">
        <f>TEXT(투자전략!$G$1+6, "[$-ko-KR]yyyy.mm.dd")</f>
        <v>2021.07.07</v>
      </c>
      <c r="C142" s="135">
        <f t="shared" ca="1" si="39"/>
        <v>2000000</v>
      </c>
      <c r="D142" s="139">
        <f t="shared" ca="1" si="40"/>
        <v>2173431.9357890291</v>
      </c>
      <c r="E142" s="77">
        <f t="shared" ca="1" si="41"/>
        <v>8.6715967894514523E-2</v>
      </c>
      <c r="F142" s="137">
        <f t="shared" ca="1" si="42"/>
        <v>173431.93578902908</v>
      </c>
      <c r="G142" s="139">
        <f t="shared" ca="1" si="43"/>
        <v>2196917.6160303592</v>
      </c>
      <c r="H142" s="77">
        <f t="shared" ca="1" si="44"/>
        <v>9.8458808015179505E-2</v>
      </c>
      <c r="I142" s="137">
        <f t="shared" ca="1" si="45"/>
        <v>196917.61603035903</v>
      </c>
      <c r="J142" s="139">
        <f t="shared" ca="1" si="46"/>
        <v>2214327.8214095761</v>
      </c>
      <c r="K142" s="77">
        <f t="shared" ca="1" si="47"/>
        <v>0.10716391070478812</v>
      </c>
      <c r="L142" s="137">
        <f t="shared" ca="1" si="48"/>
        <v>214327.82140957622</v>
      </c>
      <c r="M142" s="139">
        <f t="shared" ca="1" si="49"/>
        <v>2241677.916041017</v>
      </c>
      <c r="N142" s="77">
        <f t="shared" ca="1" si="50"/>
        <v>0.12083895802050851</v>
      </c>
      <c r="O142" s="137">
        <f t="shared" ca="1" si="51"/>
        <v>241677.91604101699</v>
      </c>
    </row>
    <row r="143" spans="1:15" ht="16.5" customHeight="1">
      <c r="A143" s="154">
        <v>8</v>
      </c>
      <c r="B143" s="154" t="str">
        <f>TEXT(투자전략!$G$1+7, "[$-ko-KR]yyyy.mm.dd")</f>
        <v>2021.07.08</v>
      </c>
      <c r="C143" s="134">
        <f t="shared" ca="1" si="39"/>
        <v>2000000</v>
      </c>
      <c r="D143" s="142">
        <f t="shared" ca="1" si="40"/>
        <v>2035439.8006121395</v>
      </c>
      <c r="E143" s="76">
        <f t="shared" ca="1" si="41"/>
        <v>1.7719900306069809E-2</v>
      </c>
      <c r="F143" s="141">
        <f t="shared" ca="1" si="42"/>
        <v>35439.800612139617</v>
      </c>
      <c r="G143" s="142">
        <f t="shared" ca="1" si="43"/>
        <v>1890827.7010602362</v>
      </c>
      <c r="H143" s="76">
        <f t="shared" ca="1" si="44"/>
        <v>-5.4586149469881974E-2</v>
      </c>
      <c r="I143" s="141">
        <f t="shared" ca="1" si="45"/>
        <v>-109172.29893976395</v>
      </c>
      <c r="J143" s="142">
        <f t="shared" ca="1" si="46"/>
        <v>1890220.8352687415</v>
      </c>
      <c r="K143" s="76">
        <f t="shared" ca="1" si="47"/>
        <v>-5.48895823656292E-2</v>
      </c>
      <c r="L143" s="141">
        <f t="shared" ca="1" si="48"/>
        <v>-109779.16473125838</v>
      </c>
      <c r="M143" s="142">
        <f t="shared" ca="1" si="49"/>
        <v>1882060.9312754085</v>
      </c>
      <c r="N143" s="76">
        <f t="shared" ca="1" si="50"/>
        <v>-5.8969534362295836E-2</v>
      </c>
      <c r="O143" s="141">
        <f t="shared" ca="1" si="51"/>
        <v>-117939.06872459171</v>
      </c>
    </row>
    <row r="144" spans="1:15" ht="16.5" customHeight="1">
      <c r="A144" s="153">
        <v>9</v>
      </c>
      <c r="B144" s="153" t="str">
        <f>TEXT(투자전략!$G$1+8, "[$-ko-KR]yyyy.mm.dd")</f>
        <v>2021.07.09</v>
      </c>
      <c r="C144" s="135">
        <f t="shared" ca="1" si="39"/>
        <v>2000000</v>
      </c>
      <c r="D144" s="139">
        <f t="shared" ca="1" si="40"/>
        <v>1949688.4626492164</v>
      </c>
      <c r="E144" s="77">
        <f t="shared" ca="1" si="41"/>
        <v>-2.5155768675391869E-2</v>
      </c>
      <c r="F144" s="137">
        <f t="shared" ca="1" si="42"/>
        <v>-50311.537350783728</v>
      </c>
      <c r="G144" s="139">
        <f t="shared" ca="1" si="43"/>
        <v>1913649.671076674</v>
      </c>
      <c r="H144" s="77">
        <f t="shared" ca="1" si="44"/>
        <v>-4.3175164461663064E-2</v>
      </c>
      <c r="I144" s="137">
        <f t="shared" ca="1" si="45"/>
        <v>-86350.32892332616</v>
      </c>
      <c r="J144" s="139">
        <f t="shared" ca="1" si="46"/>
        <v>1898378.1970432289</v>
      </c>
      <c r="K144" s="77">
        <f t="shared" ca="1" si="47"/>
        <v>-5.0810901478385573E-2</v>
      </c>
      <c r="L144" s="137">
        <f t="shared" ca="1" si="48"/>
        <v>-101621.80295677113</v>
      </c>
      <c r="M144" s="139">
        <f t="shared" ca="1" si="49"/>
        <v>1990082.7934930772</v>
      </c>
      <c r="N144" s="77">
        <f t="shared" ca="1" si="50"/>
        <v>-4.9586032534614435E-3</v>
      </c>
      <c r="O144" s="137">
        <f t="shared" ca="1" si="51"/>
        <v>-9917.206506922892</v>
      </c>
    </row>
    <row r="145" spans="1:15" ht="16.5" customHeight="1">
      <c r="A145" s="153">
        <v>10</v>
      </c>
      <c r="B145" s="153" t="str">
        <f>TEXT(투자전략!$G$1+9, "[$-ko-KR]yyyy.mm.dd")</f>
        <v>2021.07.10</v>
      </c>
      <c r="C145" s="135">
        <f t="shared" ca="1" si="39"/>
        <v>2000000</v>
      </c>
      <c r="D145" s="139">
        <f t="shared" ca="1" si="40"/>
        <v>2030214.6441247507</v>
      </c>
      <c r="E145" s="77">
        <f t="shared" ca="1" si="41"/>
        <v>1.510732206237549E-2</v>
      </c>
      <c r="F145" s="137">
        <f t="shared" ca="1" si="42"/>
        <v>30214.644124750983</v>
      </c>
      <c r="G145" s="139">
        <f t="shared" ca="1" si="43"/>
        <v>2014620.1510107589</v>
      </c>
      <c r="H145" s="77">
        <f t="shared" ca="1" si="44"/>
        <v>7.3100755053793487E-3</v>
      </c>
      <c r="I145" s="137">
        <f t="shared" ca="1" si="45"/>
        <v>14620.151010758704</v>
      </c>
      <c r="J145" s="139">
        <f t="shared" ca="1" si="46"/>
        <v>2024360.8756753341</v>
      </c>
      <c r="K145" s="77">
        <f t="shared" ca="1" si="47"/>
        <v>1.2180437837667007E-2</v>
      </c>
      <c r="L145" s="137">
        <f t="shared" ca="1" si="48"/>
        <v>24360.875675334017</v>
      </c>
      <c r="M145" s="139">
        <f t="shared" ca="1" si="49"/>
        <v>2030373.0274463466</v>
      </c>
      <c r="N145" s="77">
        <f t="shared" ca="1" si="50"/>
        <v>1.5186513723173247E-2</v>
      </c>
      <c r="O145" s="137">
        <f t="shared" ca="1" si="51"/>
        <v>30373.027446346496</v>
      </c>
    </row>
    <row r="146" spans="1:15" ht="16.5" customHeight="1">
      <c r="A146" s="153">
        <v>11</v>
      </c>
      <c r="B146" s="153" t="str">
        <f>TEXT(투자전략!$G$1+10, "[$-ko-KR]yyyy.mm.dd")</f>
        <v>2021.07.11</v>
      </c>
      <c r="C146" s="135">
        <f t="shared" ca="1" si="39"/>
        <v>2000000</v>
      </c>
      <c r="D146" s="139">
        <f t="shared" ca="1" si="40"/>
        <v>1958447.3136526833</v>
      </c>
      <c r="E146" s="77">
        <f t="shared" ca="1" si="41"/>
        <v>-2.0776343173658399E-2</v>
      </c>
      <c r="F146" s="137">
        <f t="shared" ca="1" si="42"/>
        <v>-41552.686347316798</v>
      </c>
      <c r="G146" s="139">
        <f t="shared" ca="1" si="43"/>
        <v>2000000</v>
      </c>
      <c r="H146" s="77">
        <f t="shared" ca="1" si="44"/>
        <v>0</v>
      </c>
      <c r="I146" s="137">
        <f t="shared" ca="1" si="45"/>
        <v>0</v>
      </c>
      <c r="J146" s="139">
        <f t="shared" ca="1" si="46"/>
        <v>1993612.3017781551</v>
      </c>
      <c r="K146" s="77">
        <f t="shared" ca="1" si="47"/>
        <v>-3.1938491109224296E-3</v>
      </c>
      <c r="L146" s="137">
        <f t="shared" ca="1" si="48"/>
        <v>-6387.6982218448593</v>
      </c>
      <c r="M146" s="139">
        <f t="shared" ca="1" si="49"/>
        <v>2007937.5725143214</v>
      </c>
      <c r="N146" s="77">
        <f t="shared" ca="1" si="50"/>
        <v>3.9687862571606575E-3</v>
      </c>
      <c r="O146" s="137">
        <f t="shared" ca="1" si="51"/>
        <v>7937.5725143213158</v>
      </c>
    </row>
    <row r="147" spans="1:15" ht="16.5" customHeight="1">
      <c r="A147" s="153">
        <v>12</v>
      </c>
      <c r="B147" s="153" t="str">
        <f>TEXT(투자전략!$G$1+11, "[$-ko-KR]yyyy.mm.dd")</f>
        <v>2021.07.12</v>
      </c>
      <c r="C147" s="135">
        <f t="shared" ca="1" si="39"/>
        <v>2000000</v>
      </c>
      <c r="D147" s="139">
        <f t="shared" ca="1" si="40"/>
        <v>2000000</v>
      </c>
      <c r="E147" s="77">
        <f t="shared" ca="1" si="41"/>
        <v>0</v>
      </c>
      <c r="F147" s="137">
        <f t="shared" ca="1" si="42"/>
        <v>0</v>
      </c>
      <c r="G147" s="139">
        <f t="shared" ca="1" si="43"/>
        <v>2000000</v>
      </c>
      <c r="H147" s="77">
        <f t="shared" ca="1" si="44"/>
        <v>0</v>
      </c>
      <c r="I147" s="137">
        <f t="shared" ca="1" si="45"/>
        <v>0</v>
      </c>
      <c r="J147" s="139">
        <f t="shared" ca="1" si="46"/>
        <v>2000000</v>
      </c>
      <c r="K147" s="77">
        <f t="shared" ca="1" si="47"/>
        <v>0</v>
      </c>
      <c r="L147" s="137">
        <f t="shared" ca="1" si="48"/>
        <v>0</v>
      </c>
      <c r="M147" s="139">
        <f t="shared" ca="1" si="49"/>
        <v>2000000</v>
      </c>
      <c r="N147" s="77">
        <f t="shared" ca="1" si="50"/>
        <v>0</v>
      </c>
      <c r="O147" s="137">
        <f t="shared" ca="1" si="51"/>
        <v>0</v>
      </c>
    </row>
    <row r="148" spans="1:15" ht="16.5" customHeight="1">
      <c r="A148" s="153">
        <v>13</v>
      </c>
      <c r="B148" s="153" t="str">
        <f>TEXT(투자전략!$G$1+12, "[$-ko-KR]yyyy.mm.dd")</f>
        <v>2021.07.13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2021.07.14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2021.07.15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2021.07.16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2021.07.17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2021.07.18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2021.07.19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2021.07.20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2021.07.21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2021.07.22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2021.07.23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2021.07.24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2021.07.25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2021.07.26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2021.07.27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2021.07.28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2021.07.29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2021.07.30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55" t="s">
        <v>284</v>
      </c>
      <c r="B167" s="257"/>
      <c r="C167" s="132" t="s">
        <v>279</v>
      </c>
      <c r="D167" s="150" t="s">
        <v>280</v>
      </c>
      <c r="E167" s="151" t="s">
        <v>281</v>
      </c>
      <c r="F167" s="152" t="s">
        <v>282</v>
      </c>
      <c r="G167" s="150" t="s">
        <v>280</v>
      </c>
      <c r="H167" s="151" t="s">
        <v>281</v>
      </c>
      <c r="I167" s="152" t="s">
        <v>282</v>
      </c>
      <c r="J167" s="150" t="s">
        <v>280</v>
      </c>
      <c r="K167" s="151" t="s">
        <v>281</v>
      </c>
      <c r="L167" s="152" t="s">
        <v>282</v>
      </c>
      <c r="M167" s="150" t="s">
        <v>280</v>
      </c>
      <c r="N167" s="151" t="s">
        <v>281</v>
      </c>
      <c r="O167" s="152" t="s">
        <v>282</v>
      </c>
    </row>
    <row r="168" spans="1:15" ht="16.5" customHeight="1" thickBot="1">
      <c r="A168" s="248"/>
      <c r="B168" s="250"/>
      <c r="C168" s="136">
        <f ca="1">SUM(C136:C166)</f>
        <v>24000000</v>
      </c>
      <c r="D168" s="140">
        <f ca="1">SUM(D136:D166)</f>
        <v>24207526.847750172</v>
      </c>
      <c r="E168" s="79">
        <f ca="1">IFERROR(F168 / (SUM($C136:$C166) / COUNT($C136:$C166)), 0)</f>
        <v>0.10376342387508601</v>
      </c>
      <c r="F168" s="138">
        <f ca="1">SUM(F136:F166)</f>
        <v>207526.84775017202</v>
      </c>
      <c r="G168" s="140">
        <f ca="1">SUM(G136:G166)</f>
        <v>24036050.326350495</v>
      </c>
      <c r="H168" s="79">
        <f ca="1">IFERROR(I168 / (SUM($C136:$C166) / COUNT($C136:$C166)), 0)</f>
        <v>1.8025163175245641E-2</v>
      </c>
      <c r="I168" s="138">
        <f ca="1">SUM(I136:I166)</f>
        <v>36050.326350491283</v>
      </c>
      <c r="J168" s="140">
        <f ca="1">SUM(J136:J166)</f>
        <v>24024922.573568076</v>
      </c>
      <c r="K168" s="79">
        <f ca="1">IFERROR(L168 / (SUM($C136:$C166) / COUNT($C136:$C166)), 0)</f>
        <v>1.2461286784036624E-2</v>
      </c>
      <c r="L168" s="138">
        <f ca="1">SUM(L136:L166)</f>
        <v>24922.573568073247</v>
      </c>
      <c r="M168" s="140">
        <f ca="1">SUM(M136:M166)</f>
        <v>24218723.057136398</v>
      </c>
      <c r="N168" s="79">
        <f ca="1">IFERROR(O168 / (SUM($C136:$C166) / COUNT($C136:$C166)), 0)</f>
        <v>0.10936152856819775</v>
      </c>
      <c r="O168" s="138">
        <f ca="1">SUM(O136:O166)</f>
        <v>218723.05713639551</v>
      </c>
    </row>
    <row r="170" spans="1:15" ht="16.5" customHeight="1" thickBot="1"/>
    <row r="171" spans="1:15" ht="16.5" customHeight="1" thickBot="1">
      <c r="A171" s="227" t="str">
        <f>TEXT(투자전략!$G$1, "[$-ko-KR]yyyy년 mm월 ") &amp; "[엽전코인] 전일대비 상승률 Bottom20 월말결산"</f>
        <v>2021년 07월 [엽전코인] 전일대비 상승률 Bottom20 월말결산</v>
      </c>
      <c r="B171" s="228"/>
      <c r="C171" s="228"/>
      <c r="D171" s="228"/>
      <c r="E171" s="228"/>
      <c r="F171" s="228"/>
      <c r="G171" s="228"/>
      <c r="H171" s="228"/>
      <c r="I171" s="228"/>
      <c r="J171" s="228"/>
      <c r="K171" s="228"/>
      <c r="L171" s="228"/>
      <c r="M171" s="228"/>
      <c r="N171" s="228"/>
      <c r="O171" s="229"/>
    </row>
    <row r="172" spans="1:15" ht="16.5" customHeight="1" thickBot="1">
      <c r="A172" s="271" t="s">
        <v>285</v>
      </c>
      <c r="B172" s="248" t="s">
        <v>283</v>
      </c>
      <c r="C172" s="250"/>
      <c r="D172" s="248" t="s">
        <v>275</v>
      </c>
      <c r="E172" s="249"/>
      <c r="F172" s="250"/>
      <c r="G172" s="248" t="s">
        <v>276</v>
      </c>
      <c r="H172" s="249"/>
      <c r="I172" s="250"/>
      <c r="J172" s="248" t="s">
        <v>277</v>
      </c>
      <c r="K172" s="249"/>
      <c r="L172" s="250"/>
      <c r="M172" s="248" t="s">
        <v>278</v>
      </c>
      <c r="N172" s="249"/>
      <c r="O172" s="250"/>
    </row>
    <row r="173" spans="1:15" ht="16.5" customHeight="1" thickBot="1">
      <c r="A173" s="264"/>
      <c r="B173" s="154" t="s">
        <v>273</v>
      </c>
      <c r="C173" s="154" t="s">
        <v>42</v>
      </c>
      <c r="D173" s="121" t="s">
        <v>274</v>
      </c>
      <c r="E173" s="133" t="s">
        <v>40</v>
      </c>
      <c r="F173" s="156" t="s">
        <v>41</v>
      </c>
      <c r="G173" s="121" t="s">
        <v>274</v>
      </c>
      <c r="H173" s="133" t="s">
        <v>40</v>
      </c>
      <c r="I173" s="156" t="s">
        <v>41</v>
      </c>
      <c r="J173" s="121" t="s">
        <v>274</v>
      </c>
      <c r="K173" s="133" t="s">
        <v>40</v>
      </c>
      <c r="L173" s="156" t="s">
        <v>41</v>
      </c>
      <c r="M173" s="121" t="s">
        <v>274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2021.07.01</v>
      </c>
      <c r="C174" s="134">
        <f ca="1">IFERROR(COUNTA(INDIRECT($B174&amp;"!A125:A144")) * INDIRECT($B174&amp;"!B145"), "")</f>
        <v>2000000</v>
      </c>
      <c r="D174" s="142">
        <f ca="1">IFERROR($C174 * (1 + E174), "")</f>
        <v>2227048.7030016216</v>
      </c>
      <c r="E174" s="76">
        <f ca="1">IFERROR(INDIRECT($B174&amp;"!E145"), "")</f>
        <v>0.1135243515008109</v>
      </c>
      <c r="F174" s="141">
        <f ca="1">IFERROR(INDIRECT($B174&amp;"!F145"), "")</f>
        <v>227048.70300162176</v>
      </c>
      <c r="G174" s="142">
        <f ca="1">IFERROR($C174 * (1 + H174), "")</f>
        <v>2078039.1981713113</v>
      </c>
      <c r="H174" s="76">
        <f ca="1">IFERROR(INDIRECT($B174&amp;"!H145"), "")</f>
        <v>3.9019599085655755E-2</v>
      </c>
      <c r="I174" s="141">
        <f ca="1">IFERROR(INDIRECT($B174&amp;"!I145"), "")</f>
        <v>78039.198171311524</v>
      </c>
      <c r="J174" s="142">
        <f ca="1">IFERROR($C174 * (1 + K174), "")</f>
        <v>2142018.0489715496</v>
      </c>
      <c r="K174" s="76">
        <f ca="1">IFERROR(INDIRECT($B174&amp;"!K145"), "")</f>
        <v>7.1009024485774799E-2</v>
      </c>
      <c r="L174" s="141">
        <f ca="1">IFERROR(INDIRECT($B174&amp;"!L145"), "")</f>
        <v>142018.04897154958</v>
      </c>
      <c r="M174" s="142">
        <f ca="1">IFERROR($C174 * (1 + N174), "")</f>
        <v>2140372.5519576999</v>
      </c>
      <c r="N174" s="76">
        <f ca="1">IFERROR(INDIRECT($B174&amp;"!N145"), "")</f>
        <v>7.0186275978849896E-2</v>
      </c>
      <c r="O174" s="141">
        <f ca="1">IFERROR(INDIRECT($B174&amp;"!O145"), "")</f>
        <v>140372.55195769979</v>
      </c>
    </row>
    <row r="175" spans="1:15" ht="16.5" customHeight="1">
      <c r="A175" s="153">
        <v>2</v>
      </c>
      <c r="B175" s="153" t="str">
        <f>TEXT(투자전략!$G$1+1, "[$-ko-KR]yyyy.mm.dd")</f>
        <v>2021.07.02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2070323.9162582264</v>
      </c>
      <c r="E175" s="77">
        <f t="shared" ref="E175:E204" ca="1" si="54">IFERROR(INDIRECT($B175&amp;"!E145"), "")</f>
        <v>3.5161958129113088E-2</v>
      </c>
      <c r="F175" s="137">
        <f t="shared" ref="F175:F204" ca="1" si="55">IFERROR(INDIRECT($B175&amp;"!F145"), "")</f>
        <v>70323.916258226163</v>
      </c>
      <c r="G175" s="139">
        <f t="shared" ref="G175:G204" ca="1" si="56">IFERROR($C175 * (1 + H175), "")</f>
        <v>2091047.6630690482</v>
      </c>
      <c r="H175" s="77">
        <f t="shared" ref="H175:H204" ca="1" si="57">IFERROR(INDIRECT($B175&amp;"!H145"), "")</f>
        <v>4.5523831534524016E-2</v>
      </c>
      <c r="I175" s="137">
        <f t="shared" ref="I175:I204" ca="1" si="58">IFERROR(INDIRECT($B175&amp;"!I145"), "")</f>
        <v>91047.663069048082</v>
      </c>
      <c r="J175" s="139">
        <f t="shared" ref="J175:J204" ca="1" si="59">IFERROR($C175 * (1 + K175), "")</f>
        <v>2126949.3357899329</v>
      </c>
      <c r="K175" s="77">
        <f t="shared" ref="K175:K204" ca="1" si="60">IFERROR(INDIRECT($B175&amp;"!K145"), "")</f>
        <v>6.3474667894966419E-2</v>
      </c>
      <c r="L175" s="137">
        <f t="shared" ref="L175:L204" ca="1" si="61">IFERROR(INDIRECT($B175&amp;"!L145"), "")</f>
        <v>126949.33578993287</v>
      </c>
      <c r="M175" s="139">
        <f t="shared" ref="M175:M204" ca="1" si="62">IFERROR($C175 * (1 + N175), "")</f>
        <v>2122129.8208749359</v>
      </c>
      <c r="N175" s="77">
        <f t="shared" ref="N175:N204" ca="1" si="63">IFERROR(INDIRECT($B175&amp;"!N145"), "")</f>
        <v>6.1064910437467944E-2</v>
      </c>
      <c r="O175" s="137">
        <f t="shared" ref="O175:O204" ca="1" si="64">IFERROR(INDIRECT($B175&amp;"!O145"), "")</f>
        <v>122129.82087493586</v>
      </c>
    </row>
    <row r="176" spans="1:15" ht="16.5" customHeight="1">
      <c r="A176" s="153">
        <v>3</v>
      </c>
      <c r="B176" s="153" t="str">
        <f>TEXT(투자전략!$G$1+2, "[$-ko-KR]yyyy.mm.dd")</f>
        <v>2021.07.03</v>
      </c>
      <c r="C176" s="135">
        <f t="shared" ca="1" si="52"/>
        <v>2000000</v>
      </c>
      <c r="D176" s="139">
        <f t="shared" ca="1" si="53"/>
        <v>2014161.3001142079</v>
      </c>
      <c r="E176" s="77">
        <f t="shared" ca="1" si="54"/>
        <v>7.0806500571038624E-3</v>
      </c>
      <c r="F176" s="137">
        <f t="shared" ca="1" si="55"/>
        <v>14161.300114207726</v>
      </c>
      <c r="G176" s="139">
        <f t="shared" ca="1" si="56"/>
        <v>2058928.6435508498</v>
      </c>
      <c r="H176" s="77">
        <f t="shared" ca="1" si="57"/>
        <v>2.9464321775424802E-2</v>
      </c>
      <c r="I176" s="137">
        <f t="shared" ca="1" si="58"/>
        <v>58928.6435508496</v>
      </c>
      <c r="J176" s="139">
        <f t="shared" ca="1" si="59"/>
        <v>2058893.8078884617</v>
      </c>
      <c r="K176" s="77">
        <f t="shared" ca="1" si="60"/>
        <v>2.9446903944230947E-2</v>
      </c>
      <c r="L176" s="137">
        <f t="shared" ca="1" si="61"/>
        <v>58893.807888461903</v>
      </c>
      <c r="M176" s="139">
        <f t="shared" ca="1" si="62"/>
        <v>2080968.9394813734</v>
      </c>
      <c r="N176" s="77">
        <f t="shared" ca="1" si="63"/>
        <v>4.0484469740686799E-2</v>
      </c>
      <c r="O176" s="137">
        <f t="shared" ca="1" si="64"/>
        <v>80968.9394813736</v>
      </c>
    </row>
    <row r="177" spans="1:15" ht="16.5" customHeight="1">
      <c r="A177" s="153">
        <v>4</v>
      </c>
      <c r="B177" s="153" t="str">
        <f>TEXT(투자전략!$G$1+3, "[$-ko-KR]yyyy.mm.dd")</f>
        <v>2021.07.04</v>
      </c>
      <c r="C177" s="135">
        <f t="shared" ca="1" si="52"/>
        <v>2000000</v>
      </c>
      <c r="D177" s="139">
        <f t="shared" ca="1" si="53"/>
        <v>2028145.013172277</v>
      </c>
      <c r="E177" s="77">
        <f t="shared" ca="1" si="54"/>
        <v>1.407250658613847E-2</v>
      </c>
      <c r="F177" s="137">
        <f t="shared" ca="1" si="55"/>
        <v>28145.013172276944</v>
      </c>
      <c r="G177" s="139">
        <f t="shared" ca="1" si="56"/>
        <v>2034541.3771451488</v>
      </c>
      <c r="H177" s="77">
        <f t="shared" ca="1" si="57"/>
        <v>1.7270688572574508E-2</v>
      </c>
      <c r="I177" s="137">
        <f t="shared" ca="1" si="58"/>
        <v>34541.377145149025</v>
      </c>
      <c r="J177" s="139">
        <f t="shared" ca="1" si="59"/>
        <v>2045984.8733392949</v>
      </c>
      <c r="K177" s="77">
        <f t="shared" ca="1" si="60"/>
        <v>2.2992436669647412E-2</v>
      </c>
      <c r="L177" s="137">
        <f t="shared" ca="1" si="61"/>
        <v>45984.87333929482</v>
      </c>
      <c r="M177" s="139">
        <f t="shared" ca="1" si="62"/>
        <v>2092049.812156009</v>
      </c>
      <c r="N177" s="77">
        <f t="shared" ca="1" si="63"/>
        <v>4.6024906078004447E-2</v>
      </c>
      <c r="O177" s="137">
        <f t="shared" ca="1" si="64"/>
        <v>92049.812156008891</v>
      </c>
    </row>
    <row r="178" spans="1:15" ht="16.5" customHeight="1">
      <c r="A178" s="153">
        <v>5</v>
      </c>
      <c r="B178" s="153" t="str">
        <f>TEXT(투자전략!$G$1+4, "[$-ko-KR]yyyy.mm.dd")</f>
        <v>2021.07.05</v>
      </c>
      <c r="C178" s="135">
        <f t="shared" ca="1" si="52"/>
        <v>2000000</v>
      </c>
      <c r="D178" s="139">
        <f t="shared" ca="1" si="53"/>
        <v>1980173.0435399646</v>
      </c>
      <c r="E178" s="77">
        <f t="shared" ca="1" si="54"/>
        <v>-9.9134782300177825E-3</v>
      </c>
      <c r="F178" s="137">
        <f t="shared" ca="1" si="55"/>
        <v>-19826.956460035562</v>
      </c>
      <c r="G178" s="139">
        <f t="shared" ca="1" si="56"/>
        <v>2047716.0805532227</v>
      </c>
      <c r="H178" s="77">
        <f t="shared" ca="1" si="57"/>
        <v>2.3858040276611391E-2</v>
      </c>
      <c r="I178" s="137">
        <f t="shared" ca="1" si="58"/>
        <v>47716.080553222768</v>
      </c>
      <c r="J178" s="139">
        <f t="shared" ca="1" si="59"/>
        <v>1926659.5360173339</v>
      </c>
      <c r="K178" s="77">
        <f t="shared" ca="1" si="60"/>
        <v>-3.6670231991333117E-2</v>
      </c>
      <c r="L178" s="137">
        <f t="shared" ca="1" si="61"/>
        <v>-73340.463982666231</v>
      </c>
      <c r="M178" s="139">
        <f t="shared" ca="1" si="62"/>
        <v>1972934.6731713554</v>
      </c>
      <c r="N178" s="77">
        <f t="shared" ca="1" si="63"/>
        <v>-1.3532663414322405E-2</v>
      </c>
      <c r="O178" s="137">
        <f t="shared" ca="1" si="64"/>
        <v>-27065.326828644807</v>
      </c>
    </row>
    <row r="179" spans="1:15" ht="16.5" customHeight="1">
      <c r="A179" s="153">
        <v>6</v>
      </c>
      <c r="B179" s="153" t="str">
        <f>TEXT(투자전략!$G$1+5, "[$-ko-KR]yyyy.mm.dd")</f>
        <v>2021.07.06</v>
      </c>
      <c r="C179" s="135">
        <f t="shared" ca="1" si="52"/>
        <v>2000000</v>
      </c>
      <c r="D179" s="139">
        <f t="shared" ca="1" si="53"/>
        <v>2057107.9900287534</v>
      </c>
      <c r="E179" s="77">
        <f t="shared" ca="1" si="54"/>
        <v>2.8553995014376814E-2</v>
      </c>
      <c r="F179" s="137">
        <f t="shared" ca="1" si="55"/>
        <v>57107.990028753644</v>
      </c>
      <c r="G179" s="139">
        <f t="shared" ca="1" si="56"/>
        <v>2018144.2165988893</v>
      </c>
      <c r="H179" s="77">
        <f t="shared" ca="1" si="57"/>
        <v>9.0721082994448029E-3</v>
      </c>
      <c r="I179" s="137">
        <f t="shared" ca="1" si="58"/>
        <v>18144.216598889612</v>
      </c>
      <c r="J179" s="139">
        <f t="shared" ca="1" si="59"/>
        <v>2033207.4731343845</v>
      </c>
      <c r="K179" s="77">
        <f t="shared" ca="1" si="60"/>
        <v>1.6603736567192377E-2</v>
      </c>
      <c r="L179" s="137">
        <f t="shared" ca="1" si="61"/>
        <v>33207.473134384767</v>
      </c>
      <c r="M179" s="139">
        <f t="shared" ca="1" si="62"/>
        <v>2036103.0562733982</v>
      </c>
      <c r="N179" s="77">
        <f t="shared" ca="1" si="63"/>
        <v>1.8051528136699017E-2</v>
      </c>
      <c r="O179" s="137">
        <f t="shared" ca="1" si="64"/>
        <v>36103.056273398048</v>
      </c>
    </row>
    <row r="180" spans="1:15" ht="16.5" customHeight="1" thickBot="1">
      <c r="A180" s="155">
        <v>7</v>
      </c>
      <c r="B180" s="155" t="str">
        <f>TEXT(투자전략!$G$1+6, "[$-ko-KR]yyyy.mm.dd")</f>
        <v>2021.07.07</v>
      </c>
      <c r="C180" s="135">
        <f t="shared" ca="1" si="52"/>
        <v>2000000</v>
      </c>
      <c r="D180" s="139">
        <f t="shared" ca="1" si="53"/>
        <v>2015414.9657252606</v>
      </c>
      <c r="E180" s="77">
        <f t="shared" ca="1" si="54"/>
        <v>7.7074828626301937E-3</v>
      </c>
      <c r="F180" s="137">
        <f t="shared" ca="1" si="55"/>
        <v>15414.96572526039</v>
      </c>
      <c r="G180" s="139">
        <f t="shared" ca="1" si="56"/>
        <v>2016570.5581794379</v>
      </c>
      <c r="H180" s="77">
        <f t="shared" ca="1" si="57"/>
        <v>8.2852790897189089E-3</v>
      </c>
      <c r="I180" s="137">
        <f t="shared" ca="1" si="58"/>
        <v>16570.558179437819</v>
      </c>
      <c r="J180" s="139">
        <f t="shared" ca="1" si="59"/>
        <v>2034986.9836687348</v>
      </c>
      <c r="K180" s="77">
        <f t="shared" ca="1" si="60"/>
        <v>1.7493491834367429E-2</v>
      </c>
      <c r="L180" s="137">
        <f t="shared" ca="1" si="61"/>
        <v>34986.983668734858</v>
      </c>
      <c r="M180" s="139">
        <f t="shared" ca="1" si="62"/>
        <v>2033843.9664530538</v>
      </c>
      <c r="N180" s="77">
        <f t="shared" ca="1" si="63"/>
        <v>1.6921983226526882E-2</v>
      </c>
      <c r="O180" s="137">
        <f t="shared" ca="1" si="64"/>
        <v>33843.966453053763</v>
      </c>
    </row>
    <row r="181" spans="1:15" ht="16.5" customHeight="1">
      <c r="A181" s="154">
        <v>8</v>
      </c>
      <c r="B181" s="154" t="str">
        <f>TEXT(투자전략!$G$1+7, "[$-ko-KR]yyyy.mm.dd")</f>
        <v>2021.07.08</v>
      </c>
      <c r="C181" s="134">
        <f t="shared" ca="1" si="52"/>
        <v>2000000</v>
      </c>
      <c r="D181" s="142">
        <f t="shared" ca="1" si="53"/>
        <v>1895642.2619766057</v>
      </c>
      <c r="E181" s="76">
        <f t="shared" ca="1" si="54"/>
        <v>-5.217886901169709E-2</v>
      </c>
      <c r="F181" s="141">
        <f t="shared" ca="1" si="55"/>
        <v>-104357.73802339418</v>
      </c>
      <c r="G181" s="142">
        <f t="shared" ca="1" si="56"/>
        <v>1804702.4105661474</v>
      </c>
      <c r="H181" s="76">
        <f t="shared" ca="1" si="57"/>
        <v>-9.7648794716926321E-2</v>
      </c>
      <c r="I181" s="141">
        <f t="shared" ca="1" si="58"/>
        <v>-195297.58943385264</v>
      </c>
      <c r="J181" s="142">
        <f t="shared" ca="1" si="59"/>
        <v>1807659.4816053209</v>
      </c>
      <c r="K181" s="76">
        <f t="shared" ca="1" si="60"/>
        <v>-9.6170259197339597E-2</v>
      </c>
      <c r="L181" s="141">
        <f t="shared" ca="1" si="61"/>
        <v>-192340.51839467915</v>
      </c>
      <c r="M181" s="142">
        <f t="shared" ca="1" si="62"/>
        <v>1822999.8886032591</v>
      </c>
      <c r="N181" s="76">
        <f t="shared" ca="1" si="63"/>
        <v>-8.8500055698370522E-2</v>
      </c>
      <c r="O181" s="141">
        <f t="shared" ca="1" si="64"/>
        <v>-177000.11139674098</v>
      </c>
    </row>
    <row r="182" spans="1:15" ht="16.5" customHeight="1">
      <c r="A182" s="153">
        <v>9</v>
      </c>
      <c r="B182" s="153" t="str">
        <f>TEXT(투자전략!$G$1+8, "[$-ko-KR]yyyy.mm.dd")</f>
        <v>2021.07.09</v>
      </c>
      <c r="C182" s="135">
        <f t="shared" ca="1" si="52"/>
        <v>2000000</v>
      </c>
      <c r="D182" s="139">
        <f t="shared" ca="1" si="53"/>
        <v>1926572.387289698</v>
      </c>
      <c r="E182" s="77">
        <f t="shared" ca="1" si="54"/>
        <v>-3.6713806355150931E-2</v>
      </c>
      <c r="F182" s="137">
        <f t="shared" ca="1" si="55"/>
        <v>-73427.612710301866</v>
      </c>
      <c r="G182" s="139">
        <f t="shared" ca="1" si="56"/>
        <v>1867922.3716715432</v>
      </c>
      <c r="H182" s="77">
        <f t="shared" ca="1" si="57"/>
        <v>-6.6038814164228438E-2</v>
      </c>
      <c r="I182" s="137">
        <f t="shared" ca="1" si="58"/>
        <v>-132077.62832845689</v>
      </c>
      <c r="J182" s="139">
        <f t="shared" ca="1" si="59"/>
        <v>1850828.9752732811</v>
      </c>
      <c r="K182" s="77">
        <f t="shared" ca="1" si="60"/>
        <v>-7.4585512363359446E-2</v>
      </c>
      <c r="L182" s="137">
        <f t="shared" ca="1" si="61"/>
        <v>-149171.02472671887</v>
      </c>
      <c r="M182" s="139">
        <f t="shared" ca="1" si="62"/>
        <v>1920327.1573182901</v>
      </c>
      <c r="N182" s="77">
        <f t="shared" ca="1" si="63"/>
        <v>-3.983642134085498E-2</v>
      </c>
      <c r="O182" s="137">
        <f t="shared" ca="1" si="64"/>
        <v>-79672.842681709939</v>
      </c>
    </row>
    <row r="183" spans="1:15" ht="16.5" customHeight="1">
      <c r="A183" s="153">
        <v>10</v>
      </c>
      <c r="B183" s="153" t="str">
        <f>TEXT(투자전략!$G$1+9, "[$-ko-KR]yyyy.mm.dd")</f>
        <v>2021.07.10</v>
      </c>
      <c r="C183" s="135">
        <f t="shared" ca="1" si="52"/>
        <v>2000000</v>
      </c>
      <c r="D183" s="139">
        <f t="shared" ca="1" si="53"/>
        <v>2079704.2157086621</v>
      </c>
      <c r="E183" s="77">
        <f t="shared" ca="1" si="54"/>
        <v>3.985210785433109E-2</v>
      </c>
      <c r="F183" s="137">
        <f t="shared" ca="1" si="55"/>
        <v>79704.215708662203</v>
      </c>
      <c r="G183" s="139">
        <f t="shared" ca="1" si="56"/>
        <v>2072840.2703975171</v>
      </c>
      <c r="H183" s="77">
        <f t="shared" ca="1" si="57"/>
        <v>3.6420135198758453E-2</v>
      </c>
      <c r="I183" s="137">
        <f t="shared" ca="1" si="58"/>
        <v>72840.270397516899</v>
      </c>
      <c r="J183" s="139">
        <f t="shared" ca="1" si="59"/>
        <v>2077199.4683404071</v>
      </c>
      <c r="K183" s="77">
        <f t="shared" ca="1" si="60"/>
        <v>3.8599734170203487E-2</v>
      </c>
      <c r="L183" s="137">
        <f t="shared" ca="1" si="61"/>
        <v>77199.468340406995</v>
      </c>
      <c r="M183" s="139">
        <f t="shared" ca="1" si="62"/>
        <v>2063919.5212141254</v>
      </c>
      <c r="N183" s="77">
        <f t="shared" ca="1" si="63"/>
        <v>3.1959760607062696E-2</v>
      </c>
      <c r="O183" s="137">
        <f t="shared" ca="1" si="64"/>
        <v>63919.521214125409</v>
      </c>
    </row>
    <row r="184" spans="1:15" ht="16.5" customHeight="1">
      <c r="A184" s="153">
        <v>11</v>
      </c>
      <c r="B184" s="153" t="str">
        <f>TEXT(투자전략!$G$1+10, "[$-ko-KR]yyyy.mm.dd")</f>
        <v>2021.07.11</v>
      </c>
      <c r="C184" s="135">
        <f t="shared" ca="1" si="52"/>
        <v>2000000</v>
      </c>
      <c r="D184" s="139">
        <f t="shared" ca="1" si="53"/>
        <v>1964353.7257674343</v>
      </c>
      <c r="E184" s="77">
        <f t="shared" ca="1" si="54"/>
        <v>-1.7823137116282826E-2</v>
      </c>
      <c r="F184" s="137">
        <f t="shared" ca="1" si="55"/>
        <v>-35646.274232565651</v>
      </c>
      <c r="G184" s="139">
        <f t="shared" ca="1" si="56"/>
        <v>2000000</v>
      </c>
      <c r="H184" s="77">
        <f t="shared" ca="1" si="57"/>
        <v>0</v>
      </c>
      <c r="I184" s="137">
        <f t="shared" ca="1" si="58"/>
        <v>0</v>
      </c>
      <c r="J184" s="139">
        <f t="shared" ca="1" si="59"/>
        <v>2021341.793428625</v>
      </c>
      <c r="K184" s="77">
        <f t="shared" ca="1" si="60"/>
        <v>1.0670896714312433E-2</v>
      </c>
      <c r="L184" s="137">
        <f t="shared" ca="1" si="61"/>
        <v>21341.793428624867</v>
      </c>
      <c r="M184" s="139">
        <f t="shared" ca="1" si="62"/>
        <v>2027072.4092787753</v>
      </c>
      <c r="N184" s="77">
        <f t="shared" ca="1" si="63"/>
        <v>1.3536204639387664E-2</v>
      </c>
      <c r="O184" s="137">
        <f t="shared" ca="1" si="64"/>
        <v>27072.409278775325</v>
      </c>
    </row>
    <row r="185" spans="1:15" ht="16.5" customHeight="1">
      <c r="A185" s="153">
        <v>12</v>
      </c>
      <c r="B185" s="153" t="str">
        <f>TEXT(투자전략!$G$1+11, "[$-ko-KR]yyyy.mm.dd")</f>
        <v>2021.07.12</v>
      </c>
      <c r="C185" s="135">
        <f t="shared" ca="1" si="52"/>
        <v>2000000</v>
      </c>
      <c r="D185" s="139">
        <f t="shared" ca="1" si="53"/>
        <v>2000000</v>
      </c>
      <c r="E185" s="77">
        <f t="shared" ca="1" si="54"/>
        <v>0</v>
      </c>
      <c r="F185" s="137">
        <f t="shared" ca="1" si="55"/>
        <v>0</v>
      </c>
      <c r="G185" s="139">
        <f t="shared" ca="1" si="56"/>
        <v>2000000</v>
      </c>
      <c r="H185" s="77">
        <f t="shared" ca="1" si="57"/>
        <v>0</v>
      </c>
      <c r="I185" s="137">
        <f t="shared" ca="1" si="58"/>
        <v>0</v>
      </c>
      <c r="J185" s="139">
        <f t="shared" ca="1" si="59"/>
        <v>2000000</v>
      </c>
      <c r="K185" s="77">
        <f t="shared" ca="1" si="60"/>
        <v>0</v>
      </c>
      <c r="L185" s="137">
        <f t="shared" ca="1" si="61"/>
        <v>0</v>
      </c>
      <c r="M185" s="139">
        <f t="shared" ca="1" si="62"/>
        <v>2000000</v>
      </c>
      <c r="N185" s="77">
        <f t="shared" ca="1" si="63"/>
        <v>0</v>
      </c>
      <c r="O185" s="137">
        <f t="shared" ca="1" si="64"/>
        <v>0</v>
      </c>
    </row>
    <row r="186" spans="1:15" ht="16.5" customHeight="1">
      <c r="A186" s="153">
        <v>13</v>
      </c>
      <c r="B186" s="153" t="str">
        <f>TEXT(투자전략!$G$1+12, "[$-ko-KR]yyyy.mm.dd")</f>
        <v>2021.07.13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2021.07.14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2021.07.15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2021.07.16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2021.07.17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2021.07.18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2021.07.19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2021.07.20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2021.07.21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2021.07.22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2021.07.23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2021.07.24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2021.07.25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2021.07.26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2021.07.27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2021.07.28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2021.07.29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2021.07.30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55" t="s">
        <v>284</v>
      </c>
      <c r="B205" s="257"/>
      <c r="C205" s="132" t="s">
        <v>279</v>
      </c>
      <c r="D205" s="150" t="s">
        <v>280</v>
      </c>
      <c r="E205" s="151" t="s">
        <v>281</v>
      </c>
      <c r="F205" s="152" t="s">
        <v>282</v>
      </c>
      <c r="G205" s="150" t="s">
        <v>280</v>
      </c>
      <c r="H205" s="151" t="s">
        <v>281</v>
      </c>
      <c r="I205" s="152" t="s">
        <v>282</v>
      </c>
      <c r="J205" s="150" t="s">
        <v>280</v>
      </c>
      <c r="K205" s="151" t="s">
        <v>281</v>
      </c>
      <c r="L205" s="152" t="s">
        <v>282</v>
      </c>
      <c r="M205" s="150" t="s">
        <v>280</v>
      </c>
      <c r="N205" s="151" t="s">
        <v>281</v>
      </c>
      <c r="O205" s="152" t="s">
        <v>282</v>
      </c>
    </row>
    <row r="206" spans="1:15" ht="16.5" customHeight="1" thickBot="1">
      <c r="A206" s="248"/>
      <c r="B206" s="250"/>
      <c r="C206" s="136">
        <f ca="1">SUM(C174:C204)</f>
        <v>24000000</v>
      </c>
      <c r="D206" s="140">
        <f ca="1">SUM(D174:D204)</f>
        <v>24258647.52258271</v>
      </c>
      <c r="E206" s="79">
        <f ca="1">IFERROR(F206 / (SUM($C174:$C204) / COUNT($C174:$C204)), 0)</f>
        <v>0.12932376129135575</v>
      </c>
      <c r="F206" s="138">
        <f ca="1">SUM(F174:F204)</f>
        <v>258647.52258271154</v>
      </c>
      <c r="G206" s="140">
        <f ca="1">SUM(G174:G204)</f>
        <v>24090452.789903115</v>
      </c>
      <c r="H206" s="79">
        <f ca="1">IFERROR(I206 / (SUM($C174:$C204) / COUNT($C174:$C204)), 0)</f>
        <v>4.5226394951557884E-2</v>
      </c>
      <c r="I206" s="138">
        <f ca="1">SUM(I174:I204)</f>
        <v>90452.789903115772</v>
      </c>
      <c r="J206" s="140">
        <f ca="1">SUM(J174:J204)</f>
        <v>24125729.777457327</v>
      </c>
      <c r="K206" s="79">
        <f ca="1">IFERROR(L206 / (SUM($C174:$C204) / COUNT($C174:$C204)), 0)</f>
        <v>6.2864888728663235E-2</v>
      </c>
      <c r="L206" s="138">
        <f ca="1">SUM(L174:L204)</f>
        <v>125729.77745732646</v>
      </c>
      <c r="M206" s="140">
        <f ca="1">SUM(M174:M204)</f>
        <v>24312721.796782274</v>
      </c>
      <c r="N206" s="79">
        <f ca="1">IFERROR(O206 / (SUM($C174:$C204) / COUNT($C174:$C204)), 0)</f>
        <v>0.15636089839113751</v>
      </c>
      <c r="O206" s="138">
        <f ca="1">SUM(O174:O204)</f>
        <v>312721.79678227502</v>
      </c>
    </row>
    <row r="208" spans="1:15" ht="16.5" customHeight="1" thickBot="1"/>
    <row r="209" spans="1:15" ht="16.5" customHeight="1" thickBot="1">
      <c r="A209" s="227" t="str">
        <f>TEXT(투자전략!$G$1, "[$-ko-KR]yyyy년 mm월 ") &amp; "[동전코인] 전일대비 상승률 Bottom20 월말결산"</f>
        <v>2021년 07월 [동전코인] 전일대비 상승률 Bottom20 월말결산</v>
      </c>
      <c r="B209" s="228"/>
      <c r="C209" s="228"/>
      <c r="D209" s="228"/>
      <c r="E209" s="228"/>
      <c r="F209" s="228"/>
      <c r="G209" s="228"/>
      <c r="H209" s="228"/>
      <c r="I209" s="228"/>
      <c r="J209" s="228"/>
      <c r="K209" s="228"/>
      <c r="L209" s="228"/>
      <c r="M209" s="228"/>
      <c r="N209" s="228"/>
      <c r="O209" s="229"/>
    </row>
    <row r="210" spans="1:15" ht="16.5" customHeight="1" thickBot="1">
      <c r="A210" s="271" t="s">
        <v>285</v>
      </c>
      <c r="B210" s="248" t="s">
        <v>283</v>
      </c>
      <c r="C210" s="250"/>
      <c r="D210" s="248" t="s">
        <v>275</v>
      </c>
      <c r="E210" s="249"/>
      <c r="F210" s="250"/>
      <c r="G210" s="248" t="s">
        <v>276</v>
      </c>
      <c r="H210" s="249"/>
      <c r="I210" s="250"/>
      <c r="J210" s="248" t="s">
        <v>277</v>
      </c>
      <c r="K210" s="249"/>
      <c r="L210" s="250"/>
      <c r="M210" s="248" t="s">
        <v>278</v>
      </c>
      <c r="N210" s="249"/>
      <c r="O210" s="250"/>
    </row>
    <row r="211" spans="1:15" ht="16.5" customHeight="1" thickBot="1">
      <c r="A211" s="264"/>
      <c r="B211" s="154" t="s">
        <v>273</v>
      </c>
      <c r="C211" s="154" t="s">
        <v>42</v>
      </c>
      <c r="D211" s="121" t="s">
        <v>274</v>
      </c>
      <c r="E211" s="133" t="s">
        <v>40</v>
      </c>
      <c r="F211" s="156" t="s">
        <v>41</v>
      </c>
      <c r="G211" s="121" t="s">
        <v>274</v>
      </c>
      <c r="H211" s="133" t="s">
        <v>40</v>
      </c>
      <c r="I211" s="156" t="s">
        <v>41</v>
      </c>
      <c r="J211" s="121" t="s">
        <v>274</v>
      </c>
      <c r="K211" s="133" t="s">
        <v>40</v>
      </c>
      <c r="L211" s="156" t="s">
        <v>41</v>
      </c>
      <c r="M211" s="121" t="s">
        <v>274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2021.07.01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2053367.9551931329</v>
      </c>
      <c r="E212" s="76">
        <f ca="1">IFERROR(INDIRECT($B212&amp;"!E172"), "")</f>
        <v>2.6683977596566329E-2</v>
      </c>
      <c r="F212" s="141">
        <f ca="1">IFERROR(INDIRECT($B212&amp;"!F172"), "")</f>
        <v>53367.955193132657</v>
      </c>
      <c r="G212" s="142">
        <f ca="1">IFERROR($C212 * (1 + H212), "")</f>
        <v>1995646.2386028017</v>
      </c>
      <c r="H212" s="76">
        <f ca="1">IFERROR(INDIRECT($B212&amp;"!H172"), "")</f>
        <v>-2.1768806985991542E-3</v>
      </c>
      <c r="I212" s="141">
        <f ca="1">IFERROR(INDIRECT($B212&amp;"!I172"), "")</f>
        <v>-4353.7613971983083</v>
      </c>
      <c r="J212" s="142">
        <f ca="1">IFERROR($C212 * (1 + K212), "")</f>
        <v>2035645.2631677291</v>
      </c>
      <c r="K212" s="76">
        <f ca="1">IFERROR(INDIRECT($B212&amp;"!K172"), "")</f>
        <v>1.7822631583864639E-2</v>
      </c>
      <c r="L212" s="141">
        <f ca="1">IFERROR(INDIRECT($B212&amp;"!L172"), "")</f>
        <v>35645.263167729281</v>
      </c>
      <c r="M212" s="142">
        <f ca="1">IFERROR($C212 * (1 + N212), "")</f>
        <v>2039624.6123060836</v>
      </c>
      <c r="N212" s="76">
        <f ca="1">IFERROR(INDIRECT($B212&amp;"!N172"), "")</f>
        <v>1.9812306153041772E-2</v>
      </c>
      <c r="O212" s="141">
        <f ca="1">IFERROR(INDIRECT($B212&amp;"!O172"), "")</f>
        <v>39624.612306083538</v>
      </c>
    </row>
    <row r="213" spans="1:15" ht="16.5" customHeight="1">
      <c r="A213" s="153">
        <v>2</v>
      </c>
      <c r="B213" s="153" t="str">
        <f>TEXT(투자전략!$G$1+1, "[$-ko-KR]yyyy.mm.dd")</f>
        <v>2021.07.02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1904517.5787272968</v>
      </c>
      <c r="E213" s="77">
        <f t="shared" ref="E213:E242" ca="1" si="67">IFERROR(INDIRECT($B213&amp;"!E172"), "")</f>
        <v>-4.7741210636351582E-2</v>
      </c>
      <c r="F213" s="137">
        <f t="shared" ref="F213:F242" ca="1" si="68">IFERROR(INDIRECT($B213&amp;"!F172"), "")</f>
        <v>-95482.42127270317</v>
      </c>
      <c r="G213" s="139">
        <f t="shared" ref="G213:G242" ca="1" si="69">IFERROR($C213 * (1 + H213), "")</f>
        <v>1859810.1684706078</v>
      </c>
      <c r="H213" s="77">
        <f t="shared" ref="H213:H242" ca="1" si="70">IFERROR(INDIRECT($B213&amp;"!H172"), "")</f>
        <v>-7.0094915764696092E-2</v>
      </c>
      <c r="I213" s="137">
        <f t="shared" ref="I213:I242" ca="1" si="71">IFERROR(INDIRECT($B213&amp;"!I172"), "")</f>
        <v>-140189.83152939219</v>
      </c>
      <c r="J213" s="139">
        <f t="shared" ref="J213:J242" ca="1" si="72">IFERROR($C213 * (1 + K213), "")</f>
        <v>1870100.611812334</v>
      </c>
      <c r="K213" s="77">
        <f t="shared" ref="K213:K242" ca="1" si="73">IFERROR(INDIRECT($B213&amp;"!K172"), "")</f>
        <v>-6.4949694093832985E-2</v>
      </c>
      <c r="L213" s="137">
        <f t="shared" ref="L213:L242" ca="1" si="74">IFERROR(INDIRECT($B213&amp;"!L172"), "")</f>
        <v>-129899.38818766599</v>
      </c>
      <c r="M213" s="139">
        <f t="shared" ref="M213:M242" ca="1" si="75">IFERROR($C213 * (1 + N213), "")</f>
        <v>1901084.5917148252</v>
      </c>
      <c r="N213" s="77">
        <f t="shared" ref="N213:N242" ca="1" si="76">IFERROR(INDIRECT($B213&amp;"!N172"), "")</f>
        <v>-4.945770414258728E-2</v>
      </c>
      <c r="O213" s="137">
        <f t="shared" ref="O213:O242" ca="1" si="77">IFERROR(INDIRECT($B213&amp;"!O172"), "")</f>
        <v>-98915.408285174562</v>
      </c>
    </row>
    <row r="214" spans="1:15" ht="16.5" customHeight="1">
      <c r="A214" s="153">
        <v>3</v>
      </c>
      <c r="B214" s="153" t="str">
        <f>TEXT(투자전략!$G$1+2, "[$-ko-KR]yyyy.mm.dd")</f>
        <v>2021.07.03</v>
      </c>
      <c r="C214" s="135">
        <f t="shared" ca="1" si="65"/>
        <v>2000000</v>
      </c>
      <c r="D214" s="139">
        <f t="shared" ca="1" si="66"/>
        <v>2096999.78920633</v>
      </c>
      <c r="E214" s="77">
        <f t="shared" ca="1" si="67"/>
        <v>4.8499894603165013E-2</v>
      </c>
      <c r="F214" s="137">
        <f t="shared" ca="1" si="68"/>
        <v>92149.799746013523</v>
      </c>
      <c r="G214" s="139">
        <f t="shared" ca="1" si="69"/>
        <v>2116055.9010305959</v>
      </c>
      <c r="H214" s="77">
        <f t="shared" ca="1" si="70"/>
        <v>5.8027950515297938E-2</v>
      </c>
      <c r="I214" s="137">
        <f t="shared" ca="1" si="71"/>
        <v>110253.10597906608</v>
      </c>
      <c r="J214" s="139">
        <f t="shared" ca="1" si="72"/>
        <v>2118614.7083505932</v>
      </c>
      <c r="K214" s="77">
        <f t="shared" ca="1" si="73"/>
        <v>5.930735417529661E-2</v>
      </c>
      <c r="L214" s="137">
        <f t="shared" ca="1" si="74"/>
        <v>112683.97293306356</v>
      </c>
      <c r="M214" s="139">
        <f t="shared" ca="1" si="75"/>
        <v>2138026.2588736741</v>
      </c>
      <c r="N214" s="77">
        <f t="shared" ca="1" si="76"/>
        <v>6.9013129436837059E-2</v>
      </c>
      <c r="O214" s="137">
        <f t="shared" ca="1" si="77"/>
        <v>131124.94592999038</v>
      </c>
    </row>
    <row r="215" spans="1:15" ht="16.5" customHeight="1">
      <c r="A215" s="153">
        <v>4</v>
      </c>
      <c r="B215" s="153" t="str">
        <f>TEXT(투자전략!$G$1+3, "[$-ko-KR]yyyy.mm.dd")</f>
        <v>2021.07.04</v>
      </c>
      <c r="C215" s="135">
        <f t="shared" ca="1" si="65"/>
        <v>2000000</v>
      </c>
      <c r="D215" s="139">
        <f t="shared" ca="1" si="66"/>
        <v>2076130.9287867756</v>
      </c>
      <c r="E215" s="77">
        <f t="shared" ca="1" si="67"/>
        <v>3.8065464393387816E-2</v>
      </c>
      <c r="F215" s="137">
        <f t="shared" ca="1" si="68"/>
        <v>76130.928786775665</v>
      </c>
      <c r="G215" s="139">
        <f t="shared" ca="1" si="69"/>
        <v>2081416.6101534171</v>
      </c>
      <c r="H215" s="77">
        <f t="shared" ca="1" si="70"/>
        <v>4.0708305076708459E-2</v>
      </c>
      <c r="I215" s="137">
        <f t="shared" ca="1" si="71"/>
        <v>81416.610153416928</v>
      </c>
      <c r="J215" s="139">
        <f t="shared" ca="1" si="72"/>
        <v>2090272.2814621693</v>
      </c>
      <c r="K215" s="77">
        <f t="shared" ca="1" si="73"/>
        <v>4.5136140731084559E-2</v>
      </c>
      <c r="L215" s="137">
        <f t="shared" ca="1" si="74"/>
        <v>90272.281462169107</v>
      </c>
      <c r="M215" s="139">
        <f t="shared" ca="1" si="75"/>
        <v>2085969.3000713545</v>
      </c>
      <c r="N215" s="77">
        <f t="shared" ca="1" si="76"/>
        <v>4.2984650035677134E-2</v>
      </c>
      <c r="O215" s="137">
        <f t="shared" ca="1" si="77"/>
        <v>85969.300071354271</v>
      </c>
    </row>
    <row r="216" spans="1:15" ht="16.5" customHeight="1">
      <c r="A216" s="153">
        <v>5</v>
      </c>
      <c r="B216" s="153" t="str">
        <f>TEXT(투자전략!$G$1+4, "[$-ko-KR]yyyy.mm.dd")</f>
        <v>2021.07.05</v>
      </c>
      <c r="C216" s="135">
        <f t="shared" ca="1" si="65"/>
        <v>2000000</v>
      </c>
      <c r="D216" s="139">
        <f t="shared" ca="1" si="66"/>
        <v>1951415.100132612</v>
      </c>
      <c r="E216" s="77">
        <f t="shared" ca="1" si="67"/>
        <v>-2.4292449933693987E-2</v>
      </c>
      <c r="F216" s="137">
        <f t="shared" ca="1" si="68"/>
        <v>-48584.899867387983</v>
      </c>
      <c r="G216" s="139">
        <f t="shared" ca="1" si="69"/>
        <v>1985474.4951917883</v>
      </c>
      <c r="H216" s="77">
        <f t="shared" ca="1" si="70"/>
        <v>-7.2627524041058824E-3</v>
      </c>
      <c r="I216" s="137">
        <f t="shared" ca="1" si="71"/>
        <v>-14525.504808211761</v>
      </c>
      <c r="J216" s="139">
        <f t="shared" ca="1" si="72"/>
        <v>1898140.8439878812</v>
      </c>
      <c r="K216" s="77">
        <f t="shared" ca="1" si="73"/>
        <v>-5.0929578006059392E-2</v>
      </c>
      <c r="L216" s="137">
        <f t="shared" ca="1" si="74"/>
        <v>-101859.15601211881</v>
      </c>
      <c r="M216" s="139">
        <f t="shared" ca="1" si="75"/>
        <v>1931993.7991484145</v>
      </c>
      <c r="N216" s="77">
        <f t="shared" ca="1" si="76"/>
        <v>-3.4003100425792854E-2</v>
      </c>
      <c r="O216" s="137">
        <f t="shared" ca="1" si="77"/>
        <v>-68006.200851585731</v>
      </c>
    </row>
    <row r="217" spans="1:15" ht="16.5" customHeight="1">
      <c r="A217" s="153">
        <v>6</v>
      </c>
      <c r="B217" s="153" t="str">
        <f>TEXT(투자전략!$G$1+5, "[$-ko-KR]yyyy.mm.dd")</f>
        <v>2021.07.06</v>
      </c>
      <c r="C217" s="135">
        <f t="shared" ca="1" si="65"/>
        <v>2000000</v>
      </c>
      <c r="D217" s="139">
        <f t="shared" ca="1" si="66"/>
        <v>2066723.9848729321</v>
      </c>
      <c r="E217" s="77">
        <f t="shared" ca="1" si="67"/>
        <v>3.3361992436466162E-2</v>
      </c>
      <c r="F217" s="137">
        <f t="shared" ca="1" si="68"/>
        <v>66723.984872932328</v>
      </c>
      <c r="G217" s="139">
        <f t="shared" ca="1" si="69"/>
        <v>2038784.1557694762</v>
      </c>
      <c r="H217" s="77">
        <f t="shared" ca="1" si="70"/>
        <v>1.9392077884737988E-2</v>
      </c>
      <c r="I217" s="137">
        <f t="shared" ca="1" si="71"/>
        <v>38784.155769475969</v>
      </c>
      <c r="J217" s="139">
        <f t="shared" ca="1" si="72"/>
        <v>2050687.8095046547</v>
      </c>
      <c r="K217" s="77">
        <f t="shared" ca="1" si="73"/>
        <v>2.534390475232734E-2</v>
      </c>
      <c r="L217" s="137">
        <f t="shared" ca="1" si="74"/>
        <v>50687.809504654673</v>
      </c>
      <c r="M217" s="139">
        <f t="shared" ca="1" si="75"/>
        <v>2054026.975787167</v>
      </c>
      <c r="N217" s="77">
        <f t="shared" ca="1" si="76"/>
        <v>2.7013487893583588E-2</v>
      </c>
      <c r="O217" s="137">
        <f t="shared" ca="1" si="77"/>
        <v>54026.975787167168</v>
      </c>
    </row>
    <row r="218" spans="1:15" ht="16.5" customHeight="1" thickBot="1">
      <c r="A218" s="155">
        <v>7</v>
      </c>
      <c r="B218" s="155" t="str">
        <f>TEXT(투자전략!$G$1+6, "[$-ko-KR]yyyy.mm.dd")</f>
        <v>2021.07.07</v>
      </c>
      <c r="C218" s="135">
        <f t="shared" ca="1" si="65"/>
        <v>2000000</v>
      </c>
      <c r="D218" s="139">
        <f t="shared" ca="1" si="66"/>
        <v>2046083.5659664425</v>
      </c>
      <c r="E218" s="77">
        <f t="shared" ca="1" si="67"/>
        <v>2.304178298322121E-2</v>
      </c>
      <c r="F218" s="137">
        <f t="shared" ca="1" si="68"/>
        <v>46083.565966442424</v>
      </c>
      <c r="G218" s="139">
        <f t="shared" ca="1" si="69"/>
        <v>2040981.2201296007</v>
      </c>
      <c r="H218" s="77">
        <f t="shared" ca="1" si="70"/>
        <v>2.0490610064800269E-2</v>
      </c>
      <c r="I218" s="137">
        <f t="shared" ca="1" si="71"/>
        <v>40981.220129600544</v>
      </c>
      <c r="J218" s="139">
        <f t="shared" ca="1" si="72"/>
        <v>2074475.519228844</v>
      </c>
      <c r="K218" s="77">
        <f t="shared" ca="1" si="73"/>
        <v>3.7237759614422015E-2</v>
      </c>
      <c r="L218" s="137">
        <f t="shared" ca="1" si="74"/>
        <v>74475.519228844045</v>
      </c>
      <c r="M218" s="139">
        <f t="shared" ca="1" si="75"/>
        <v>2064221.7241263818</v>
      </c>
      <c r="N218" s="77">
        <f t="shared" ca="1" si="76"/>
        <v>3.2110862063190998E-2</v>
      </c>
      <c r="O218" s="137">
        <f t="shared" ca="1" si="77"/>
        <v>64221.724126382003</v>
      </c>
    </row>
    <row r="219" spans="1:15" ht="16.5" customHeight="1">
      <c r="A219" s="154">
        <v>8</v>
      </c>
      <c r="B219" s="154" t="str">
        <f>TEXT(투자전략!$G$1+7, "[$-ko-KR]yyyy.mm.dd")</f>
        <v>2021.07.08</v>
      </c>
      <c r="C219" s="134">
        <f t="shared" ca="1" si="65"/>
        <v>2000000</v>
      </c>
      <c r="D219" s="142">
        <f t="shared" ca="1" si="66"/>
        <v>1918147.2162628698</v>
      </c>
      <c r="E219" s="76">
        <f t="shared" ca="1" si="67"/>
        <v>-4.0926391868565018E-2</v>
      </c>
      <c r="F219" s="141">
        <f t="shared" ca="1" si="68"/>
        <v>-81852.783737130041</v>
      </c>
      <c r="G219" s="142">
        <f t="shared" ca="1" si="69"/>
        <v>1842234.6004132419</v>
      </c>
      <c r="H219" s="76">
        <f t="shared" ca="1" si="70"/>
        <v>-7.888269979337903E-2</v>
      </c>
      <c r="I219" s="141">
        <f t="shared" ca="1" si="71"/>
        <v>-157765.39958675805</v>
      </c>
      <c r="J219" s="142">
        <f t="shared" ca="1" si="72"/>
        <v>1844860.0475156663</v>
      </c>
      <c r="K219" s="76">
        <f t="shared" ca="1" si="73"/>
        <v>-7.7569976242166744E-2</v>
      </c>
      <c r="L219" s="141">
        <f t="shared" ca="1" si="74"/>
        <v>-155139.95248433351</v>
      </c>
      <c r="M219" s="142">
        <f t="shared" ca="1" si="75"/>
        <v>1858992.4169925493</v>
      </c>
      <c r="N219" s="76">
        <f t="shared" ca="1" si="76"/>
        <v>-7.0503791503725349E-2</v>
      </c>
      <c r="O219" s="141">
        <f t="shared" ca="1" si="77"/>
        <v>-141007.58300745071</v>
      </c>
    </row>
    <row r="220" spans="1:15" ht="16.5" customHeight="1">
      <c r="A220" s="153">
        <v>9</v>
      </c>
      <c r="B220" s="153" t="str">
        <f>TEXT(투자전략!$G$1+8, "[$-ko-KR]yyyy.mm.dd")</f>
        <v>2021.07.09</v>
      </c>
      <c r="C220" s="135">
        <f t="shared" ca="1" si="65"/>
        <v>2000000</v>
      </c>
      <c r="D220" s="139">
        <f t="shared" ca="1" si="66"/>
        <v>2028794.8520409346</v>
      </c>
      <c r="E220" s="77">
        <f t="shared" ca="1" si="67"/>
        <v>1.4397426020467247E-2</v>
      </c>
      <c r="F220" s="137">
        <f t="shared" ca="1" si="68"/>
        <v>28794.852040934493</v>
      </c>
      <c r="G220" s="139">
        <f t="shared" ca="1" si="69"/>
        <v>1961409.1290078682</v>
      </c>
      <c r="H220" s="77">
        <f t="shared" ca="1" si="70"/>
        <v>-1.9295435496065792E-2</v>
      </c>
      <c r="I220" s="137">
        <f t="shared" ca="1" si="71"/>
        <v>-38590.870992131575</v>
      </c>
      <c r="J220" s="139">
        <f t="shared" ca="1" si="72"/>
        <v>1956389.2431644523</v>
      </c>
      <c r="K220" s="77">
        <f t="shared" ca="1" si="73"/>
        <v>-2.1805378417773906E-2</v>
      </c>
      <c r="L220" s="137">
        <f t="shared" ca="1" si="74"/>
        <v>-43610.756835547807</v>
      </c>
      <c r="M220" s="139">
        <f t="shared" ca="1" si="75"/>
        <v>1995364.1149059983</v>
      </c>
      <c r="N220" s="77">
        <f t="shared" ca="1" si="76"/>
        <v>-2.3179425470007892E-3</v>
      </c>
      <c r="O220" s="137">
        <f t="shared" ca="1" si="77"/>
        <v>-4635.8850940015764</v>
      </c>
    </row>
    <row r="221" spans="1:15" ht="16.5" customHeight="1">
      <c r="A221" s="153">
        <v>10</v>
      </c>
      <c r="B221" s="153" t="str">
        <f>TEXT(투자전략!$G$1+9, "[$-ko-KR]yyyy.mm.dd")</f>
        <v>2021.07.10</v>
      </c>
      <c r="C221" s="135">
        <f t="shared" ca="1" si="65"/>
        <v>2000000</v>
      </c>
      <c r="D221" s="139">
        <f t="shared" ca="1" si="66"/>
        <v>2056174.3181790777</v>
      </c>
      <c r="E221" s="77">
        <f t="shared" ca="1" si="67"/>
        <v>2.8087159089538748E-2</v>
      </c>
      <c r="F221" s="137">
        <f t="shared" ca="1" si="68"/>
        <v>56174.318179077505</v>
      </c>
      <c r="G221" s="139">
        <f t="shared" ca="1" si="69"/>
        <v>2032615.5104553124</v>
      </c>
      <c r="H221" s="77">
        <f t="shared" ca="1" si="70"/>
        <v>1.6307755227656328E-2</v>
      </c>
      <c r="I221" s="137">
        <f t="shared" ca="1" si="71"/>
        <v>32615.510455312666</v>
      </c>
      <c r="J221" s="139">
        <f t="shared" ca="1" si="72"/>
        <v>2039901.6395532032</v>
      </c>
      <c r="K221" s="77">
        <f t="shared" ca="1" si="73"/>
        <v>1.9950819776601642E-2</v>
      </c>
      <c r="L221" s="137">
        <f t="shared" ca="1" si="74"/>
        <v>39901.639553203291</v>
      </c>
      <c r="M221" s="139">
        <f t="shared" ca="1" si="75"/>
        <v>2039561.3707665601</v>
      </c>
      <c r="N221" s="77">
        <f t="shared" ca="1" si="76"/>
        <v>1.9780685383279963E-2</v>
      </c>
      <c r="O221" s="137">
        <f t="shared" ca="1" si="77"/>
        <v>39561.370766559921</v>
      </c>
    </row>
    <row r="222" spans="1:15" ht="16.5" customHeight="1">
      <c r="A222" s="153">
        <v>11</v>
      </c>
      <c r="B222" s="153" t="str">
        <f>TEXT(투자전략!$G$1+10, "[$-ko-KR]yyyy.mm.dd")</f>
        <v>2021.07.11</v>
      </c>
      <c r="C222" s="135">
        <f t="shared" ca="1" si="65"/>
        <v>2000000</v>
      </c>
      <c r="D222" s="139">
        <f t="shared" ca="1" si="66"/>
        <v>1984275.1908048841</v>
      </c>
      <c r="E222" s="77">
        <f t="shared" ca="1" si="67"/>
        <v>-7.8624045975579336E-3</v>
      </c>
      <c r="F222" s="137">
        <f t="shared" ca="1" si="68"/>
        <v>-15724.809195115871</v>
      </c>
      <c r="G222" s="139">
        <f t="shared" ca="1" si="69"/>
        <v>2000000</v>
      </c>
      <c r="H222" s="77">
        <f t="shared" ca="1" si="70"/>
        <v>0</v>
      </c>
      <c r="I222" s="137">
        <f t="shared" ca="1" si="71"/>
        <v>0</v>
      </c>
      <c r="J222" s="139">
        <f t="shared" ca="1" si="72"/>
        <v>2016807.4216029411</v>
      </c>
      <c r="K222" s="77">
        <f t="shared" ca="1" si="73"/>
        <v>8.4037108014705496E-3</v>
      </c>
      <c r="L222" s="137">
        <f t="shared" ca="1" si="74"/>
        <v>16807.4216029411</v>
      </c>
      <c r="M222" s="139">
        <f t="shared" ca="1" si="75"/>
        <v>2034868.424834972</v>
      </c>
      <c r="N222" s="77">
        <f t="shared" ca="1" si="76"/>
        <v>1.7434212417485894E-2</v>
      </c>
      <c r="O222" s="137">
        <f t="shared" ca="1" si="77"/>
        <v>34868.424834971796</v>
      </c>
    </row>
    <row r="223" spans="1:15" ht="16.5" customHeight="1">
      <c r="A223" s="153">
        <v>12</v>
      </c>
      <c r="B223" s="153" t="str">
        <f>TEXT(투자전략!$G$1+11, "[$-ko-KR]yyyy.mm.dd")</f>
        <v>2021.07.12</v>
      </c>
      <c r="C223" s="135">
        <f t="shared" ca="1" si="65"/>
        <v>2000000</v>
      </c>
      <c r="D223" s="139">
        <f t="shared" ca="1" si="66"/>
        <v>2000000</v>
      </c>
      <c r="E223" s="77">
        <f t="shared" ca="1" si="67"/>
        <v>0</v>
      </c>
      <c r="F223" s="137">
        <f t="shared" ca="1" si="68"/>
        <v>0</v>
      </c>
      <c r="G223" s="139">
        <f t="shared" ca="1" si="69"/>
        <v>2000000</v>
      </c>
      <c r="H223" s="77">
        <f t="shared" ca="1" si="70"/>
        <v>0</v>
      </c>
      <c r="I223" s="137">
        <f t="shared" ca="1" si="71"/>
        <v>0</v>
      </c>
      <c r="J223" s="139">
        <f t="shared" ca="1" si="72"/>
        <v>2000000</v>
      </c>
      <c r="K223" s="77">
        <f t="shared" ca="1" si="73"/>
        <v>0</v>
      </c>
      <c r="L223" s="137">
        <f t="shared" ca="1" si="74"/>
        <v>0</v>
      </c>
      <c r="M223" s="139">
        <f t="shared" ca="1" si="75"/>
        <v>2000000</v>
      </c>
      <c r="N223" s="77">
        <f t="shared" ca="1" si="76"/>
        <v>0</v>
      </c>
      <c r="O223" s="137">
        <f t="shared" ca="1" si="77"/>
        <v>0</v>
      </c>
    </row>
    <row r="224" spans="1:15" ht="16.5" customHeight="1">
      <c r="A224" s="153">
        <v>13</v>
      </c>
      <c r="B224" s="153" t="str">
        <f>TEXT(투자전략!$G$1+12, "[$-ko-KR]yyyy.mm.dd")</f>
        <v>2021.07.13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2021.07.14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2021.07.15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2021.07.16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2021.07.17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2021.07.18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2021.07.19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2021.07.20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2021.07.21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2021.07.22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2021.07.23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2021.07.24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2021.07.25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2021.07.26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2021.07.27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2021.07.28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2021.07.29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2021.07.30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55" t="s">
        <v>284</v>
      </c>
      <c r="B243" s="257"/>
      <c r="C243" s="132" t="s">
        <v>279</v>
      </c>
      <c r="D243" s="150" t="s">
        <v>280</v>
      </c>
      <c r="E243" s="151" t="s">
        <v>281</v>
      </c>
      <c r="F243" s="152" t="s">
        <v>282</v>
      </c>
      <c r="G243" s="150" t="s">
        <v>280</v>
      </c>
      <c r="H243" s="151" t="s">
        <v>281</v>
      </c>
      <c r="I243" s="152" t="s">
        <v>282</v>
      </c>
      <c r="J243" s="150" t="s">
        <v>280</v>
      </c>
      <c r="K243" s="151" t="s">
        <v>281</v>
      </c>
      <c r="L243" s="152" t="s">
        <v>282</v>
      </c>
      <c r="M243" s="150" t="s">
        <v>280</v>
      </c>
      <c r="N243" s="151" t="s">
        <v>281</v>
      </c>
      <c r="O243" s="152" t="s">
        <v>282</v>
      </c>
    </row>
    <row r="244" spans="1:15" ht="16.5" customHeight="1" thickBot="1">
      <c r="A244" s="248"/>
      <c r="B244" s="250"/>
      <c r="C244" s="136">
        <f ca="1">SUM(C212:C242)</f>
        <v>24000000</v>
      </c>
      <c r="D244" s="140">
        <f ca="1">SUM(D212:D242)</f>
        <v>24182630.480173286</v>
      </c>
      <c r="E244" s="79">
        <f ca="1">IFERROR(F244 / (SUM($C212:$C242) / COUNT($C212:$C242)), 0)</f>
        <v>8.889024535648575E-2</v>
      </c>
      <c r="F244" s="138">
        <f ca="1">SUM(F212:F242)</f>
        <v>177780.49071297151</v>
      </c>
      <c r="G244" s="140">
        <f ca="1">SUM(G212:G242)</f>
        <v>23954428.029224709</v>
      </c>
      <c r="H244" s="79">
        <f ca="1">IFERROR(I244 / (SUM($C212:$C242) / COUNT($C212:$C242)), 0)</f>
        <v>-2.5687382913409846E-2</v>
      </c>
      <c r="I244" s="138">
        <f ca="1">SUM(I212:I242)</f>
        <v>-51374.76582681969</v>
      </c>
      <c r="J244" s="140">
        <f ca="1">SUM(J212:J242)</f>
        <v>23995895.38935047</v>
      </c>
      <c r="K244" s="79">
        <f ca="1">IFERROR(L244 / (SUM($C212:$C242) / COUNT($C212:$C242)), 0)</f>
        <v>-5.0176730335305198E-3</v>
      </c>
      <c r="L244" s="138">
        <f ca="1">SUM(L212:L242)</f>
        <v>-10035.34606706104</v>
      </c>
      <c r="M244" s="140">
        <f ca="1">SUM(M212:M242)</f>
        <v>24143733.589527979</v>
      </c>
      <c r="N244" s="79">
        <f ca="1">IFERROR(O244 / (SUM($C212:$C242) / COUNT($C212:$C242)), 0)</f>
        <v>6.8416138292148237E-2</v>
      </c>
      <c r="O244" s="138">
        <f ca="1">SUM(O212:O242)</f>
        <v>136832.27658429649</v>
      </c>
    </row>
    <row r="246" spans="1:15" ht="16.5" customHeight="1" thickBot="1"/>
    <row r="247" spans="1:15" ht="16.5" customHeight="1" thickBot="1">
      <c r="A247" s="227" t="str">
        <f>TEXT(투자전략!$G$1, "[$-ko-KR]yyyy년 mm월 ") &amp; "전일대비 상승률 Bottom20 월말결산"</f>
        <v>2021년 07월 전일대비 상승률 Bottom20 월말결산</v>
      </c>
      <c r="B247" s="228"/>
      <c r="C247" s="228"/>
      <c r="D247" s="228"/>
      <c r="E247" s="228"/>
      <c r="F247" s="228"/>
      <c r="G247" s="228"/>
      <c r="H247" s="228"/>
      <c r="I247" s="228"/>
      <c r="J247" s="228"/>
      <c r="K247" s="228"/>
      <c r="L247" s="228"/>
      <c r="M247" s="228"/>
      <c r="N247" s="228"/>
      <c r="O247" s="229"/>
    </row>
    <row r="248" spans="1:15" ht="16.5" customHeight="1" thickBot="1">
      <c r="A248" s="271" t="s">
        <v>285</v>
      </c>
      <c r="B248" s="248" t="s">
        <v>283</v>
      </c>
      <c r="C248" s="250"/>
      <c r="D248" s="248" t="s">
        <v>275</v>
      </c>
      <c r="E248" s="249"/>
      <c r="F248" s="250"/>
      <c r="G248" s="248" t="s">
        <v>276</v>
      </c>
      <c r="H248" s="249"/>
      <c r="I248" s="250"/>
      <c r="J248" s="248" t="s">
        <v>277</v>
      </c>
      <c r="K248" s="249"/>
      <c r="L248" s="250"/>
      <c r="M248" s="248" t="s">
        <v>278</v>
      </c>
      <c r="N248" s="249"/>
      <c r="O248" s="250"/>
    </row>
    <row r="249" spans="1:15" ht="16.5" customHeight="1" thickBot="1">
      <c r="A249" s="264"/>
      <c r="B249" s="154" t="s">
        <v>273</v>
      </c>
      <c r="C249" s="154" t="s">
        <v>42</v>
      </c>
      <c r="D249" s="121" t="s">
        <v>274</v>
      </c>
      <c r="E249" s="133" t="s">
        <v>40</v>
      </c>
      <c r="F249" s="156" t="s">
        <v>41</v>
      </c>
      <c r="G249" s="121" t="s">
        <v>274</v>
      </c>
      <c r="H249" s="133" t="s">
        <v>40</v>
      </c>
      <c r="I249" s="156" t="s">
        <v>41</v>
      </c>
      <c r="J249" s="121" t="s">
        <v>274</v>
      </c>
      <c r="K249" s="133" t="s">
        <v>40</v>
      </c>
      <c r="L249" s="156" t="s">
        <v>41</v>
      </c>
      <c r="M249" s="121" t="s">
        <v>274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2021.07.01</v>
      </c>
      <c r="C250" s="134">
        <f ca="1">IFERROR(COUNTA(INDIRECT($B250&amp;"!A179:A198")) * INDIRECT($B250&amp;"!B199"), "")</f>
        <v>2000000</v>
      </c>
      <c r="D250" s="142">
        <f ca="1">IFERROR($C250 * (1 + E250), "")</f>
        <v>2167176.1792341825</v>
      </c>
      <c r="E250" s="76">
        <f ca="1">IFERROR(INDIRECT($B250&amp;"!E199"), "")</f>
        <v>8.3588089617091244E-2</v>
      </c>
      <c r="F250" s="141">
        <f ca="1">IFERROR(INDIRECT($B250&amp;"!F199"), "")</f>
        <v>167176.17923418249</v>
      </c>
      <c r="G250" s="142">
        <f ca="1">IFERROR($C250 * (1 + H250), "")</f>
        <v>2043440.1239945448</v>
      </c>
      <c r="H250" s="76">
        <f ca="1">IFERROR(INDIRECT($B250&amp;"!H199"), "")</f>
        <v>2.1720061997272423E-2</v>
      </c>
      <c r="I250" s="141">
        <f ca="1">IFERROR(INDIRECT($B250&amp;"!I199"), "")</f>
        <v>43440.123994544847</v>
      </c>
      <c r="J250" s="142">
        <f ca="1">IFERROR($C250 * (1 + K250), "")</f>
        <v>2104251.4376660674</v>
      </c>
      <c r="K250" s="76">
        <f ca="1">IFERROR(INDIRECT($B250&amp;"!K199"), "")</f>
        <v>5.2125718833033782E-2</v>
      </c>
      <c r="L250" s="141">
        <f ca="1">IFERROR(INDIRECT($B250&amp;"!L199"), "")</f>
        <v>104251.43766606758</v>
      </c>
      <c r="M250" s="142">
        <f ca="1">IFERROR($C250 * (1 + N250), "")</f>
        <v>2103389.9262886248</v>
      </c>
      <c r="N250" s="76">
        <f ca="1">IFERROR(INDIRECT($B250&amp;"!N199"), "")</f>
        <v>5.1694963144312503E-2</v>
      </c>
      <c r="O250" s="141">
        <f ca="1">IFERROR(INDIRECT($B250&amp;"!O199"), "")</f>
        <v>103389.92628862504</v>
      </c>
    </row>
    <row r="251" spans="1:15" ht="16.5" customHeight="1">
      <c r="A251" s="153">
        <v>2</v>
      </c>
      <c r="B251" s="153" t="str">
        <f>TEXT(투자전략!$G$1+1, "[$-ko-KR]yyyy.mm.dd")</f>
        <v>2021.07.02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1888335.9367047166</v>
      </c>
      <c r="E251" s="77">
        <f t="shared" ref="E251:E280" ca="1" si="80">IFERROR(INDIRECT($B251&amp;"!E199"), "")</f>
        <v>-5.5832031647641757E-2</v>
      </c>
      <c r="F251" s="137">
        <f t="shared" ref="F251:F280" ca="1" si="81">IFERROR(INDIRECT($B251&amp;"!F199"), "")</f>
        <v>-111664.06329528351</v>
      </c>
      <c r="G251" s="139">
        <f t="shared" ref="G251:G280" ca="1" si="82">IFERROR($C251 * (1 + H251), "")</f>
        <v>1850057.4043609372</v>
      </c>
      <c r="H251" s="77">
        <f t="shared" ref="H251:H280" ca="1" si="83">IFERROR(INDIRECT($B251&amp;"!H199"), "")</f>
        <v>-7.4971297819531366E-2</v>
      </c>
      <c r="I251" s="137">
        <f t="shared" ref="I251:I280" ca="1" si="84">IFERROR(INDIRECT($B251&amp;"!I199"), "")</f>
        <v>-149942.59563906275</v>
      </c>
      <c r="J251" s="139">
        <f t="shared" ref="J251:J280" ca="1" si="85">IFERROR($C251 * (1 + K251), "")</f>
        <v>1865248.8569077146</v>
      </c>
      <c r="K251" s="77">
        <f t="shared" ref="K251:K280" ca="1" si="86">IFERROR(INDIRECT($B251&amp;"!K199"), "")</f>
        <v>-6.7375571546142682E-2</v>
      </c>
      <c r="L251" s="137">
        <f t="shared" ref="L251:L280" ca="1" si="87">IFERROR(INDIRECT($B251&amp;"!L199"), "")</f>
        <v>-134751.14309228538</v>
      </c>
      <c r="M251" s="139">
        <f t="shared" ref="M251:M280" ca="1" si="88">IFERROR($C251 * (1 + N251), "")</f>
        <v>1905869.8478742272</v>
      </c>
      <c r="N251" s="77">
        <f t="shared" ref="N251:N280" ca="1" si="89">IFERROR(INDIRECT($B251&amp;"!N199"), "")</f>
        <v>-4.7065076062886291E-2</v>
      </c>
      <c r="O251" s="137">
        <f t="shared" ref="O251:O280" ca="1" si="90">IFERROR(INDIRECT($B251&amp;"!O199"), "")</f>
        <v>-94130.152125772584</v>
      </c>
    </row>
    <row r="252" spans="1:15" ht="16.5" customHeight="1">
      <c r="A252" s="153">
        <v>3</v>
      </c>
      <c r="B252" s="153" t="str">
        <f>TEXT(투자전략!$G$1+2, "[$-ko-KR]yyyy.mm.dd")</f>
        <v>2021.07.03</v>
      </c>
      <c r="C252" s="135">
        <f t="shared" ca="1" si="78"/>
        <v>2000000</v>
      </c>
      <c r="D252" s="139">
        <f t="shared" ca="1" si="79"/>
        <v>2130128.6688466733</v>
      </c>
      <c r="E252" s="77">
        <f t="shared" ca="1" si="80"/>
        <v>6.5064334423336645E-2</v>
      </c>
      <c r="F252" s="137">
        <f t="shared" ca="1" si="81"/>
        <v>123622.23540433965</v>
      </c>
      <c r="G252" s="139">
        <f t="shared" ca="1" si="82"/>
        <v>2143901.2104193494</v>
      </c>
      <c r="H252" s="77">
        <f t="shared" ca="1" si="83"/>
        <v>7.1950605209674709E-2</v>
      </c>
      <c r="I252" s="137">
        <f t="shared" ca="1" si="84"/>
        <v>136706.14989838199</v>
      </c>
      <c r="J252" s="139">
        <f t="shared" ca="1" si="85"/>
        <v>2146325.009836786</v>
      </c>
      <c r="K252" s="77">
        <f t="shared" ca="1" si="86"/>
        <v>7.3162504918393059E-2</v>
      </c>
      <c r="L252" s="137">
        <f t="shared" ca="1" si="87"/>
        <v>139008.75934494683</v>
      </c>
      <c r="M252" s="139">
        <f t="shared" ca="1" si="88"/>
        <v>2160132.7563667558</v>
      </c>
      <c r="N252" s="77">
        <f t="shared" ca="1" si="89"/>
        <v>8.0066378183378015E-2</v>
      </c>
      <c r="O252" s="137">
        <f t="shared" ca="1" si="90"/>
        <v>152126.11854841825</v>
      </c>
    </row>
    <row r="253" spans="1:15" ht="16.5" customHeight="1">
      <c r="A253" s="153">
        <v>4</v>
      </c>
      <c r="B253" s="153" t="str">
        <f>TEXT(투자전략!$G$1+3, "[$-ko-KR]yyyy.mm.dd")</f>
        <v>2021.07.04</v>
      </c>
      <c r="C253" s="135">
        <f t="shared" ca="1" si="78"/>
        <v>2000000</v>
      </c>
      <c r="D253" s="139">
        <f t="shared" ca="1" si="79"/>
        <v>2045088.246880328</v>
      </c>
      <c r="E253" s="77">
        <f t="shared" ca="1" si="80"/>
        <v>2.254412344016395E-2</v>
      </c>
      <c r="F253" s="137">
        <f t="shared" ca="1" si="81"/>
        <v>45088.246880327883</v>
      </c>
      <c r="G253" s="139">
        <f t="shared" ca="1" si="82"/>
        <v>2049519.7529188984</v>
      </c>
      <c r="H253" s="77">
        <f t="shared" ca="1" si="83"/>
        <v>2.4759876459449139E-2</v>
      </c>
      <c r="I253" s="137">
        <f t="shared" ca="1" si="84"/>
        <v>49519.752918898295</v>
      </c>
      <c r="J253" s="139">
        <f t="shared" ca="1" si="85"/>
        <v>2058438.2718082527</v>
      </c>
      <c r="K253" s="77">
        <f t="shared" ca="1" si="86"/>
        <v>2.9219135904126319E-2</v>
      </c>
      <c r="L253" s="137">
        <f t="shared" ca="1" si="87"/>
        <v>58438.271808252655</v>
      </c>
      <c r="M253" s="139">
        <f t="shared" ca="1" si="88"/>
        <v>2086647.2754728135</v>
      </c>
      <c r="N253" s="77">
        <f t="shared" ca="1" si="89"/>
        <v>4.332363773640676E-2</v>
      </c>
      <c r="O253" s="137">
        <f t="shared" ca="1" si="90"/>
        <v>86647.275472813533</v>
      </c>
    </row>
    <row r="254" spans="1:15" ht="16.5" customHeight="1">
      <c r="A254" s="153">
        <v>5</v>
      </c>
      <c r="B254" s="153" t="str">
        <f>TEXT(투자전략!$G$1+4, "[$-ko-KR]yyyy.mm.dd")</f>
        <v>2021.07.05</v>
      </c>
      <c r="C254" s="135">
        <f t="shared" ca="1" si="78"/>
        <v>2000000</v>
      </c>
      <c r="D254" s="139">
        <f t="shared" ca="1" si="79"/>
        <v>1958283.7967975829</v>
      </c>
      <c r="E254" s="77">
        <f t="shared" ca="1" si="80"/>
        <v>-2.0858101601208594E-2</v>
      </c>
      <c r="F254" s="137">
        <f t="shared" ca="1" si="81"/>
        <v>-41716.203202417193</v>
      </c>
      <c r="G254" s="139">
        <f t="shared" ca="1" si="82"/>
        <v>2006271.6504026779</v>
      </c>
      <c r="H254" s="77">
        <f t="shared" ca="1" si="83"/>
        <v>3.1358252013389334E-3</v>
      </c>
      <c r="I254" s="137">
        <f t="shared" ca="1" si="84"/>
        <v>6271.6504026778675</v>
      </c>
      <c r="J254" s="139">
        <f t="shared" ca="1" si="85"/>
        <v>1898958.3215764733</v>
      </c>
      <c r="K254" s="77">
        <f t="shared" ca="1" si="86"/>
        <v>-5.0520839211763355E-2</v>
      </c>
      <c r="L254" s="137">
        <f t="shared" ca="1" si="87"/>
        <v>-101041.67842352671</v>
      </c>
      <c r="M254" s="139">
        <f t="shared" ca="1" si="88"/>
        <v>1933118.5786648877</v>
      </c>
      <c r="N254" s="77">
        <f t="shared" ca="1" si="89"/>
        <v>-3.344071066755621E-2</v>
      </c>
      <c r="O254" s="137">
        <f t="shared" ca="1" si="90"/>
        <v>-66881.421335112434</v>
      </c>
    </row>
    <row r="255" spans="1:15" ht="16.5" customHeight="1">
      <c r="A255" s="153">
        <v>6</v>
      </c>
      <c r="B255" s="153" t="str">
        <f>TEXT(투자전략!$G$1+5, "[$-ko-KR]yyyy.mm.dd")</f>
        <v>2021.07.06</v>
      </c>
      <c r="C255" s="135">
        <f t="shared" ca="1" si="78"/>
        <v>2000000</v>
      </c>
      <c r="D255" s="139">
        <f t="shared" ca="1" si="79"/>
        <v>2085371.7884096201</v>
      </c>
      <c r="E255" s="77">
        <f t="shared" ca="1" si="80"/>
        <v>4.2685894204810053E-2</v>
      </c>
      <c r="F255" s="137">
        <f t="shared" ca="1" si="81"/>
        <v>85371.788409620116</v>
      </c>
      <c r="G255" s="139">
        <f t="shared" ca="1" si="82"/>
        <v>2055952.1297900884</v>
      </c>
      <c r="H255" s="77">
        <f t="shared" ca="1" si="83"/>
        <v>2.7976064895044162E-2</v>
      </c>
      <c r="I255" s="137">
        <f t="shared" ca="1" si="84"/>
        <v>55952.129790088329</v>
      </c>
      <c r="J255" s="139">
        <f t="shared" ca="1" si="85"/>
        <v>2076788.4994800817</v>
      </c>
      <c r="K255" s="77">
        <f t="shared" ca="1" si="86"/>
        <v>3.8394249740040916E-2</v>
      </c>
      <c r="L255" s="137">
        <f t="shared" ca="1" si="87"/>
        <v>76788.499480081839</v>
      </c>
      <c r="M255" s="139">
        <f t="shared" ca="1" si="88"/>
        <v>2074098.9475790889</v>
      </c>
      <c r="N255" s="77">
        <f t="shared" ca="1" si="89"/>
        <v>3.704947378954436E-2</v>
      </c>
      <c r="O255" s="137">
        <f t="shared" ca="1" si="90"/>
        <v>74098.947579088723</v>
      </c>
    </row>
    <row r="256" spans="1:15" ht="16.5" customHeight="1" thickBot="1">
      <c r="A256" s="155">
        <v>7</v>
      </c>
      <c r="B256" s="155" t="str">
        <f>TEXT(투자전략!$G$1+6, "[$-ko-KR]yyyy.mm.dd")</f>
        <v>2021.07.07</v>
      </c>
      <c r="C256" s="135">
        <f t="shared" ca="1" si="78"/>
        <v>2000000</v>
      </c>
      <c r="D256" s="139">
        <f t="shared" ca="1" si="79"/>
        <v>2030130.700515846</v>
      </c>
      <c r="E256" s="77">
        <f t="shared" ca="1" si="80"/>
        <v>1.506535025792291E-2</v>
      </c>
      <c r="F256" s="137">
        <f t="shared" ca="1" si="81"/>
        <v>30130.700515845823</v>
      </c>
      <c r="G256" s="139">
        <f t="shared" ca="1" si="82"/>
        <v>2021886.6984981515</v>
      </c>
      <c r="H256" s="77">
        <f t="shared" ca="1" si="83"/>
        <v>1.0943349249075914E-2</v>
      </c>
      <c r="I256" s="137">
        <f t="shared" ca="1" si="84"/>
        <v>21886.698498151825</v>
      </c>
      <c r="J256" s="139">
        <f t="shared" ca="1" si="85"/>
        <v>2051558.752777173</v>
      </c>
      <c r="K256" s="77">
        <f t="shared" ca="1" si="86"/>
        <v>2.5779376388586524E-2</v>
      </c>
      <c r="L256" s="137">
        <f t="shared" ca="1" si="87"/>
        <v>51558.752777173038</v>
      </c>
      <c r="M256" s="139">
        <f t="shared" ca="1" si="88"/>
        <v>2042928.5308821155</v>
      </c>
      <c r="N256" s="77">
        <f t="shared" ca="1" si="89"/>
        <v>2.146426544105768E-2</v>
      </c>
      <c r="O256" s="137">
        <f t="shared" ca="1" si="90"/>
        <v>42928.530882115352</v>
      </c>
    </row>
    <row r="257" spans="1:15" ht="16.5" customHeight="1">
      <c r="A257" s="154">
        <v>8</v>
      </c>
      <c r="B257" s="154" t="str">
        <f>TEXT(투자전략!$G$1+7, "[$-ko-KR]yyyy.mm.dd")</f>
        <v>2021.07.08</v>
      </c>
      <c r="C257" s="134">
        <f t="shared" ca="1" si="78"/>
        <v>2000000</v>
      </c>
      <c r="D257" s="142">
        <f t="shared" ca="1" si="79"/>
        <v>1888060.0913734606</v>
      </c>
      <c r="E257" s="76">
        <f t="shared" ca="1" si="80"/>
        <v>-5.5969954313269697E-2</v>
      </c>
      <c r="F257" s="141">
        <f t="shared" ca="1" si="81"/>
        <v>-111939.90862653939</v>
      </c>
      <c r="G257" s="142">
        <f t="shared" ca="1" si="82"/>
        <v>1787120.4188572825</v>
      </c>
      <c r="H257" s="76">
        <f t="shared" ca="1" si="83"/>
        <v>-0.10643979057135873</v>
      </c>
      <c r="I257" s="141">
        <f t="shared" ca="1" si="84"/>
        <v>-212879.58114271748</v>
      </c>
      <c r="J257" s="142">
        <f t="shared" ca="1" si="85"/>
        <v>1790194.4098876114</v>
      </c>
      <c r="K257" s="76">
        <f t="shared" ca="1" si="86"/>
        <v>-0.10490279505619429</v>
      </c>
      <c r="L257" s="141">
        <f t="shared" ca="1" si="87"/>
        <v>-209805.59011238863</v>
      </c>
      <c r="M257" s="142">
        <f t="shared" ca="1" si="88"/>
        <v>1810450.718095744</v>
      </c>
      <c r="N257" s="76">
        <f t="shared" ca="1" si="89"/>
        <v>-9.4774640952127925E-2</v>
      </c>
      <c r="O257" s="141">
        <f t="shared" ca="1" si="90"/>
        <v>-189549.28190425585</v>
      </c>
    </row>
    <row r="258" spans="1:15" ht="16.5" customHeight="1">
      <c r="A258" s="153">
        <v>9</v>
      </c>
      <c r="B258" s="153" t="str">
        <f>TEXT(투자전략!$G$1+8, "[$-ko-KR]yyyy.mm.dd")</f>
        <v>2021.07.09</v>
      </c>
      <c r="C258" s="135">
        <f t="shared" ca="1" si="78"/>
        <v>2000000</v>
      </c>
      <c r="D258" s="139">
        <f t="shared" ca="1" si="79"/>
        <v>1941327.9979481578</v>
      </c>
      <c r="E258" s="77">
        <f t="shared" ca="1" si="80"/>
        <v>-2.9336001025921044E-2</v>
      </c>
      <c r="F258" s="137">
        <f t="shared" ca="1" si="81"/>
        <v>-58672.002051842086</v>
      </c>
      <c r="G258" s="139">
        <f t="shared" ca="1" si="82"/>
        <v>1872475.7069406928</v>
      </c>
      <c r="H258" s="77">
        <f t="shared" ca="1" si="83"/>
        <v>-6.3762146529653577E-2</v>
      </c>
      <c r="I258" s="137">
        <f t="shared" ca="1" si="84"/>
        <v>-127524.29305930711</v>
      </c>
      <c r="J258" s="139">
        <f t="shared" ca="1" si="85"/>
        <v>1859789.6131532718</v>
      </c>
      <c r="K258" s="77">
        <f t="shared" ca="1" si="86"/>
        <v>-7.0105193423364076E-2</v>
      </c>
      <c r="L258" s="137">
        <f t="shared" ca="1" si="87"/>
        <v>-140210.38684672813</v>
      </c>
      <c r="M258" s="139">
        <f t="shared" ca="1" si="88"/>
        <v>1925790.6262550156</v>
      </c>
      <c r="N258" s="77">
        <f t="shared" ca="1" si="89"/>
        <v>-3.7104686872492285E-2</v>
      </c>
      <c r="O258" s="137">
        <f t="shared" ca="1" si="90"/>
        <v>-74209.373744984579</v>
      </c>
    </row>
    <row r="259" spans="1:15" ht="16.5" customHeight="1">
      <c r="A259" s="153">
        <v>10</v>
      </c>
      <c r="B259" s="153" t="str">
        <f>TEXT(투자전략!$G$1+9, "[$-ko-KR]yyyy.mm.dd")</f>
        <v>2021.07.10</v>
      </c>
      <c r="C259" s="135">
        <f t="shared" ca="1" si="78"/>
        <v>2000000</v>
      </c>
      <c r="D259" s="139">
        <f t="shared" ca="1" si="79"/>
        <v>2079757.2631038846</v>
      </c>
      <c r="E259" s="77">
        <f t="shared" ca="1" si="80"/>
        <v>3.9878631551942337E-2</v>
      </c>
      <c r="F259" s="137">
        <f t="shared" ca="1" si="81"/>
        <v>79757.263103884674</v>
      </c>
      <c r="G259" s="139">
        <f t="shared" ca="1" si="82"/>
        <v>2061105.8520746517</v>
      </c>
      <c r="H259" s="77">
        <f t="shared" ca="1" si="83"/>
        <v>3.0552926037325769E-2</v>
      </c>
      <c r="I259" s="137">
        <f t="shared" ca="1" si="84"/>
        <v>61105.852074651528</v>
      </c>
      <c r="J259" s="139">
        <f t="shared" ca="1" si="85"/>
        <v>2071226.5890964577</v>
      </c>
      <c r="K259" s="77">
        <f t="shared" ca="1" si="86"/>
        <v>3.5613294548228855E-2</v>
      </c>
      <c r="L259" s="137">
        <f t="shared" ca="1" si="87"/>
        <v>71226.589096457683</v>
      </c>
      <c r="M259" s="139">
        <f t="shared" ca="1" si="88"/>
        <v>2077908.4085334984</v>
      </c>
      <c r="N259" s="77">
        <f t="shared" ca="1" si="89"/>
        <v>3.8954204266749205E-2</v>
      </c>
      <c r="O259" s="137">
        <f t="shared" ca="1" si="90"/>
        <v>77908.408533498412</v>
      </c>
    </row>
    <row r="260" spans="1:15" ht="16.5" customHeight="1">
      <c r="A260" s="153">
        <v>11</v>
      </c>
      <c r="B260" s="153" t="str">
        <f>TEXT(투자전략!$G$1+10, "[$-ko-KR]yyyy.mm.dd")</f>
        <v>2021.07.11</v>
      </c>
      <c r="C260" s="135">
        <f t="shared" ca="1" si="78"/>
        <v>2000000</v>
      </c>
      <c r="D260" s="139">
        <f t="shared" ca="1" si="79"/>
        <v>1995527.1018571756</v>
      </c>
      <c r="E260" s="77">
        <f t="shared" ca="1" si="80"/>
        <v>-2.2364490714122062E-3</v>
      </c>
      <c r="F260" s="137">
        <f t="shared" ca="1" si="81"/>
        <v>-4472.898142824416</v>
      </c>
      <c r="G260" s="139">
        <f t="shared" ca="1" si="82"/>
        <v>2000000</v>
      </c>
      <c r="H260" s="77">
        <f t="shared" ca="1" si="83"/>
        <v>0</v>
      </c>
      <c r="I260" s="137">
        <f t="shared" ca="1" si="84"/>
        <v>0</v>
      </c>
      <c r="J260" s="139">
        <f t="shared" ca="1" si="85"/>
        <v>2033848.8458503329</v>
      </c>
      <c r="K260" s="77">
        <f t="shared" ca="1" si="86"/>
        <v>1.6924422925166476E-2</v>
      </c>
      <c r="L260" s="137">
        <f t="shared" ca="1" si="87"/>
        <v>33848.845850332946</v>
      </c>
      <c r="M260" s="139">
        <f t="shared" ca="1" si="88"/>
        <v>2041925.8895708334</v>
      </c>
      <c r="N260" s="77">
        <f t="shared" ca="1" si="89"/>
        <v>2.0962944785416611E-2</v>
      </c>
      <c r="O260" s="137">
        <f t="shared" ca="1" si="90"/>
        <v>41925.889570833235</v>
      </c>
    </row>
    <row r="261" spans="1:15" ht="16.5" customHeight="1">
      <c r="A261" s="153">
        <v>12</v>
      </c>
      <c r="B261" s="153" t="str">
        <f>TEXT(투자전략!$G$1+11, "[$-ko-KR]yyyy.mm.dd")</f>
        <v>2021.07.12</v>
      </c>
      <c r="C261" s="135">
        <f t="shared" ca="1" si="78"/>
        <v>2000000</v>
      </c>
      <c r="D261" s="139">
        <f t="shared" ca="1" si="79"/>
        <v>2000000</v>
      </c>
      <c r="E261" s="77">
        <f t="shared" ca="1" si="80"/>
        <v>0</v>
      </c>
      <c r="F261" s="137">
        <f t="shared" ca="1" si="81"/>
        <v>0</v>
      </c>
      <c r="G261" s="139">
        <f t="shared" ca="1" si="82"/>
        <v>2000000</v>
      </c>
      <c r="H261" s="77">
        <f t="shared" ca="1" si="83"/>
        <v>0</v>
      </c>
      <c r="I261" s="137">
        <f t="shared" ca="1" si="84"/>
        <v>0</v>
      </c>
      <c r="J261" s="139">
        <f t="shared" ca="1" si="85"/>
        <v>2000000</v>
      </c>
      <c r="K261" s="77">
        <f t="shared" ca="1" si="86"/>
        <v>0</v>
      </c>
      <c r="L261" s="137">
        <f t="shared" ca="1" si="87"/>
        <v>0</v>
      </c>
      <c r="M261" s="139">
        <f t="shared" ca="1" si="88"/>
        <v>2000000</v>
      </c>
      <c r="N261" s="77">
        <f t="shared" ca="1" si="89"/>
        <v>0</v>
      </c>
      <c r="O261" s="137">
        <f t="shared" ca="1" si="90"/>
        <v>0</v>
      </c>
    </row>
    <row r="262" spans="1:15" ht="16.5" customHeight="1">
      <c r="A262" s="153">
        <v>13</v>
      </c>
      <c r="B262" s="153" t="str">
        <f>TEXT(투자전략!$G$1+12, "[$-ko-KR]yyyy.mm.dd")</f>
        <v>2021.07.13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2021.07.14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2021.07.15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2021.07.16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2021.07.17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2021.07.18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2021.07.19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2021.07.20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2021.07.21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2021.07.22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2021.07.23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2021.07.24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2021.07.25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2021.07.26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2021.07.27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2021.07.28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2021.07.29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2021.07.30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55" t="s">
        <v>284</v>
      </c>
      <c r="B281" s="257"/>
      <c r="C281" s="132" t="s">
        <v>279</v>
      </c>
      <c r="D281" s="150" t="s">
        <v>280</v>
      </c>
      <c r="E281" s="151" t="s">
        <v>281</v>
      </c>
      <c r="F281" s="152" t="s">
        <v>282</v>
      </c>
      <c r="G281" s="150" t="s">
        <v>280</v>
      </c>
      <c r="H281" s="151" t="s">
        <v>281</v>
      </c>
      <c r="I281" s="152" t="s">
        <v>282</v>
      </c>
      <c r="J281" s="150" t="s">
        <v>280</v>
      </c>
      <c r="K281" s="151" t="s">
        <v>281</v>
      </c>
      <c r="L281" s="152" t="s">
        <v>282</v>
      </c>
      <c r="M281" s="150" t="s">
        <v>280</v>
      </c>
      <c r="N281" s="151" t="s">
        <v>281</v>
      </c>
      <c r="O281" s="152" t="s">
        <v>282</v>
      </c>
    </row>
    <row r="282" spans="1:15" ht="16.5" customHeight="1" thickBot="1">
      <c r="A282" s="248"/>
      <c r="B282" s="250"/>
      <c r="C282" s="136">
        <f ca="1">SUM(C250:C280)</f>
        <v>24000000</v>
      </c>
      <c r="D282" s="140">
        <f ca="1">SUM(D250:D280)</f>
        <v>24209187.771671627</v>
      </c>
      <c r="E282" s="79">
        <f ca="1">IFERROR(F282 / (SUM($C250:$C280) / COUNT($C250:$C280)), 0)</f>
        <v>0.10134066911464702</v>
      </c>
      <c r="F282" s="138">
        <f ca="1">SUM(F250:F280)</f>
        <v>202681.33822929405</v>
      </c>
      <c r="G282" s="140">
        <f ca="1">SUM(G250:G280)</f>
        <v>23891730.948257275</v>
      </c>
      <c r="H282" s="79">
        <f ca="1">IFERROR(I282 / (SUM($C250:$C280) / COUNT($C250:$C280)), 0)</f>
        <v>-5.7732056131846322E-2</v>
      </c>
      <c r="I282" s="138">
        <f ca="1">SUM(I250:I280)</f>
        <v>-115464.11226369264</v>
      </c>
      <c r="J282" s="140">
        <f ca="1">SUM(J250:J280)</f>
        <v>23956628.608040221</v>
      </c>
      <c r="K282" s="79">
        <f ca="1">IFERROR(L282 / (SUM($C250:$C280) / COUNT($C250:$C280)), 0)</f>
        <v>-2.5343821225808132E-2</v>
      </c>
      <c r="L282" s="138">
        <f ca="1">SUM(L250:L280)</f>
        <v>-50687.642451616266</v>
      </c>
      <c r="M282" s="140">
        <f ca="1">SUM(M250:M280)</f>
        <v>24162261.505583603</v>
      </c>
      <c r="N282" s="79">
        <f ca="1">IFERROR(O282 / (SUM($C250:$C280) / COUNT($C250:$C280)), 0)</f>
        <v>7.7127433882633559E-2</v>
      </c>
      <c r="O282" s="138">
        <f ca="1">SUM(O250:O280)</f>
        <v>154254.86776526712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2387" priority="323">
      <formula>$E$54 &gt; 0</formula>
    </cfRule>
    <cfRule type="expression" dxfId="2386" priority="324">
      <formula>$E$54 = 0</formula>
    </cfRule>
    <cfRule type="expression" dxfId="2385" priority="325">
      <formula>$E$54 &lt; 0</formula>
    </cfRule>
  </conditionalFormatting>
  <conditionalFormatting sqref="G20:I21 H54:I54">
    <cfRule type="expression" dxfId="2384" priority="320">
      <formula>$H$54 &gt; 0</formula>
    </cfRule>
    <cfRule type="expression" dxfId="2383" priority="321">
      <formula>$H$54 = 0</formula>
    </cfRule>
    <cfRule type="expression" dxfId="2382" priority="322">
      <formula>$H$54 &lt; 0</formula>
    </cfRule>
  </conditionalFormatting>
  <conditionalFormatting sqref="J20:L21 K54:L54">
    <cfRule type="expression" dxfId="2381" priority="317">
      <formula>$K$54 &gt; 0</formula>
    </cfRule>
    <cfRule type="expression" dxfId="2380" priority="318">
      <formula>$K$54 = 0</formula>
    </cfRule>
    <cfRule type="expression" dxfId="2379" priority="319">
      <formula>$K$54 &lt; 0</formula>
    </cfRule>
  </conditionalFormatting>
  <conditionalFormatting sqref="M20:O21 N54:O54">
    <cfRule type="expression" dxfId="2378" priority="314">
      <formula>$N$54 &gt; 0</formula>
    </cfRule>
    <cfRule type="expression" dxfId="2377" priority="315">
      <formula>$N$54 = 0</formula>
    </cfRule>
    <cfRule type="expression" dxfId="2376" priority="316">
      <formula>$N$54 &lt; 0</formula>
    </cfRule>
  </conditionalFormatting>
  <conditionalFormatting sqref="D22:F52">
    <cfRule type="expression" dxfId="2375" priority="299">
      <formula>AND($E22 &gt; 0, ISNUMBER($E22))</formula>
    </cfRule>
    <cfRule type="expression" dxfId="2374" priority="300">
      <formula>AND($E22 = 0, ISNUMBER($E22))</formula>
    </cfRule>
    <cfRule type="expression" dxfId="2373" priority="301">
      <formula>AND($E22 &lt; 0, ISNUMBER($E22))</formula>
    </cfRule>
  </conditionalFormatting>
  <conditionalFormatting sqref="G22:I52">
    <cfRule type="expression" dxfId="2372" priority="296">
      <formula>AND($H22 &gt; 0, ISNUMBER($H22))</formula>
    </cfRule>
    <cfRule type="expression" dxfId="2371" priority="297">
      <formula>AND($H22 = 0, ISNUMBER($H22))</formula>
    </cfRule>
    <cfRule type="expression" dxfId="2370" priority="298">
      <formula>AND($H22 &lt; 0, ISNUMBER($H22))</formula>
    </cfRule>
  </conditionalFormatting>
  <conditionalFormatting sqref="J22:L52">
    <cfRule type="expression" dxfId="2369" priority="293">
      <formula>AND($K22 &gt; 0, ISNUMBER($K22))</formula>
    </cfRule>
    <cfRule type="expression" dxfId="2368" priority="294">
      <formula>AND($K22 = 0, ISNUMBER($K22))</formula>
    </cfRule>
    <cfRule type="expression" dxfId="2367" priority="295">
      <formula>AND($K22 &lt; 0, ISNUMBER($K22))</formula>
    </cfRule>
  </conditionalFormatting>
  <conditionalFormatting sqref="M22:O52">
    <cfRule type="expression" dxfId="2366" priority="290">
      <formula>AND($N22 &gt; 0, ISNUMBER($N22))</formula>
    </cfRule>
    <cfRule type="expression" dxfId="2365" priority="291">
      <formula>AND($N22 = 0, ISNUMBER($N22))</formula>
    </cfRule>
    <cfRule type="expression" dxfId="2364" priority="292">
      <formula>AND($N22 &lt; 0, ISNUMBER($N22))</formula>
    </cfRule>
  </conditionalFormatting>
  <conditionalFormatting sqref="D58:F59 E92:F92">
    <cfRule type="expression" dxfId="2363" priority="287">
      <formula>$E$92 &gt; 0</formula>
    </cfRule>
    <cfRule type="expression" dxfId="2362" priority="288">
      <formula>$E$92 = 0</formula>
    </cfRule>
    <cfRule type="expression" dxfId="2361" priority="289">
      <formula>$E$92 &lt; 0</formula>
    </cfRule>
  </conditionalFormatting>
  <conditionalFormatting sqref="G58:I59 H92:I92">
    <cfRule type="expression" dxfId="2360" priority="284">
      <formula>$H$92 &gt; 0</formula>
    </cfRule>
    <cfRule type="expression" dxfId="2359" priority="285">
      <formula>$H$92 = 0</formula>
    </cfRule>
    <cfRule type="expression" dxfId="2358" priority="286">
      <formula>$H$92 &lt; 0</formula>
    </cfRule>
  </conditionalFormatting>
  <conditionalFormatting sqref="J58:L59 K92:L92">
    <cfRule type="expression" dxfId="2357" priority="281">
      <formula>$K$92 &gt; 0</formula>
    </cfRule>
    <cfRule type="expression" dxfId="2356" priority="282">
      <formula>$K$92 = 0</formula>
    </cfRule>
    <cfRule type="expression" dxfId="2355" priority="283">
      <formula>$K$92 &lt; 0</formula>
    </cfRule>
  </conditionalFormatting>
  <conditionalFormatting sqref="M58:O59 N92:O92">
    <cfRule type="expression" dxfId="2354" priority="278">
      <formula>$N$92 &gt; 0</formula>
    </cfRule>
    <cfRule type="expression" dxfId="2353" priority="279">
      <formula>$N$92 = 0</formula>
    </cfRule>
    <cfRule type="expression" dxfId="2352" priority="280">
      <formula>$N$92 &lt; 0</formula>
    </cfRule>
  </conditionalFormatting>
  <conditionalFormatting sqref="D60:F90">
    <cfRule type="expression" dxfId="2351" priority="275">
      <formula>AND($E60 &gt; 0, ISNUMBER($E60))</formula>
    </cfRule>
    <cfRule type="expression" dxfId="2350" priority="276">
      <formula>AND($E60 = 0, ISNUMBER($E60))</formula>
    </cfRule>
    <cfRule type="expression" dxfId="2349" priority="277">
      <formula>AND($E60 &lt; 0, ISNUMBER($E60))</formula>
    </cfRule>
  </conditionalFormatting>
  <conditionalFormatting sqref="G60:I90">
    <cfRule type="expression" dxfId="2348" priority="272">
      <formula>AND($H60 &gt; 0, ISNUMBER($H60))</formula>
    </cfRule>
    <cfRule type="expression" dxfId="2347" priority="273">
      <formula>AND($H60 = 0, ISNUMBER($H60))</formula>
    </cfRule>
    <cfRule type="expression" dxfId="2346" priority="274">
      <formula>AND($H60 &lt; 0, ISNUMBER($H60))</formula>
    </cfRule>
  </conditionalFormatting>
  <conditionalFormatting sqref="J60:L90">
    <cfRule type="expression" dxfId="2345" priority="269">
      <formula>AND($K60 &gt; 0, ISNUMBER($K60))</formula>
    </cfRule>
    <cfRule type="expression" dxfId="2344" priority="270">
      <formula>AND($K60 = 0, ISNUMBER($K60))</formula>
    </cfRule>
    <cfRule type="expression" dxfId="2343" priority="271">
      <formula>AND($K60 &lt; 0, ISNUMBER($K60))</formula>
    </cfRule>
  </conditionalFormatting>
  <conditionalFormatting sqref="M60:O90">
    <cfRule type="expression" dxfId="2342" priority="266">
      <formula>AND($N60 &gt; 0, ISNUMBER($N60))</formula>
    </cfRule>
    <cfRule type="expression" dxfId="2341" priority="267">
      <formula>AND($N60 = 0, ISNUMBER($N60))</formula>
    </cfRule>
    <cfRule type="expression" dxfId="2340" priority="268">
      <formula>AND($N60 &lt; 0, ISNUMBER($N60))</formula>
    </cfRule>
  </conditionalFormatting>
  <conditionalFormatting sqref="D96:F97 E130:F130">
    <cfRule type="expression" dxfId="2339" priority="263">
      <formula>$E$130 &gt; 0</formula>
    </cfRule>
    <cfRule type="expression" dxfId="2338" priority="264">
      <formula>$E$130 = 0</formula>
    </cfRule>
    <cfRule type="expression" dxfId="2337" priority="265">
      <formula>$E$130 &lt; 0</formula>
    </cfRule>
  </conditionalFormatting>
  <conditionalFormatting sqref="G96:I97 H130:I130">
    <cfRule type="expression" dxfId="2336" priority="260">
      <formula>$H$130 &gt; 0</formula>
    </cfRule>
    <cfRule type="expression" dxfId="2335" priority="261">
      <formula>$H$130 = 0</formula>
    </cfRule>
    <cfRule type="expression" dxfId="2334" priority="262">
      <formula>$H$130 &lt; 0</formula>
    </cfRule>
  </conditionalFormatting>
  <conditionalFormatting sqref="J96:L97 K130:L130">
    <cfRule type="expression" dxfId="2333" priority="257">
      <formula>$K$130 &gt; 0</formula>
    </cfRule>
    <cfRule type="expression" dxfId="2332" priority="258">
      <formula>$K$130 = 0</formula>
    </cfRule>
    <cfRule type="expression" dxfId="2331" priority="259">
      <formula>$K$130 &lt; 0</formula>
    </cfRule>
  </conditionalFormatting>
  <conditionalFormatting sqref="M96:O97 N130:O130">
    <cfRule type="expression" dxfId="2330" priority="254">
      <formula>$N$130 &gt; 0</formula>
    </cfRule>
    <cfRule type="expression" dxfId="2329" priority="255">
      <formula>$N$130 = 0</formula>
    </cfRule>
    <cfRule type="expression" dxfId="2328" priority="256">
      <formula>$N$130 &lt; 0</formula>
    </cfRule>
  </conditionalFormatting>
  <conditionalFormatting sqref="D98:F128">
    <cfRule type="expression" dxfId="2327" priority="251">
      <formula>AND($E98 &gt; 0, ISNUMBER($E98))</formula>
    </cfRule>
    <cfRule type="expression" dxfId="2326" priority="252">
      <formula>AND($E98 = 0, ISNUMBER($E98))</formula>
    </cfRule>
    <cfRule type="expression" dxfId="2325" priority="253">
      <formula>AND($E98 &lt; 0, ISNUMBER($E98))</formula>
    </cfRule>
  </conditionalFormatting>
  <conditionalFormatting sqref="G98:I128">
    <cfRule type="expression" dxfId="2324" priority="248">
      <formula>AND($H98 &gt; 0, ISNUMBER($H98))</formula>
    </cfRule>
    <cfRule type="expression" dxfId="2323" priority="249">
      <formula>AND($H98 = 0, ISNUMBER($H98))</formula>
    </cfRule>
    <cfRule type="expression" dxfId="2322" priority="250">
      <formula>AND($H98 &lt; 0, ISNUMBER($H98))</formula>
    </cfRule>
  </conditionalFormatting>
  <conditionalFormatting sqref="J98:L128">
    <cfRule type="expression" dxfId="2321" priority="245">
      <formula>AND($K98 &gt; 0, ISNUMBER($K98))</formula>
    </cfRule>
    <cfRule type="expression" dxfId="2320" priority="246">
      <formula>AND($K98 = 0, ISNUMBER($K98))</formula>
    </cfRule>
    <cfRule type="expression" dxfId="2319" priority="247">
      <formula>AND($K98 &lt; 0, ISNUMBER($K98))</formula>
    </cfRule>
  </conditionalFormatting>
  <conditionalFormatting sqref="M98:O128">
    <cfRule type="expression" dxfId="2318" priority="242">
      <formula>AND($N98 &gt; 0, ISNUMBER($N98))</formula>
    </cfRule>
    <cfRule type="expression" dxfId="2317" priority="243">
      <formula>AND($N98 = 0, ISNUMBER($N98))</formula>
    </cfRule>
    <cfRule type="expression" dxfId="2316" priority="244">
      <formula>AND($N98 &lt; 0, ISNUMBER($N98))</formula>
    </cfRule>
  </conditionalFormatting>
  <conditionalFormatting sqref="D134:F135 E168:F168">
    <cfRule type="expression" dxfId="2315" priority="239">
      <formula>$E$168 &gt; 0</formula>
    </cfRule>
    <cfRule type="expression" dxfId="2314" priority="240">
      <formula>$E$168 = 0</formula>
    </cfRule>
    <cfRule type="expression" dxfId="2313" priority="241">
      <formula>$E$168 &lt; 0</formula>
    </cfRule>
  </conditionalFormatting>
  <conditionalFormatting sqref="G134:I135 H168:I168">
    <cfRule type="expression" dxfId="2312" priority="236">
      <formula>$H$168 &gt; 0</formula>
    </cfRule>
    <cfRule type="expression" dxfId="2311" priority="237">
      <formula>$H$168 = 0</formula>
    </cfRule>
    <cfRule type="expression" dxfId="2310" priority="238">
      <formula>$H$168 &lt; 0</formula>
    </cfRule>
  </conditionalFormatting>
  <conditionalFormatting sqref="J134:L135 K168:L168">
    <cfRule type="expression" dxfId="2309" priority="233">
      <formula>$K$168 &gt; 0</formula>
    </cfRule>
    <cfRule type="expression" dxfId="2308" priority="234">
      <formula>$K$168 = 0</formula>
    </cfRule>
    <cfRule type="expression" dxfId="2307" priority="235">
      <formula>$K$168 &lt; 0</formula>
    </cfRule>
  </conditionalFormatting>
  <conditionalFormatting sqref="M134:O135 N168:O168">
    <cfRule type="expression" dxfId="2306" priority="230">
      <formula>$N$168 &gt; 0</formula>
    </cfRule>
    <cfRule type="expression" dxfId="2305" priority="231">
      <formula>$N$168 = 0</formula>
    </cfRule>
    <cfRule type="expression" dxfId="2304" priority="232">
      <formula>$N$168 &lt; 0</formula>
    </cfRule>
  </conditionalFormatting>
  <conditionalFormatting sqref="D136:F166">
    <cfRule type="expression" dxfId="2303" priority="227">
      <formula>AND($E136 &gt; 0, ISNUMBER($E136))</formula>
    </cfRule>
    <cfRule type="expression" dxfId="2302" priority="228">
      <formula>AND($E136 = 0, ISNUMBER($E136))</formula>
    </cfRule>
    <cfRule type="expression" dxfId="2301" priority="229">
      <formula>AND($E136 &lt; 0, ISNUMBER($E136))</formula>
    </cfRule>
  </conditionalFormatting>
  <conditionalFormatting sqref="G136:I166">
    <cfRule type="expression" dxfId="2300" priority="224">
      <formula>AND($H136 &gt; 0, ISNUMBER($H136))</formula>
    </cfRule>
    <cfRule type="expression" dxfId="2299" priority="225">
      <formula>AND($H136 = 0, ISNUMBER($H136))</formula>
    </cfRule>
    <cfRule type="expression" dxfId="2298" priority="226">
      <formula>AND($H136 &lt; 0, ISNUMBER($H136))</formula>
    </cfRule>
  </conditionalFormatting>
  <conditionalFormatting sqref="J136:L166">
    <cfRule type="expression" dxfId="2297" priority="221">
      <formula>AND($K136 &gt; 0, ISNUMBER($K136))</formula>
    </cfRule>
    <cfRule type="expression" dxfId="2296" priority="222">
      <formula>AND($K136 = 0, ISNUMBER($K136))</formula>
    </cfRule>
    <cfRule type="expression" dxfId="2295" priority="223">
      <formula>AND($K136 &lt; 0, ISNUMBER($K136))</formula>
    </cfRule>
  </conditionalFormatting>
  <conditionalFormatting sqref="M136:O166">
    <cfRule type="expression" dxfId="2294" priority="218">
      <formula>AND($N136 &gt; 0, ISNUMBER($N136))</formula>
    </cfRule>
    <cfRule type="expression" dxfId="2293" priority="219">
      <formula>AND($N136 = 0, ISNUMBER($N136))</formula>
    </cfRule>
    <cfRule type="expression" dxfId="2292" priority="220">
      <formula>AND($N136 &lt; 0, ISNUMBER($N136))</formula>
    </cfRule>
  </conditionalFormatting>
  <conditionalFormatting sqref="D172:F173 E206:F206">
    <cfRule type="expression" dxfId="2291" priority="215">
      <formula>$E$206 &gt; 0</formula>
    </cfRule>
    <cfRule type="expression" dxfId="2290" priority="216">
      <formula>$E$206 = 0</formula>
    </cfRule>
    <cfRule type="expression" dxfId="2289" priority="217">
      <formula>$E$206 &lt; 0</formula>
    </cfRule>
  </conditionalFormatting>
  <conditionalFormatting sqref="G172:I173 H206:I206">
    <cfRule type="expression" dxfId="2288" priority="212">
      <formula>$H$206 &gt; 0</formula>
    </cfRule>
    <cfRule type="expression" dxfId="2287" priority="213">
      <formula>$H$206 = 0</formula>
    </cfRule>
    <cfRule type="expression" dxfId="2286" priority="214">
      <formula>$H$206 &lt; 0</formula>
    </cfRule>
  </conditionalFormatting>
  <conditionalFormatting sqref="J172:L173 K206:L206">
    <cfRule type="expression" dxfId="2285" priority="209">
      <formula>$K$206 &gt; 0</formula>
    </cfRule>
    <cfRule type="expression" dxfId="2284" priority="210">
      <formula>$K$206 = 0</formula>
    </cfRule>
    <cfRule type="expression" dxfId="2283" priority="211">
      <formula>$K$206 &lt; 0</formula>
    </cfRule>
  </conditionalFormatting>
  <conditionalFormatting sqref="M172:O173 N206:O206">
    <cfRule type="expression" dxfId="2282" priority="206">
      <formula>$N$206 &gt; 0</formula>
    </cfRule>
    <cfRule type="expression" dxfId="2281" priority="207">
      <formula>$N$206 = 0</formula>
    </cfRule>
    <cfRule type="expression" dxfId="2280" priority="208">
      <formula>$N$206 &lt; 0</formula>
    </cfRule>
  </conditionalFormatting>
  <conditionalFormatting sqref="D174:F204">
    <cfRule type="expression" dxfId="2279" priority="203">
      <formula>AND($E174 &gt; 0, ISNUMBER($E174))</formula>
    </cfRule>
    <cfRule type="expression" dxfId="2278" priority="204">
      <formula>AND($E174 = 0, ISNUMBER($E174))</formula>
    </cfRule>
    <cfRule type="expression" dxfId="2277" priority="205">
      <formula>AND($E174 &lt; 0, ISNUMBER($E174))</formula>
    </cfRule>
  </conditionalFormatting>
  <conditionalFormatting sqref="G174:I204">
    <cfRule type="expression" dxfId="2276" priority="200">
      <formula>AND($H174 &gt; 0, ISNUMBER($H174))</formula>
    </cfRule>
    <cfRule type="expression" dxfId="2275" priority="201">
      <formula>AND($H174 = 0, ISNUMBER($H174))</formula>
    </cfRule>
    <cfRule type="expression" dxfId="2274" priority="202">
      <formula>AND($H174 &lt; 0, ISNUMBER($H174))</formula>
    </cfRule>
  </conditionalFormatting>
  <conditionalFormatting sqref="J174:L204">
    <cfRule type="expression" dxfId="2273" priority="197">
      <formula>AND($K174 &gt; 0, ISNUMBER($K174))</formula>
    </cfRule>
    <cfRule type="expression" dxfId="2272" priority="198">
      <formula>AND($K174 = 0, ISNUMBER($K174))</formula>
    </cfRule>
    <cfRule type="expression" dxfId="2271" priority="199">
      <formula>AND($K174 &lt; 0, ISNUMBER($K174))</formula>
    </cfRule>
  </conditionalFormatting>
  <conditionalFormatting sqref="M174:O204">
    <cfRule type="expression" dxfId="2270" priority="194">
      <formula>AND($N174 &gt; 0, ISNUMBER($N174))</formula>
    </cfRule>
    <cfRule type="expression" dxfId="2269" priority="195">
      <formula>AND($N174 = 0, ISNUMBER($N174))</formula>
    </cfRule>
    <cfRule type="expression" dxfId="2268" priority="196">
      <formula>AND($N174 &lt; 0, ISNUMBER($N174))</formula>
    </cfRule>
  </conditionalFormatting>
  <conditionalFormatting sqref="D210:F211 E244:F244">
    <cfRule type="expression" dxfId="2267" priority="191">
      <formula>$E$244 &gt; 0</formula>
    </cfRule>
    <cfRule type="expression" dxfId="2266" priority="192">
      <formula>$E$244 = 0</formula>
    </cfRule>
    <cfRule type="expression" dxfId="2265" priority="193">
      <formula>$E$244 &lt; 0</formula>
    </cfRule>
  </conditionalFormatting>
  <conditionalFormatting sqref="G210:I211 H244:I244">
    <cfRule type="expression" dxfId="2264" priority="188">
      <formula>$H$244 &gt; 0</formula>
    </cfRule>
    <cfRule type="expression" dxfId="2263" priority="189">
      <formula>$H$244 = 0</formula>
    </cfRule>
    <cfRule type="expression" dxfId="2262" priority="190">
      <formula>$H$244 &lt; 0</formula>
    </cfRule>
  </conditionalFormatting>
  <conditionalFormatting sqref="J210:L211 K244:L244">
    <cfRule type="expression" dxfId="2261" priority="185">
      <formula>$K$244 &gt; 0</formula>
    </cfRule>
    <cfRule type="expression" dxfId="2260" priority="186">
      <formula>$K$244 = 0</formula>
    </cfRule>
    <cfRule type="expression" dxfId="2259" priority="187">
      <formula>$K$244 &lt; 0</formula>
    </cfRule>
  </conditionalFormatting>
  <conditionalFormatting sqref="M210:O211 N244:O244">
    <cfRule type="expression" dxfId="2258" priority="182">
      <formula>$N$244 &gt; 0</formula>
    </cfRule>
    <cfRule type="expression" dxfId="2257" priority="183">
      <formula>$N$244 = 0</formula>
    </cfRule>
    <cfRule type="expression" dxfId="2256" priority="184">
      <formula>$N$244 &lt; 0</formula>
    </cfRule>
  </conditionalFormatting>
  <conditionalFormatting sqref="D212:F242">
    <cfRule type="expression" dxfId="2255" priority="179">
      <formula>AND($E212 &gt; 0, ISNUMBER($E212))</formula>
    </cfRule>
    <cfRule type="expression" dxfId="2254" priority="180">
      <formula>AND($E212 = 0, ISNUMBER($E212))</formula>
    </cfRule>
    <cfRule type="expression" dxfId="2253" priority="181">
      <formula>AND($E212 &lt; 0, ISNUMBER($E212))</formula>
    </cfRule>
  </conditionalFormatting>
  <conditionalFormatting sqref="G212:I242">
    <cfRule type="expression" dxfId="2252" priority="176">
      <formula>AND($H212 &gt; 0, ISNUMBER($H212))</formula>
    </cfRule>
    <cfRule type="expression" dxfId="2251" priority="177">
      <formula>AND($H212 = 0, ISNUMBER($H212))</formula>
    </cfRule>
    <cfRule type="expression" dxfId="2250" priority="178">
      <formula>AND($H212 &lt; 0, ISNUMBER($H212))</formula>
    </cfRule>
  </conditionalFormatting>
  <conditionalFormatting sqref="J212:L242">
    <cfRule type="expression" dxfId="2249" priority="173">
      <formula>AND($K212 &gt; 0, ISNUMBER($K212))</formula>
    </cfRule>
    <cfRule type="expression" dxfId="2248" priority="174">
      <formula>AND($K212 = 0, ISNUMBER($K212))</formula>
    </cfRule>
    <cfRule type="expression" dxfId="2247" priority="175">
      <formula>AND($K212 &lt; 0, ISNUMBER($K212))</formula>
    </cfRule>
  </conditionalFormatting>
  <conditionalFormatting sqref="M212:O242">
    <cfRule type="expression" dxfId="2246" priority="170">
      <formula>AND($N212 &gt; 0, ISNUMBER($N212))</formula>
    </cfRule>
    <cfRule type="expression" dxfId="2245" priority="171">
      <formula>AND($N212 = 0, ISNUMBER($N212))</formula>
    </cfRule>
    <cfRule type="expression" dxfId="2244" priority="172">
      <formula>AND($N212 &lt; 0, ISNUMBER($N212))</formula>
    </cfRule>
  </conditionalFormatting>
  <conditionalFormatting sqref="D248:F249 E282:F282">
    <cfRule type="expression" dxfId="2243" priority="167">
      <formula>$E$282 &gt; 0</formula>
    </cfRule>
    <cfRule type="expression" dxfId="2242" priority="168">
      <formula>$E$282 = 0</formula>
    </cfRule>
    <cfRule type="expression" dxfId="2241" priority="169">
      <formula>$E$282 &lt; 0</formula>
    </cfRule>
  </conditionalFormatting>
  <conditionalFormatting sqref="G248:I249 H282:I282">
    <cfRule type="expression" dxfId="2240" priority="164">
      <formula>$H$282 &gt; 0</formula>
    </cfRule>
    <cfRule type="expression" dxfId="2239" priority="165">
      <formula>$H$282 = 0</formula>
    </cfRule>
    <cfRule type="expression" dxfId="2238" priority="166">
      <formula>$H$282 &lt; 0</formula>
    </cfRule>
  </conditionalFormatting>
  <conditionalFormatting sqref="J248:L249 K282:L282">
    <cfRule type="expression" dxfId="2237" priority="161">
      <formula>$K$282 &gt; 0</formula>
    </cfRule>
    <cfRule type="expression" dxfId="2236" priority="162">
      <formula>$K$282 = 0</formula>
    </cfRule>
    <cfRule type="expression" dxfId="2235" priority="163">
      <formula>$K$282 &lt; 0</formula>
    </cfRule>
  </conditionalFormatting>
  <conditionalFormatting sqref="M248:O249 N282:O282">
    <cfRule type="expression" dxfId="2234" priority="158">
      <formula>$N$282 &gt; 0</formula>
    </cfRule>
    <cfRule type="expression" dxfId="2233" priority="159">
      <formula>$N$282 = 0</formula>
    </cfRule>
    <cfRule type="expression" dxfId="2232" priority="160">
      <formula>$N$282 &lt; 0</formula>
    </cfRule>
  </conditionalFormatting>
  <conditionalFormatting sqref="D250:F280">
    <cfRule type="expression" dxfId="2231" priority="155">
      <formula>AND($E250 &gt; 0, ISNUMBER($E250))</formula>
    </cfRule>
    <cfRule type="expression" dxfId="2230" priority="156">
      <formula>AND($E250 = 0, ISNUMBER($E250))</formula>
    </cfRule>
    <cfRule type="expression" dxfId="2229" priority="157">
      <formula>AND($E250 &lt; 0, ISNUMBER($E250))</formula>
    </cfRule>
  </conditionalFormatting>
  <conditionalFormatting sqref="G250:I280">
    <cfRule type="expression" dxfId="2228" priority="152">
      <formula>AND($H250 &gt; 0, ISNUMBER($H250))</formula>
    </cfRule>
    <cfRule type="expression" dxfId="2227" priority="153">
      <formula>AND($H250 = 0, ISNUMBER($H250))</formula>
    </cfRule>
    <cfRule type="expression" dxfId="2226" priority="154">
      <formula>AND($H250 &lt; 0, ISNUMBER($H250))</formula>
    </cfRule>
  </conditionalFormatting>
  <conditionalFormatting sqref="J250:L280">
    <cfRule type="expression" dxfId="2225" priority="149">
      <formula>AND($K250 &gt; 0, ISNUMBER($K250))</formula>
    </cfRule>
    <cfRule type="expression" dxfId="2224" priority="150">
      <formula>AND($K250 = 0, ISNUMBER($K250))</formula>
    </cfRule>
    <cfRule type="expression" dxfId="2223" priority="151">
      <formula>AND($K250 &lt; 0, ISNUMBER($K250))</formula>
    </cfRule>
  </conditionalFormatting>
  <conditionalFormatting sqref="M250:O280">
    <cfRule type="expression" dxfId="2222" priority="146">
      <formula>AND($N250 &gt; 0, ISNUMBER($N250))</formula>
    </cfRule>
    <cfRule type="expression" dxfId="2221" priority="147">
      <formula>AND($N250 = 0, ISNUMBER($N250))</formula>
    </cfRule>
    <cfRule type="expression" dxfId="2220" priority="148">
      <formula>AND($N250 &lt; 0, ISNUMBER($N250))</formula>
    </cfRule>
  </conditionalFormatting>
  <conditionalFormatting sqref="D5:F6">
    <cfRule type="expression" dxfId="2219" priority="143">
      <formula>$F$130 &gt; 0</formula>
    </cfRule>
    <cfRule type="expression" dxfId="2218" priority="144">
      <formula>$F$130 = 0</formula>
    </cfRule>
    <cfRule type="expression" dxfId="2217" priority="145">
      <formula>$F$130 &lt; 0</formula>
    </cfRule>
  </conditionalFormatting>
  <conditionalFormatting sqref="D7:F8">
    <cfRule type="expression" dxfId="2216" priority="140">
      <formula>$F$206 &gt; 0</formula>
    </cfRule>
    <cfRule type="expression" dxfId="2215" priority="141">
      <formula>$F$206 = 0</formula>
    </cfRule>
    <cfRule type="expression" dxfId="2214" priority="142">
      <formula>$F$206 &lt; 0</formula>
    </cfRule>
  </conditionalFormatting>
  <conditionalFormatting sqref="D9:F10">
    <cfRule type="expression" dxfId="2213" priority="137">
      <formula>$F$244 &gt; 0</formula>
    </cfRule>
    <cfRule type="expression" dxfId="2212" priority="138">
      <formula>$F$244 = 0</formula>
    </cfRule>
    <cfRule type="expression" dxfId="2211" priority="139">
      <formula>$F$244 &lt; 0</formula>
    </cfRule>
  </conditionalFormatting>
  <conditionalFormatting sqref="D11:F12">
    <cfRule type="expression" dxfId="2210" priority="134">
      <formula>$F$168 &gt; 0</formula>
    </cfRule>
    <cfRule type="expression" dxfId="2209" priority="135">
      <formula>$F$168 = 0</formula>
    </cfRule>
    <cfRule type="expression" dxfId="2208" priority="136">
      <formula>$F$168 &lt; 0</formula>
    </cfRule>
  </conditionalFormatting>
  <conditionalFormatting sqref="D13:F14">
    <cfRule type="expression" dxfId="2207" priority="92">
      <formula>$F$282 &gt; 0</formula>
    </cfRule>
    <cfRule type="expression" dxfId="2206" priority="93">
      <formula>$F$282 = 0</formula>
    </cfRule>
    <cfRule type="expression" dxfId="2205" priority="94">
      <formula>$F$282 &lt; 0</formula>
    </cfRule>
  </conditionalFormatting>
  <conditionalFormatting sqref="D15:F16">
    <cfRule type="expression" dxfId="2204" priority="77">
      <formula>$F$54 &gt; 0</formula>
    </cfRule>
    <cfRule type="expression" dxfId="2203" priority="78">
      <formula>$F$54 = 0</formula>
    </cfRule>
    <cfRule type="expression" dxfId="2202" priority="79">
      <formula>$F$54 &lt; 0</formula>
    </cfRule>
  </conditionalFormatting>
  <conditionalFormatting sqref="G5:I6">
    <cfRule type="expression" dxfId="2201" priority="65">
      <formula>$I$130 &gt; 0</formula>
    </cfRule>
    <cfRule type="expression" dxfId="2200" priority="66">
      <formula>$I$130 = 0</formula>
    </cfRule>
    <cfRule type="expression" dxfId="2199" priority="67">
      <formula>$I$130 &lt; 0</formula>
    </cfRule>
  </conditionalFormatting>
  <conditionalFormatting sqref="G7:I8">
    <cfRule type="expression" dxfId="2198" priority="62">
      <formula>$I$206 &gt; 0</formula>
    </cfRule>
    <cfRule type="expression" dxfId="2197" priority="63">
      <formula>$I$206 = 0</formula>
    </cfRule>
    <cfRule type="expression" dxfId="2196" priority="64">
      <formula>$I$206 &lt; 0</formula>
    </cfRule>
  </conditionalFormatting>
  <conditionalFormatting sqref="G9:I10">
    <cfRule type="expression" dxfId="2195" priority="59">
      <formula>$I$244 &gt; 0</formula>
    </cfRule>
    <cfRule type="expression" dxfId="2194" priority="60">
      <formula>$I$244 = 0</formula>
    </cfRule>
    <cfRule type="expression" dxfId="2193" priority="61">
      <formula>$I$244 &lt; 0</formula>
    </cfRule>
  </conditionalFormatting>
  <conditionalFormatting sqref="G11:I12">
    <cfRule type="expression" dxfId="2192" priority="56">
      <formula>$I$168 &gt; 0</formula>
    </cfRule>
    <cfRule type="expression" dxfId="2191" priority="57">
      <formula>$I$168 = 0</formula>
    </cfRule>
    <cfRule type="expression" dxfId="2190" priority="58">
      <formula>$I$168 &lt; 0</formula>
    </cfRule>
  </conditionalFormatting>
  <conditionalFormatting sqref="G13:I14">
    <cfRule type="expression" dxfId="2189" priority="53">
      <formula>$I$282 &gt; 0</formula>
    </cfRule>
    <cfRule type="expression" dxfId="2188" priority="54">
      <formula>$I$282 = 0</formula>
    </cfRule>
    <cfRule type="expression" dxfId="2187" priority="55">
      <formula>$I$282 &lt; 0</formula>
    </cfRule>
  </conditionalFormatting>
  <conditionalFormatting sqref="G15:I16">
    <cfRule type="expression" dxfId="2186" priority="50">
      <formula>$I$54 &gt; 0</formula>
    </cfRule>
    <cfRule type="expression" dxfId="2185" priority="51">
      <formula>$I$54 = 0</formula>
    </cfRule>
    <cfRule type="expression" dxfId="2184" priority="52">
      <formula>$I$54 &lt; 0</formula>
    </cfRule>
  </conditionalFormatting>
  <conditionalFormatting sqref="J5:L6">
    <cfRule type="expression" dxfId="2183" priority="47">
      <formula>$L$130 &gt; 0</formula>
    </cfRule>
    <cfRule type="expression" dxfId="2182" priority="48">
      <formula>$L$130 = 0</formula>
    </cfRule>
    <cfRule type="expression" dxfId="2181" priority="49">
      <formula>$L$130 &lt; 0</formula>
    </cfRule>
  </conditionalFormatting>
  <conditionalFormatting sqref="J7:L8">
    <cfRule type="expression" dxfId="2180" priority="44">
      <formula>$L$206 &gt; 0</formula>
    </cfRule>
    <cfRule type="expression" dxfId="2179" priority="45">
      <formula>$L$206 = 0</formula>
    </cfRule>
    <cfRule type="expression" dxfId="2178" priority="46">
      <formula>$L$206 &lt; 0</formula>
    </cfRule>
  </conditionalFormatting>
  <conditionalFormatting sqref="J9:L10">
    <cfRule type="expression" dxfId="2177" priority="41">
      <formula>$L$244 &gt; 0</formula>
    </cfRule>
    <cfRule type="expression" dxfId="2176" priority="42">
      <formula>$L$244 = 0</formula>
    </cfRule>
    <cfRule type="expression" dxfId="2175" priority="43">
      <formula>$L$244 &lt; 0</formula>
    </cfRule>
  </conditionalFormatting>
  <conditionalFormatting sqref="J11:L12">
    <cfRule type="expression" dxfId="2174" priority="38">
      <formula>$L$168 &gt; 0</formula>
    </cfRule>
    <cfRule type="expression" dxfId="2173" priority="39">
      <formula>$L$168 = 0</formula>
    </cfRule>
    <cfRule type="expression" dxfId="2172" priority="40">
      <formula>$L$168 &lt; 0</formula>
    </cfRule>
  </conditionalFormatting>
  <conditionalFormatting sqref="J13:L14">
    <cfRule type="expression" dxfId="2171" priority="35">
      <formula>$L$282 &gt; 0</formula>
    </cfRule>
    <cfRule type="expression" dxfId="2170" priority="36">
      <formula>$L$282 = 0</formula>
    </cfRule>
    <cfRule type="expression" dxfId="2169" priority="37">
      <formula>$L$282 &lt; 0</formula>
    </cfRule>
  </conditionalFormatting>
  <conditionalFormatting sqref="J15:L16">
    <cfRule type="expression" dxfId="2168" priority="32">
      <formula>$L$54 &gt; 0</formula>
    </cfRule>
    <cfRule type="expression" dxfId="2167" priority="33">
      <formula>$L$54 = 0</formula>
    </cfRule>
    <cfRule type="expression" dxfId="2166" priority="34">
      <formula>$L$54 &lt; 0</formula>
    </cfRule>
  </conditionalFormatting>
  <conditionalFormatting sqref="M5:O6">
    <cfRule type="expression" dxfId="2165" priority="29">
      <formula>$O$130 &gt; 0</formula>
    </cfRule>
    <cfRule type="expression" dxfId="2164" priority="30">
      <formula>$O$130 = 0</formula>
    </cfRule>
    <cfRule type="expression" dxfId="2163" priority="31">
      <formula>$O$130 &lt; 0</formula>
    </cfRule>
  </conditionalFormatting>
  <conditionalFormatting sqref="M7:O8">
    <cfRule type="expression" dxfId="2162" priority="26">
      <formula>$O$206 &gt; 0</formula>
    </cfRule>
    <cfRule type="expression" dxfId="2161" priority="27">
      <formula>$O$206 = 0</formula>
    </cfRule>
    <cfRule type="expression" dxfId="2160" priority="28">
      <formula>$O$206 &lt; 0</formula>
    </cfRule>
  </conditionalFormatting>
  <conditionalFormatting sqref="M9:O10">
    <cfRule type="expression" dxfId="2159" priority="23">
      <formula>$O$244 &gt; 0</formula>
    </cfRule>
    <cfRule type="expression" dxfId="2158" priority="24">
      <formula>$O$244 = 0</formula>
    </cfRule>
    <cfRule type="expression" dxfId="2157" priority="25">
      <formula>$O$244 &lt; 0</formula>
    </cfRule>
  </conditionalFormatting>
  <conditionalFormatting sqref="M11:O12">
    <cfRule type="expression" dxfId="2156" priority="20">
      <formula>$O$168 &gt; 0</formula>
    </cfRule>
    <cfRule type="expression" dxfId="2155" priority="21">
      <formula>$O$168 = 0</formula>
    </cfRule>
    <cfRule type="expression" dxfId="2154" priority="22">
      <formula>$O$168 &lt; 0</formula>
    </cfRule>
  </conditionalFormatting>
  <conditionalFormatting sqref="M13:O14">
    <cfRule type="expression" dxfId="2153" priority="17">
      <formula>$O$282 &gt; 0</formula>
    </cfRule>
    <cfRule type="expression" dxfId="2152" priority="18">
      <formula>$O$282 = 0</formula>
    </cfRule>
    <cfRule type="expression" dxfId="2151" priority="19">
      <formula>$O$282 &lt; 0</formula>
    </cfRule>
  </conditionalFormatting>
  <conditionalFormatting sqref="M15:O16">
    <cfRule type="expression" dxfId="2150" priority="14">
      <formula>$O$54 &gt; 0</formula>
    </cfRule>
    <cfRule type="expression" dxfId="2149" priority="15">
      <formula>$O$54 = 0</formula>
    </cfRule>
    <cfRule type="expression" dxfId="2148" priority="16">
      <formula>$O$54 &lt; 0</formula>
    </cfRule>
  </conditionalFormatting>
  <conditionalFormatting sqref="D3:F4">
    <cfRule type="expression" dxfId="2147" priority="13">
      <formula>$F$92 &lt; 0</formula>
    </cfRule>
    <cfRule type="expression" dxfId="2146" priority="12">
      <formula>$F$92 = 0</formula>
    </cfRule>
    <cfRule type="expression" dxfId="2145" priority="11">
      <formula>$F$92 &gt; 0</formula>
    </cfRule>
  </conditionalFormatting>
  <conditionalFormatting sqref="G3:I4">
    <cfRule type="expression" dxfId="2144" priority="10">
      <formula>$I$92 &lt; 0</formula>
    </cfRule>
    <cfRule type="expression" dxfId="2143" priority="9">
      <formula>$I$92 = 0</formula>
    </cfRule>
    <cfRule type="expression" dxfId="2142" priority="8">
      <formula>$I$92 &gt; 0</formula>
    </cfRule>
  </conditionalFormatting>
  <conditionalFormatting sqref="J3:L4">
    <cfRule type="expression" dxfId="2141" priority="5">
      <formula>$L$92 &gt; 0</formula>
    </cfRule>
    <cfRule type="expression" dxfId="2140" priority="6">
      <formula>$L$92 = 0</formula>
    </cfRule>
    <cfRule type="expression" dxfId="2139" priority="7">
      <formula>$L$92 &lt; 0</formula>
    </cfRule>
  </conditionalFormatting>
  <conditionalFormatting sqref="M3:O4">
    <cfRule type="expression" dxfId="2138" priority="2">
      <formula>$O$92 &gt; 0</formula>
    </cfRule>
    <cfRule type="expression" dxfId="2137" priority="3">
      <formula>$O$92 = 0</formula>
    </cfRule>
    <cfRule type="expression" dxfId="2136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849C-4014-4C8E-96FB-3A63550E1F2F}">
  <sheetPr codeName="Sheet6"/>
  <dimension ref="A1:S199"/>
  <sheetViews>
    <sheetView topLeftCell="A10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2.75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7" t="s">
        <v>0</v>
      </c>
      <c r="B1" s="228"/>
      <c r="C1" s="228"/>
      <c r="D1" s="228"/>
      <c r="E1" s="228"/>
      <c r="F1" s="229"/>
      <c r="G1" s="258">
        <v>44378</v>
      </c>
      <c r="H1" s="259"/>
      <c r="I1" s="260"/>
      <c r="J1" s="227" t="s">
        <v>1</v>
      </c>
      <c r="K1" s="228"/>
      <c r="L1" s="228"/>
      <c r="M1" s="228"/>
      <c r="N1" s="228"/>
      <c r="O1" s="229"/>
      <c r="Q1" s="227" t="s">
        <v>2</v>
      </c>
      <c r="R1" s="229"/>
    </row>
    <row r="2" spans="1:19" ht="17.25" customHeight="1">
      <c r="A2" s="117" t="s">
        <v>3</v>
      </c>
      <c r="B2" s="261" t="s">
        <v>8</v>
      </c>
      <c r="C2" s="262"/>
      <c r="D2" s="262"/>
      <c r="E2" s="262"/>
      <c r="F2" s="263"/>
      <c r="G2" s="255" t="s">
        <v>46</v>
      </c>
      <c r="H2" s="256"/>
      <c r="I2" s="257"/>
      <c r="J2" s="1" t="s">
        <v>3</v>
      </c>
      <c r="K2" s="261" t="s">
        <v>321</v>
      </c>
      <c r="L2" s="262"/>
      <c r="M2" s="262"/>
      <c r="N2" s="262"/>
      <c r="O2" s="263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329</v>
      </c>
      <c r="C3" s="253"/>
      <c r="D3" s="253"/>
      <c r="E3" s="253"/>
      <c r="F3" s="254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14,960 KRW (0.75%)</v>
      </c>
      <c r="H3" s="249"/>
      <c r="I3" s="250"/>
      <c r="J3" s="4" t="s">
        <v>7</v>
      </c>
      <c r="K3" s="252" t="s">
        <v>322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55" t="s">
        <v>44</v>
      </c>
      <c r="H4" s="256"/>
      <c r="I4" s="257"/>
      <c r="J4" s="4" t="s">
        <v>11</v>
      </c>
      <c r="K4" s="252" t="s">
        <v>323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320</v>
      </c>
      <c r="C5" s="253"/>
      <c r="D5" s="253"/>
      <c r="E5" s="253"/>
      <c r="F5" s="254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131,708 KRW (6.59%)</v>
      </c>
      <c r="H5" s="249"/>
      <c r="I5" s="250"/>
      <c r="J5" s="4" t="s">
        <v>15</v>
      </c>
      <c r="K5" s="252" t="s">
        <v>324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55" t="s">
        <v>45</v>
      </c>
      <c r="H6" s="256"/>
      <c r="I6" s="257"/>
      <c r="J6" s="4" t="s">
        <v>18</v>
      </c>
      <c r="K6" s="252" t="s">
        <v>325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81,410 KRW (4.07%)</v>
      </c>
      <c r="H7" s="249"/>
      <c r="I7" s="250"/>
      <c r="J7" s="4" t="s">
        <v>21</v>
      </c>
      <c r="K7" s="252" t="s">
        <v>326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55" t="s">
        <v>256</v>
      </c>
      <c r="H8" s="256"/>
      <c r="I8" s="257"/>
      <c r="J8" s="4" t="s">
        <v>24</v>
      </c>
      <c r="K8" s="252"/>
      <c r="L8" s="253"/>
      <c r="M8" s="253"/>
      <c r="N8" s="253"/>
      <c r="O8" s="254"/>
      <c r="Q8" s="227" t="s">
        <v>27</v>
      </c>
      <c r="R8" s="229"/>
    </row>
    <row r="9" spans="1:19" ht="17.25" thickBot="1">
      <c r="A9" s="118" t="s">
        <v>28</v>
      </c>
      <c r="B9" s="252"/>
      <c r="C9" s="253"/>
      <c r="D9" s="253"/>
      <c r="E9" s="253"/>
      <c r="F9" s="254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103,390 KRW (5.17%)</v>
      </c>
      <c r="H9" s="249"/>
      <c r="I9" s="250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55" t="s">
        <v>47</v>
      </c>
      <c r="H10" s="256"/>
      <c r="I10" s="257"/>
      <c r="J10" s="4" t="s">
        <v>30</v>
      </c>
      <c r="K10" s="252" t="s">
        <v>327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45" t="s">
        <v>328</v>
      </c>
      <c r="C11" s="246"/>
      <c r="D11" s="246"/>
      <c r="E11" s="246"/>
      <c r="F11" s="247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45" t="s">
        <v>319</v>
      </c>
      <c r="L11" s="246"/>
      <c r="M11" s="246"/>
      <c r="N11" s="246"/>
      <c r="O11" s="247"/>
      <c r="Q11" s="65" t="s">
        <v>33</v>
      </c>
      <c r="R11" s="8">
        <v>1000</v>
      </c>
    </row>
    <row r="12" spans="1:19" ht="17.25" thickBot="1"/>
    <row r="13" spans="1:19" ht="17.25" customHeight="1" thickBot="1">
      <c r="A13" s="227" t="s">
        <v>34</v>
      </c>
      <c r="B13" s="228"/>
      <c r="C13" s="228"/>
      <c r="D13" s="228"/>
      <c r="E13" s="228"/>
      <c r="F13" s="228"/>
      <c r="G13" s="228"/>
      <c r="H13" s="228"/>
      <c r="I13" s="228"/>
      <c r="J13" s="228"/>
      <c r="K13" s="228"/>
      <c r="L13" s="228"/>
      <c r="M13" s="228"/>
      <c r="N13" s="228"/>
      <c r="O13" s="229"/>
      <c r="Q13" s="226"/>
      <c r="R13" s="226"/>
      <c r="S13" s="226"/>
    </row>
    <row r="14" spans="1:19" ht="17.25" customHeight="1" thickBot="1">
      <c r="A14" s="157" t="s">
        <v>35</v>
      </c>
      <c r="B14" s="227" t="s">
        <v>36</v>
      </c>
      <c r="C14" s="229"/>
      <c r="D14" s="227" t="s">
        <v>37</v>
      </c>
      <c r="E14" s="228"/>
      <c r="F14" s="229"/>
      <c r="G14" s="230">
        <f>_xlfn.IFNA(VLOOKUP(B14, 현재가테이블!$B$2:$D$200, 2, FALSE), "-")</f>
        <v>39916000</v>
      </c>
      <c r="H14" s="231"/>
      <c r="I14" s="232"/>
      <c r="J14" s="227" t="s">
        <v>38</v>
      </c>
      <c r="K14" s="228"/>
      <c r="L14" s="229"/>
      <c r="M14" s="233">
        <f>_xlfn.IFNA(VLOOKUP(B14, 현재가테이블!$B$2:$D$200, 3, FALSE), "-")</f>
        <v>7.3184273000000003E-3</v>
      </c>
      <c r="N14" s="234"/>
      <c r="O14" s="235"/>
      <c r="Q14" s="226"/>
      <c r="R14" s="226"/>
      <c r="S14" s="226"/>
    </row>
    <row r="15" spans="1:19" ht="17.25" customHeight="1" thickBot="1">
      <c r="A15" s="264" t="s">
        <v>39</v>
      </c>
      <c r="B15" s="265" t="str">
        <f>TEXT($G$1, "[$-ko-KR]yyyy-mm-dd(ddd) ") &amp; "오전 00:00"</f>
        <v>2021-07-01(목) 오전 00:00</v>
      </c>
      <c r="C15" s="266"/>
      <c r="D15" s="240" t="str">
        <f>TEXT($G$1, "[$-ko-KR]yyyy-mm-dd(ddd) ") &amp; "오후 14:00"</f>
        <v>2021-07-01(목) 오후 14:00</v>
      </c>
      <c r="E15" s="241"/>
      <c r="F15" s="242"/>
      <c r="G15" s="240" t="str">
        <f>TEXT($G$1, "[$-ko-KR]yyyy-mm-dd(ddd) ") &amp; "오후 19:00"</f>
        <v>2021-07-01(목) 오후 19:00</v>
      </c>
      <c r="H15" s="241"/>
      <c r="I15" s="242"/>
      <c r="J15" s="240" t="str">
        <f>TEXT($G$1, "[$-ko-KR]yyyy-mm-dd(ddd) ") &amp; "오후 21:00"</f>
        <v>2021-07-01(목) 오후 21:00</v>
      </c>
      <c r="K15" s="241"/>
      <c r="L15" s="242"/>
      <c r="M15" s="240" t="str">
        <f>TEXT($G$1+1, "[$-ko-KR]yyyy-mm-dd(ddd) ") &amp; "오전 00:00"</f>
        <v>2021-07-02(금) 오전 00:00</v>
      </c>
      <c r="N15" s="241"/>
      <c r="O15" s="242"/>
      <c r="Q15" s="226"/>
      <c r="R15" s="226"/>
      <c r="S15" s="226"/>
    </row>
    <row r="16" spans="1:19" ht="17.25" customHeight="1" thickBot="1">
      <c r="A16" s="26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6"/>
      <c r="R16" s="216"/>
      <c r="S16" s="21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6"/>
      <c r="R19" s="216"/>
      <c r="S19" s="21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6"/>
      <c r="R20" s="216"/>
      <c r="S20" s="21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6"/>
      <c r="R21" s="216"/>
      <c r="S21" s="21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6"/>
      <c r="R22" s="216"/>
      <c r="S22" s="21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6"/>
      <c r="R23" s="216"/>
      <c r="S23" s="21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6"/>
      <c r="R24" s="216"/>
      <c r="S24" s="21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6"/>
      <c r="R29" s="216"/>
      <c r="S29" s="21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6"/>
      <c r="R32" s="216"/>
      <c r="S32" s="21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6"/>
      <c r="R33" s="216"/>
      <c r="S33" s="21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6"/>
      <c r="R34" s="216"/>
      <c r="S34" s="21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5"/>
      <c r="R35" s="206"/>
      <c r="S35" s="2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8"/>
      <c r="R36" s="209"/>
      <c r="S36" s="210"/>
    </row>
    <row r="37" spans="1:19" ht="17.25" customHeight="1" thickBot="1">
      <c r="A37" s="132" t="s">
        <v>42</v>
      </c>
      <c r="B37" s="269">
        <v>100000</v>
      </c>
      <c r="C37" s="27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1"/>
      <c r="R37" s="212"/>
      <c r="S37" s="213"/>
    </row>
    <row r="38" spans="1:19" ht="17.25" customHeight="1"/>
    <row r="39" spans="1:19" ht="17.25" customHeight="1" thickBot="1"/>
    <row r="40" spans="1:19" ht="17.25" customHeight="1" thickBot="1">
      <c r="A40" s="227" t="s">
        <v>44</v>
      </c>
      <c r="B40" s="228"/>
      <c r="C40" s="228"/>
      <c r="D40" s="228"/>
      <c r="E40" s="228"/>
      <c r="F40" s="228"/>
      <c r="G40" s="228"/>
      <c r="H40" s="228"/>
      <c r="I40" s="228"/>
      <c r="J40" s="228"/>
      <c r="K40" s="228"/>
      <c r="L40" s="228"/>
      <c r="M40" s="228"/>
      <c r="N40" s="228"/>
      <c r="O40" s="229"/>
      <c r="Q40" s="226"/>
      <c r="R40" s="226"/>
      <c r="S40" s="226"/>
    </row>
    <row r="41" spans="1:19" ht="17.25" customHeight="1" thickBot="1">
      <c r="A41" s="157" t="s">
        <v>268</v>
      </c>
      <c r="B41" s="227" t="s">
        <v>49</v>
      </c>
      <c r="C41" s="229"/>
      <c r="D41" s="227" t="s">
        <v>58</v>
      </c>
      <c r="E41" s="228"/>
      <c r="F41" s="229"/>
      <c r="G41" s="230">
        <f>_xlfn.IFNA(VLOOKUP(B41, 현재가테이블!$B$2:$D$200, 2, FALSE), "-")</f>
        <v>39916000</v>
      </c>
      <c r="H41" s="231"/>
      <c r="I41" s="232"/>
      <c r="J41" s="227" t="s">
        <v>59</v>
      </c>
      <c r="K41" s="228"/>
      <c r="L41" s="229"/>
      <c r="M41" s="233">
        <f>_xlfn.IFNA(VLOOKUP(B41, 현재가테이블!$B$2:$D$200, 3, FALSE), "-")</f>
        <v>7.3184273000000003E-3</v>
      </c>
      <c r="N41" s="234"/>
      <c r="O41" s="235"/>
      <c r="Q41" s="226"/>
      <c r="R41" s="226"/>
      <c r="S41" s="226"/>
    </row>
    <row r="42" spans="1:19" ht="17.25" customHeight="1" thickBot="1">
      <c r="A42" s="271" t="s">
        <v>55</v>
      </c>
      <c r="B42" s="267" t="str">
        <f>TEXT($G$1, "[$-ko-KR]yyyy-mm-dd(ddd) ") &amp; "오전 00:00"</f>
        <v>2021-07-01(목) 오전 00:00</v>
      </c>
      <c r="C42" s="268"/>
      <c r="D42" s="240" t="str">
        <f>TEXT($G$1, "[$-ko-KR]yyyy-mm-dd(ddd) ") &amp; "오후 14:00"</f>
        <v>2021-07-01(목) 오후 14:00</v>
      </c>
      <c r="E42" s="241"/>
      <c r="F42" s="242"/>
      <c r="G42" s="240" t="str">
        <f>TEXT($G$1, "[$-ko-KR]yyyy-mm-dd(ddd) ") &amp; "오후 19:00"</f>
        <v>2021-07-01(목) 오후 19:00</v>
      </c>
      <c r="H42" s="241"/>
      <c r="I42" s="242"/>
      <c r="J42" s="240" t="str">
        <f>TEXT($G$1, "[$-ko-KR]yyyy-mm-dd(ddd) ") &amp; "오후 21:00"</f>
        <v>2021-07-01(목) 오후 21:00</v>
      </c>
      <c r="K42" s="241"/>
      <c r="L42" s="242"/>
      <c r="M42" s="240" t="str">
        <f>TEXT($G$1+1, "[$-ko-KR]yyyy-mm-dd(ddd) ") &amp; "오전 00:00"</f>
        <v>2021-07-02(금) 오전 00:00</v>
      </c>
      <c r="N42" s="241"/>
      <c r="O42" s="242"/>
      <c r="Q42" s="226"/>
      <c r="R42" s="226"/>
      <c r="S42" s="226"/>
    </row>
    <row r="43" spans="1:19" ht="17.25" customHeight="1" thickBot="1">
      <c r="A43" s="27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58" t="s">
        <v>58</v>
      </c>
      <c r="H43" s="159" t="s">
        <v>269</v>
      </c>
      <c r="I43" s="16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6"/>
      <c r="R43" s="216"/>
      <c r="S43" s="216"/>
    </row>
    <row r="44" spans="1:19" ht="17.25" customHeight="1" thickBot="1">
      <c r="A44" s="123" t="s">
        <v>122</v>
      </c>
      <c r="B44" s="124">
        <v>21.3</v>
      </c>
      <c r="C44" s="76">
        <v>4.92610837E-2</v>
      </c>
      <c r="D44" s="13">
        <v>25.8</v>
      </c>
      <c r="E44" s="14">
        <f>IF(ISNUMBER(D44), (D44 - $B44) / $B44, "")</f>
        <v>0.21126760563380281</v>
      </c>
      <c r="F44" s="16">
        <f>IF(ISNUMBER(D44), $B64 * E44, "")</f>
        <v>21126.760563380281</v>
      </c>
      <c r="G44" s="29">
        <v>24.5</v>
      </c>
      <c r="H44" s="14">
        <f>IF(ISNUMBER(G44), (G44 - $B44) / $B44, "")</f>
        <v>0.15023474178403751</v>
      </c>
      <c r="I44" s="100">
        <f>IF(ISNUMBER(G44), $B64 * H44, "")</f>
        <v>15023.474178403751</v>
      </c>
      <c r="J44" s="13">
        <v>24.8</v>
      </c>
      <c r="K44" s="14">
        <f>IF(ISNUMBER(J44), (J44 - $B44) / $B44, "")</f>
        <v>0.16431924882629106</v>
      </c>
      <c r="L44" s="16">
        <f>IF(ISNUMBER(J44), $B64 * K44, "")</f>
        <v>16431.924882629108</v>
      </c>
      <c r="M44" s="29">
        <v>24.4</v>
      </c>
      <c r="N44" s="14">
        <f>IF(ISNUMBER(M44), (M44 - $B44) / $B44, "")</f>
        <v>0.14553990610328629</v>
      </c>
      <c r="O44" s="16">
        <f>IF(ISNUMBER(M44), $B64 * N44, "")</f>
        <v>14553.990610328628</v>
      </c>
      <c r="Q44" s="226"/>
      <c r="R44" s="226"/>
      <c r="S44" s="226"/>
    </row>
    <row r="45" spans="1:19" ht="17.25" customHeight="1" thickBot="1">
      <c r="A45" s="125" t="s">
        <v>188</v>
      </c>
      <c r="B45" s="126">
        <v>7.9</v>
      </c>
      <c r="C45" s="77">
        <v>3.1331592700000001E-2</v>
      </c>
      <c r="D45" s="15">
        <v>8.82</v>
      </c>
      <c r="E45" s="32">
        <f t="shared" ref="E45:E48" si="14">IF(ISNUMBER(D45), (D45 - $B45) / $B45, "")</f>
        <v>0.11645569620253163</v>
      </c>
      <c r="F45" s="18">
        <f>IF(ISNUMBER(D45), $B64 * E45, "")</f>
        <v>11645.569620253164</v>
      </c>
      <c r="G45" s="31">
        <v>8.27</v>
      </c>
      <c r="H45" s="32">
        <f t="shared" ref="H45:H48" si="15">IF(ISNUMBER(G45), (G45 - $B45) / $B45, "")</f>
        <v>4.6835443037974579E-2</v>
      </c>
      <c r="I45" s="101">
        <f>IF(ISNUMBER(G45), $B64 * H45, "")</f>
        <v>4683.5443037974583</v>
      </c>
      <c r="J45" s="15">
        <v>8.5299999999999994</v>
      </c>
      <c r="K45" s="32">
        <f t="shared" ref="K45:K48" si="16">IF(ISNUMBER(J45), (J45 - $B45) / $B45, "")</f>
        <v>7.9746835443037845E-2</v>
      </c>
      <c r="L45" s="18">
        <f>IF(ISNUMBER(J45), $B64 * K45, "")</f>
        <v>7974.6835443037844</v>
      </c>
      <c r="M45" s="31">
        <v>8.51</v>
      </c>
      <c r="N45" s="32">
        <f t="shared" ref="N45:N48" si="17">IF(ISNUMBER(M45), (M45 - $B45) / $B45, "")</f>
        <v>7.7215189873417647E-2</v>
      </c>
      <c r="O45" s="18">
        <f>IF(ISNUMBER(M45), $B64 * N45, "")</f>
        <v>7721.5189873417648</v>
      </c>
      <c r="Q45" s="226"/>
      <c r="R45" s="226"/>
      <c r="S45" s="226"/>
    </row>
    <row r="46" spans="1:19" ht="17.25" customHeight="1" thickBot="1">
      <c r="A46" s="125" t="s">
        <v>210</v>
      </c>
      <c r="B46" s="126">
        <v>7.43</v>
      </c>
      <c r="C46" s="77">
        <v>1.08843537E-2</v>
      </c>
      <c r="D46" s="15">
        <v>8.84</v>
      </c>
      <c r="E46" s="32">
        <f t="shared" si="14"/>
        <v>0.18977119784656798</v>
      </c>
      <c r="F46" s="18">
        <f>IF(ISNUMBER(D46), $B64 * E46, "")</f>
        <v>18977.119784656799</v>
      </c>
      <c r="G46" s="31">
        <v>7.89</v>
      </c>
      <c r="H46" s="32">
        <f t="shared" si="15"/>
        <v>6.1911170928667561E-2</v>
      </c>
      <c r="I46" s="101">
        <f>IF(ISNUMBER(G46), $B64 * H46, "")</f>
        <v>6191.1170928667561</v>
      </c>
      <c r="J46" s="15">
        <v>8.27</v>
      </c>
      <c r="K46" s="32">
        <f t="shared" si="16"/>
        <v>0.11305518169582771</v>
      </c>
      <c r="L46" s="18">
        <f>IF(ISNUMBER(J46), $B64 * K46, "")</f>
        <v>11305.51816958277</v>
      </c>
      <c r="M46" s="31">
        <v>8.2799999999999994</v>
      </c>
      <c r="N46" s="32">
        <f t="shared" si="17"/>
        <v>0.11440107671601611</v>
      </c>
      <c r="O46" s="18">
        <f>IF(ISNUMBER(M46), $B64 * N46, "")</f>
        <v>11440.10767160161</v>
      </c>
      <c r="Q46" s="216"/>
      <c r="R46" s="216"/>
      <c r="S46" s="216"/>
    </row>
    <row r="47" spans="1:19" ht="17.25" customHeight="1" thickBot="1">
      <c r="A47" s="125" t="s">
        <v>208</v>
      </c>
      <c r="B47" s="126">
        <v>8.07</v>
      </c>
      <c r="C47" s="77">
        <v>2.4844720000000002E-3</v>
      </c>
      <c r="D47" s="15">
        <v>9.08</v>
      </c>
      <c r="E47" s="32">
        <f t="shared" si="14"/>
        <v>0.12515489467162327</v>
      </c>
      <c r="F47" s="18">
        <f>IF(ISNUMBER(D47), $B64 * E47, "")</f>
        <v>12515.489467162328</v>
      </c>
      <c r="G47" s="31">
        <v>8.2899999999999991</v>
      </c>
      <c r="H47" s="32">
        <f t="shared" si="15"/>
        <v>2.7261462205699982E-2</v>
      </c>
      <c r="I47" s="101">
        <f>IF(ISNUMBER(G47), $B64 * H47, "")</f>
        <v>2726.1462205699981</v>
      </c>
      <c r="J47" s="15">
        <v>8.57</v>
      </c>
      <c r="K47" s="32">
        <f t="shared" si="16"/>
        <v>6.1957868649318459E-2</v>
      </c>
      <c r="L47" s="18">
        <f>IF(ISNUMBER(J47), $B64 * K47, "")</f>
        <v>6195.7868649318461</v>
      </c>
      <c r="M47" s="31">
        <v>8.67</v>
      </c>
      <c r="N47" s="32">
        <f t="shared" si="17"/>
        <v>7.4349442379182104E-2</v>
      </c>
      <c r="O47" s="18">
        <f>IF(ISNUMBER(M47), $B64 * N47, "")</f>
        <v>7434.9442379182101</v>
      </c>
      <c r="Q47" s="216"/>
      <c r="R47" s="216"/>
      <c r="S47" s="216"/>
    </row>
    <row r="48" spans="1:19" ht="17.25" customHeight="1" thickBot="1">
      <c r="A48" s="127" t="s">
        <v>132</v>
      </c>
      <c r="B48" s="128">
        <v>97.8</v>
      </c>
      <c r="C48" s="78">
        <v>-2.1999999999999999E-2</v>
      </c>
      <c r="D48" s="20">
        <v>97.3</v>
      </c>
      <c r="E48" s="21">
        <f t="shared" si="14"/>
        <v>-5.1124744376278121E-3</v>
      </c>
      <c r="F48" s="22">
        <f>IF(ISNUMBER(D48), $B64 * E48, "")</f>
        <v>-511.24744376278119</v>
      </c>
      <c r="G48" s="30">
        <v>94.5</v>
      </c>
      <c r="H48" s="21">
        <f t="shared" si="15"/>
        <v>-3.374233128834353E-2</v>
      </c>
      <c r="I48" s="105">
        <f>IF(ISNUMBER(G48), $B64 * H48, "")</f>
        <v>-3374.233128834353</v>
      </c>
      <c r="J48" s="20">
        <v>95.9</v>
      </c>
      <c r="K48" s="21">
        <f t="shared" si="16"/>
        <v>-1.94274028629856E-2</v>
      </c>
      <c r="L48" s="22">
        <f>IF(ISNUMBER(J48), $B64 * K48, "")</f>
        <v>-1942.74028629856</v>
      </c>
      <c r="M48" s="30">
        <v>96.8</v>
      </c>
      <c r="N48" s="21">
        <f t="shared" si="17"/>
        <v>-1.0224948875255624E-2</v>
      </c>
      <c r="O48" s="22">
        <f>IF(ISNUMBER(M48), $B64 * N48, "")</f>
        <v>-1022.4948875255624</v>
      </c>
      <c r="Q48" s="216"/>
      <c r="R48" s="216"/>
      <c r="S48" s="216"/>
    </row>
    <row r="49" spans="1:19" ht="17.25" customHeight="1" thickBot="1">
      <c r="A49" s="125" t="s">
        <v>239</v>
      </c>
      <c r="B49" s="129">
        <v>60.9</v>
      </c>
      <c r="C49" s="80">
        <v>-2.2471910099999999E-2</v>
      </c>
      <c r="D49" s="106">
        <v>66</v>
      </c>
      <c r="E49" s="107">
        <f>IF(ISNUMBER(D49), (D49 - $B49) / $B49, "")</f>
        <v>8.3743842364532042E-2</v>
      </c>
      <c r="F49" s="108">
        <f>IF(ISNUMBER(D49), $B64 * E49, "")</f>
        <v>8374.3842364532047</v>
      </c>
      <c r="G49" s="109">
        <v>64</v>
      </c>
      <c r="H49" s="107">
        <f>IF(ISNUMBER(G49), (G49 - $B49) / $B49, "")</f>
        <v>5.0903119868637131E-2</v>
      </c>
      <c r="I49" s="110">
        <f>IF(ISNUMBER(G49), $B64 * H49, "")</f>
        <v>5090.3119868637132</v>
      </c>
      <c r="J49" s="106">
        <v>64.900000000000006</v>
      </c>
      <c r="K49" s="107">
        <f>IF(ISNUMBER(J49), (J49 - $B49) / $B49, "")</f>
        <v>6.5681444991789933E-2</v>
      </c>
      <c r="L49" s="108">
        <f>IF(ISNUMBER(J49), $B64 * K49, "")</f>
        <v>6568.1444991789931</v>
      </c>
      <c r="M49" s="109">
        <v>64.5</v>
      </c>
      <c r="N49" s="107">
        <f>IF(ISNUMBER(M49), (M49 - $B49) / $B49, "")</f>
        <v>5.9113300492610862E-2</v>
      </c>
      <c r="O49" s="108">
        <f>IF(ISNUMBER(M49), $B64 * N49, "")</f>
        <v>5911.3300492610861</v>
      </c>
      <c r="Q49" s="216"/>
      <c r="R49" s="216"/>
      <c r="S49" s="216"/>
    </row>
    <row r="50" spans="1:19" ht="17.25" customHeight="1" thickBot="1">
      <c r="A50" s="125" t="s">
        <v>72</v>
      </c>
      <c r="B50" s="126">
        <v>15.6</v>
      </c>
      <c r="C50" s="77">
        <v>-2.5000000000000001E-2</v>
      </c>
      <c r="D50" s="15">
        <v>17.8</v>
      </c>
      <c r="E50" s="32">
        <f t="shared" ref="E50:E53" si="18">IF(ISNUMBER(D50), (D50 - $B50) / $B50, "")</f>
        <v>0.14102564102564111</v>
      </c>
      <c r="F50" s="18">
        <f>IF(ISNUMBER(D50), $B64 * E50, "")</f>
        <v>14102.564102564111</v>
      </c>
      <c r="G50" s="31">
        <v>16.2</v>
      </c>
      <c r="H50" s="32">
        <f t="shared" ref="H50:H53" si="19">IF(ISNUMBER(G50), (G50 - $B50) / $B50, "")</f>
        <v>3.8461538461538443E-2</v>
      </c>
      <c r="I50" s="101">
        <f>IF(ISNUMBER(G50), $B64 * H50, "")</f>
        <v>3846.1538461538444</v>
      </c>
      <c r="J50" s="15">
        <v>16.600000000000001</v>
      </c>
      <c r="K50" s="32">
        <f t="shared" ref="K50:K53" si="20">IF(ISNUMBER(J50), (J50 - $B50) / $B50, "")</f>
        <v>6.4102564102564222E-2</v>
      </c>
      <c r="L50" s="18">
        <f>IF(ISNUMBER(J50), $B64 * K50, "")</f>
        <v>6410.256410256422</v>
      </c>
      <c r="M50" s="31">
        <v>16.8</v>
      </c>
      <c r="N50" s="32">
        <f t="shared" ref="N50:N53" si="21">IF(ISNUMBER(M50), (M50 - $B50) / $B50, "")</f>
        <v>7.6923076923076997E-2</v>
      </c>
      <c r="O50" s="18">
        <f>IF(ISNUMBER(M50), $B64 * N50, "")</f>
        <v>7692.3076923076997</v>
      </c>
      <c r="Q50" s="216"/>
      <c r="R50" s="216"/>
      <c r="S50" s="216"/>
    </row>
    <row r="51" spans="1:19" ht="17.25" customHeight="1" thickBot="1">
      <c r="A51" s="125" t="s">
        <v>251</v>
      </c>
      <c r="B51" s="126">
        <v>56.8</v>
      </c>
      <c r="C51" s="77">
        <v>-3.4013605400000001E-2</v>
      </c>
      <c r="D51" s="15">
        <v>59</v>
      </c>
      <c r="E51" s="32">
        <f t="shared" si="18"/>
        <v>3.8732394366197236E-2</v>
      </c>
      <c r="F51" s="18">
        <f>IF(ISNUMBER(D51), $B64 * E51, "")</f>
        <v>3873.2394366197236</v>
      </c>
      <c r="G51" s="31">
        <v>56.8</v>
      </c>
      <c r="H51" s="32">
        <f t="shared" si="19"/>
        <v>0</v>
      </c>
      <c r="I51" s="101">
        <f>IF(ISNUMBER(G51), $B64 * H51, "")</f>
        <v>0</v>
      </c>
      <c r="J51" s="15">
        <v>57.7</v>
      </c>
      <c r="K51" s="32">
        <f t="shared" si="20"/>
        <v>1.5845070422535312E-2</v>
      </c>
      <c r="L51" s="18">
        <f>IF(ISNUMBER(J51), $B64 * K51, "")</f>
        <v>1584.5070422535312</v>
      </c>
      <c r="M51" s="31">
        <v>57.7</v>
      </c>
      <c r="N51" s="32">
        <f t="shared" si="21"/>
        <v>1.5845070422535312E-2</v>
      </c>
      <c r="O51" s="18">
        <f>IF(ISNUMBER(M51), $B64 * N51, "")</f>
        <v>1584.5070422535312</v>
      </c>
      <c r="Q51" s="216"/>
      <c r="R51" s="216"/>
      <c r="S51" s="216"/>
    </row>
    <row r="52" spans="1:19" ht="17.25" customHeight="1" thickBot="1">
      <c r="A52" s="125" t="s">
        <v>152</v>
      </c>
      <c r="B52" s="126">
        <v>75.8</v>
      </c>
      <c r="C52" s="77">
        <v>-3.8071066000000001E-2</v>
      </c>
      <c r="D52" s="15">
        <v>77.099999999999994</v>
      </c>
      <c r="E52" s="32">
        <f t="shared" si="18"/>
        <v>1.715039577836408E-2</v>
      </c>
      <c r="F52" s="18">
        <f>IF(ISNUMBER(D52), $B64 * E52, "")</f>
        <v>1715.0395778364079</v>
      </c>
      <c r="G52" s="31">
        <v>75.2</v>
      </c>
      <c r="H52" s="32">
        <f t="shared" si="19"/>
        <v>-7.9155672823218257E-3</v>
      </c>
      <c r="I52" s="101">
        <f>IF(ISNUMBER(G52), $B64 * H52, "")</f>
        <v>-791.55672823218254</v>
      </c>
      <c r="J52" s="15">
        <v>76</v>
      </c>
      <c r="K52" s="32">
        <f t="shared" si="20"/>
        <v>2.6385224274406709E-3</v>
      </c>
      <c r="L52" s="18">
        <f>IF(ISNUMBER(J52), $B64 * K52, "")</f>
        <v>263.8522427440671</v>
      </c>
      <c r="M52" s="31">
        <v>76</v>
      </c>
      <c r="N52" s="32">
        <f t="shared" si="21"/>
        <v>2.6385224274406709E-3</v>
      </c>
      <c r="O52" s="18">
        <f>IF(ISNUMBER(M52), $B64 * N52, "")</f>
        <v>263.8522427440671</v>
      </c>
      <c r="Q52" s="33"/>
      <c r="R52" s="33"/>
    </row>
    <row r="53" spans="1:19" ht="17.25" customHeight="1" thickBot="1">
      <c r="A53" s="130" t="s">
        <v>130</v>
      </c>
      <c r="B53" s="131">
        <v>70</v>
      </c>
      <c r="C53" s="79">
        <v>-3.8461538500000003E-2</v>
      </c>
      <c r="D53" s="24">
        <v>88.2</v>
      </c>
      <c r="E53" s="25">
        <f t="shared" si="18"/>
        <v>0.26000000000000006</v>
      </c>
      <c r="F53" s="104">
        <f>IF(ISNUMBER(D53), $B64 * E53, "")</f>
        <v>26000.000000000007</v>
      </c>
      <c r="G53" s="102">
        <v>80.099999999999994</v>
      </c>
      <c r="H53" s="25">
        <f t="shared" si="19"/>
        <v>0.14428571428571421</v>
      </c>
      <c r="I53" s="103">
        <f>IF(ISNUMBER(G53), $B64 * H53, "")</f>
        <v>14428.57142857142</v>
      </c>
      <c r="J53" s="24">
        <v>82.1</v>
      </c>
      <c r="K53" s="25">
        <f t="shared" si="20"/>
        <v>0.17285714285714276</v>
      </c>
      <c r="L53" s="104">
        <f>IF(ISNUMBER(J53), $B64 * K53, "")</f>
        <v>17285.714285714275</v>
      </c>
      <c r="M53" s="102">
        <v>82.2</v>
      </c>
      <c r="N53" s="25">
        <f t="shared" si="21"/>
        <v>0.17428571428571432</v>
      </c>
      <c r="O53" s="104">
        <f>IF(ISNUMBER(M53), $B64 * N53, "")</f>
        <v>17428.571428571431</v>
      </c>
      <c r="Q53" s="217"/>
      <c r="R53" s="218"/>
      <c r="S53" s="219"/>
    </row>
    <row r="54" spans="1:19" ht="17.25" customHeight="1">
      <c r="A54" s="123" t="s">
        <v>148</v>
      </c>
      <c r="B54" s="124">
        <v>14.6</v>
      </c>
      <c r="C54" s="76">
        <v>-3.9473684199999998E-2</v>
      </c>
      <c r="D54" s="13">
        <v>15.2</v>
      </c>
      <c r="E54" s="14">
        <f>IF(ISNUMBER(D54), (D54 - $B54) / $B54, "")</f>
        <v>4.1095890410958881E-2</v>
      </c>
      <c r="F54" s="16">
        <f>IF(ISNUMBER(D54), $B64 * E54, "")</f>
        <v>4109.5890410958882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1369.8630136986376</v>
      </c>
      <c r="J54" s="13">
        <v>15.1</v>
      </c>
      <c r="K54" s="14">
        <f>IF(ISNUMBER(J54), (J54 - $B54) / $B54, "")</f>
        <v>3.4246575342465752E-2</v>
      </c>
      <c r="L54" s="16">
        <f>IF(ISNUMBER(J54), $B64 * K54, "")</f>
        <v>3424.6575342465753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2739.7260273972629</v>
      </c>
      <c r="Q54" s="220"/>
      <c r="R54" s="221"/>
      <c r="S54" s="222"/>
    </row>
    <row r="55" spans="1:19" ht="17.25" customHeight="1" thickBot="1">
      <c r="A55" s="125" t="s">
        <v>200</v>
      </c>
      <c r="B55" s="126">
        <v>79.400000000000006</v>
      </c>
      <c r="C55" s="77">
        <v>-4.1062801900000001E-2</v>
      </c>
      <c r="D55" s="15">
        <v>89.5</v>
      </c>
      <c r="E55" s="32">
        <f t="shared" ref="E55:E58" si="22">IF(ISNUMBER(D55), (D55 - $B55) / $B55, "")</f>
        <v>0.12720403022670018</v>
      </c>
      <c r="F55" s="18">
        <f>IF(ISNUMBER(D55), $B64 * E55, "")</f>
        <v>12720.403022670018</v>
      </c>
      <c r="G55" s="31">
        <v>83.1</v>
      </c>
      <c r="H55" s="32">
        <f t="shared" ref="H55:H58" si="23">IF(ISNUMBER(G55), (G55 - $B55) / $B55, "")</f>
        <v>4.6599496221662325E-2</v>
      </c>
      <c r="I55" s="101">
        <f>IF(ISNUMBER(G55), $B64 * H55, "")</f>
        <v>4659.9496221662321</v>
      </c>
      <c r="J55" s="15">
        <v>87.3</v>
      </c>
      <c r="K55" s="32">
        <f t="shared" ref="K55:K58" si="24">IF(ISNUMBER(J55), (J55 - $B55) / $B55, "")</f>
        <v>9.9496221662468395E-2</v>
      </c>
      <c r="L55" s="18">
        <f>IF(ISNUMBER(J55), $B64 * K55, "")</f>
        <v>9949.6221662468397</v>
      </c>
      <c r="M55" s="31">
        <v>87.1</v>
      </c>
      <c r="N55" s="32">
        <f t="shared" ref="N55:N58" si="25">IF(ISNUMBER(M55), (M55 - $B55) / $B55, "")</f>
        <v>9.6977329974810927E-2</v>
      </c>
      <c r="O55" s="18">
        <f>IF(ISNUMBER(M55), $B64 * N55, "")</f>
        <v>9697.7329974810928</v>
      </c>
      <c r="Q55" s="223"/>
      <c r="R55" s="224"/>
      <c r="S55" s="225"/>
    </row>
    <row r="56" spans="1:19" ht="17.25" customHeight="1" thickBot="1">
      <c r="A56" s="125" t="s">
        <v>144</v>
      </c>
      <c r="B56" s="126">
        <v>88</v>
      </c>
      <c r="C56" s="77">
        <v>-4.1394335499999997E-2</v>
      </c>
      <c r="D56" s="15">
        <v>89.2</v>
      </c>
      <c r="E56" s="32">
        <f t="shared" si="22"/>
        <v>1.3636363636363669E-2</v>
      </c>
      <c r="F56" s="18">
        <f>IF(ISNUMBER(D56), $B64 * E56, "")</f>
        <v>1363.6363636363669</v>
      </c>
      <c r="G56" s="31">
        <v>86.2</v>
      </c>
      <c r="H56" s="32">
        <f t="shared" si="23"/>
        <v>-2.0454545454545423E-2</v>
      </c>
      <c r="I56" s="101">
        <f>IF(ISNUMBER(G56), $B64 * H56, "")</f>
        <v>-2045.4545454545423</v>
      </c>
      <c r="J56" s="15">
        <v>86.9</v>
      </c>
      <c r="K56" s="32">
        <f t="shared" si="24"/>
        <v>-1.2499999999999935E-2</v>
      </c>
      <c r="L56" s="18">
        <f>IF(ISNUMBER(J56), $B64 * K56, "")</f>
        <v>-1249.9999999999934</v>
      </c>
      <c r="M56" s="31">
        <v>87.2</v>
      </c>
      <c r="N56" s="32">
        <f t="shared" si="25"/>
        <v>-9.0909090909090592E-3</v>
      </c>
      <c r="O56" s="18">
        <f>IF(ISNUMBER(M56), $B64 * N56, "")</f>
        <v>-909.09090909090594</v>
      </c>
      <c r="Q56" s="216"/>
      <c r="R56" s="216"/>
      <c r="S56" s="216"/>
    </row>
    <row r="57" spans="1:19" ht="17.25" customHeight="1" thickBot="1">
      <c r="A57" s="125" t="s">
        <v>178</v>
      </c>
      <c r="B57" s="126">
        <v>12.9</v>
      </c>
      <c r="C57" s="77">
        <v>-4.4444444399999998E-2</v>
      </c>
      <c r="D57" s="15">
        <v>14.2</v>
      </c>
      <c r="E57" s="32">
        <f t="shared" si="22"/>
        <v>0.10077519379844953</v>
      </c>
      <c r="F57" s="18">
        <f>IF(ISNUMBER(D57), $B64 * E57, "")</f>
        <v>10077.519379844953</v>
      </c>
      <c r="G57" s="31">
        <v>13.1</v>
      </c>
      <c r="H57" s="32">
        <f t="shared" si="23"/>
        <v>1.5503875968992192E-2</v>
      </c>
      <c r="I57" s="101">
        <f>IF(ISNUMBER(G57), $B64 * H57, "")</f>
        <v>1550.3875968992193</v>
      </c>
      <c r="J57" s="15">
        <v>13.9</v>
      </c>
      <c r="K57" s="32">
        <f t="shared" si="24"/>
        <v>7.7519379844961239E-2</v>
      </c>
      <c r="L57" s="18">
        <f>IF(ISNUMBER(J57), $B64 * K57, "")</f>
        <v>7751.937984496124</v>
      </c>
      <c r="M57" s="31">
        <v>13.9</v>
      </c>
      <c r="N57" s="32">
        <f t="shared" si="25"/>
        <v>7.7519379844961239E-2</v>
      </c>
      <c r="O57" s="18">
        <f>IF(ISNUMBER(M57), $B64 * N57, "")</f>
        <v>7751.937984496124</v>
      </c>
      <c r="Q57" s="226"/>
      <c r="R57" s="226"/>
      <c r="S57" s="226"/>
    </row>
    <row r="58" spans="1:19" ht="17.25" customHeight="1" thickBot="1">
      <c r="A58" s="127" t="s">
        <v>98</v>
      </c>
      <c r="B58" s="128">
        <v>3.06</v>
      </c>
      <c r="C58" s="78">
        <v>-5.2631578900000003E-2</v>
      </c>
      <c r="D58" s="20">
        <v>3.17</v>
      </c>
      <c r="E58" s="21">
        <f t="shared" si="22"/>
        <v>3.5947712418300609E-2</v>
      </c>
      <c r="F58" s="22">
        <f>IF(ISNUMBER(D58), $B64 * E58, "")</f>
        <v>3594.7712418300607</v>
      </c>
      <c r="G58" s="30">
        <v>3.06</v>
      </c>
      <c r="H58" s="21">
        <f t="shared" si="23"/>
        <v>0</v>
      </c>
      <c r="I58" s="105">
        <f>IF(ISNUMBER(G58), $B64 * H58, "")</f>
        <v>0</v>
      </c>
      <c r="J58" s="20">
        <v>3.1</v>
      </c>
      <c r="K58" s="21">
        <f t="shared" si="24"/>
        <v>1.3071895424836612E-2</v>
      </c>
      <c r="L58" s="22">
        <f>IF(ISNUMBER(J58), $B64 * K58, "")</f>
        <v>1307.1895424836612</v>
      </c>
      <c r="M58" s="30">
        <v>3.12</v>
      </c>
      <c r="N58" s="21">
        <f t="shared" si="25"/>
        <v>1.9607843137254919E-2</v>
      </c>
      <c r="O58" s="22">
        <f>IF(ISNUMBER(M58), $B64 * N58, "")</f>
        <v>1960.784313725492</v>
      </c>
      <c r="Q58" s="226"/>
      <c r="R58" s="226"/>
      <c r="S58" s="226"/>
    </row>
    <row r="59" spans="1:19" ht="17.25" customHeight="1" thickBot="1">
      <c r="A59" s="125" t="s">
        <v>65</v>
      </c>
      <c r="B59" s="129">
        <v>24.1</v>
      </c>
      <c r="C59" s="80">
        <v>-5.4901960800000003E-2</v>
      </c>
      <c r="D59" s="106">
        <v>25.2</v>
      </c>
      <c r="E59" s="107">
        <f>IF(ISNUMBER(D59), (D59 - $B59) / $B59, "")</f>
        <v>4.5643153526970862E-2</v>
      </c>
      <c r="F59" s="108">
        <f>IF(ISNUMBER(D59), $B64 * E59, "")</f>
        <v>4564.3153526970864</v>
      </c>
      <c r="G59" s="109">
        <v>24.4</v>
      </c>
      <c r="H59" s="107">
        <f>IF(ISNUMBER(G59), (G59 - $B59) / $B59, "")</f>
        <v>1.2448132780082869E-2</v>
      </c>
      <c r="I59" s="110">
        <f>IF(ISNUMBER(G59), $B64 * H59, "")</f>
        <v>1244.8132780082869</v>
      </c>
      <c r="J59" s="106">
        <v>24.6</v>
      </c>
      <c r="K59" s="107">
        <f>IF(ISNUMBER(J59), (J59 - $B59) / $B59, "")</f>
        <v>2.0746887966804978E-2</v>
      </c>
      <c r="L59" s="108">
        <f>IF(ISNUMBER(J59), $B64 * K59, "")</f>
        <v>2074.6887966804979</v>
      </c>
      <c r="M59" s="109">
        <v>24.9</v>
      </c>
      <c r="N59" s="107">
        <f>IF(ISNUMBER(M59), (M59 - $B59) / $B59, "")</f>
        <v>3.3195020746887849E-2</v>
      </c>
      <c r="O59" s="108">
        <f>IF(ISNUMBER(M59), $B64 * N59, "")</f>
        <v>3319.5020746887849</v>
      </c>
      <c r="Q59" s="216"/>
      <c r="R59" s="216"/>
      <c r="S59" s="216"/>
    </row>
    <row r="60" spans="1:19" ht="17.25" customHeight="1" thickBot="1">
      <c r="A60" s="125" t="s">
        <v>128</v>
      </c>
      <c r="B60" s="126">
        <v>99.2</v>
      </c>
      <c r="C60" s="77">
        <v>-5.5238095199999997E-2</v>
      </c>
      <c r="D60" s="15">
        <v>102</v>
      </c>
      <c r="E60" s="32">
        <f t="shared" ref="E60:E63" si="26">IF(ISNUMBER(D60), (D60 - $B60) / $B60, "")</f>
        <v>2.8225806451612875E-2</v>
      </c>
      <c r="F60" s="18">
        <f>IF(ISNUMBER(D60), $B64 * E60, "")</f>
        <v>2822.5806451612875</v>
      </c>
      <c r="G60" s="31">
        <v>97.7</v>
      </c>
      <c r="H60" s="32">
        <f t="shared" ref="H60:H63" si="27">IF(ISNUMBER(G60), (G60 - $B60) / $B60, "")</f>
        <v>-1.5120967741935483E-2</v>
      </c>
      <c r="I60" s="101">
        <f>IF(ISNUMBER(G60), $B64 * H60, "")</f>
        <v>-1512.0967741935483</v>
      </c>
      <c r="J60" s="15">
        <v>101</v>
      </c>
      <c r="K60" s="32">
        <f t="shared" ref="K60:K63" si="28">IF(ISNUMBER(J60), (J60 - $B60) / $B60, "")</f>
        <v>1.8145161290322551E-2</v>
      </c>
      <c r="L60" s="18">
        <f>IF(ISNUMBER(J60), $B64 * K60, "")</f>
        <v>1814.5161290322551</v>
      </c>
      <c r="M60" s="31">
        <v>99.8</v>
      </c>
      <c r="N60" s="32">
        <f t="shared" ref="N60:N63" si="29">IF(ISNUMBER(M60), (M60 - $B60) / $B60, "")</f>
        <v>6.0483870967741361E-3</v>
      </c>
      <c r="O60" s="18">
        <f>IF(ISNUMBER(M60), $B64 * N60, "")</f>
        <v>604.83870967741359</v>
      </c>
      <c r="Q60" s="216"/>
      <c r="R60" s="216"/>
      <c r="S60" s="216"/>
    </row>
    <row r="61" spans="1:19" ht="17.25" customHeight="1" thickBot="1">
      <c r="A61" s="125" t="s">
        <v>216</v>
      </c>
      <c r="B61" s="126">
        <v>6.6</v>
      </c>
      <c r="C61" s="77">
        <v>-5.9829059800000001E-2</v>
      </c>
      <c r="D61" s="15">
        <v>8.9700000000000006</v>
      </c>
      <c r="E61" s="32">
        <f t="shared" si="26"/>
        <v>0.35909090909090924</v>
      </c>
      <c r="F61" s="18">
        <f>IF(ISNUMBER(D61), $B64 * E61, "")</f>
        <v>35909.090909090926</v>
      </c>
      <c r="G61" s="31">
        <v>7.82</v>
      </c>
      <c r="H61" s="32">
        <f t="shared" si="27"/>
        <v>0.18484848484848496</v>
      </c>
      <c r="I61" s="101">
        <f>IF(ISNUMBER(G61), $B64 * H61, "")</f>
        <v>18484.848484848495</v>
      </c>
      <c r="J61" s="15">
        <v>8.0500000000000007</v>
      </c>
      <c r="K61" s="32">
        <f t="shared" si="28"/>
        <v>0.21969696969696986</v>
      </c>
      <c r="L61" s="18">
        <f>IF(ISNUMBER(J61), $B64 * K61, "")</f>
        <v>21969.696969696986</v>
      </c>
      <c r="M61" s="31">
        <v>7.77</v>
      </c>
      <c r="N61" s="32">
        <f t="shared" si="29"/>
        <v>0.17727272727272728</v>
      </c>
      <c r="O61" s="18">
        <f>IF(ISNUMBER(M61), $B64 * N61, "")</f>
        <v>17727.272727272728</v>
      </c>
      <c r="Q61" s="216"/>
      <c r="R61" s="216"/>
      <c r="S61" s="216"/>
    </row>
    <row r="62" spans="1:19" ht="17.25" customHeight="1">
      <c r="A62" s="125" t="s">
        <v>235</v>
      </c>
      <c r="B62" s="126">
        <v>43.9</v>
      </c>
      <c r="C62" s="77">
        <v>-5.9957173400000001E-2</v>
      </c>
      <c r="D62" s="15">
        <v>50</v>
      </c>
      <c r="E62" s="32">
        <f t="shared" si="26"/>
        <v>0.13895216400911165</v>
      </c>
      <c r="F62" s="18">
        <f>IF(ISNUMBER(D62), $B64 * E62, "")</f>
        <v>13895.216400911164</v>
      </c>
      <c r="G62" s="31">
        <v>47.2</v>
      </c>
      <c r="H62" s="32">
        <f t="shared" si="27"/>
        <v>7.5170842824601472E-2</v>
      </c>
      <c r="I62" s="101">
        <f>IF(ISNUMBER(G62), $B64 * H62, "")</f>
        <v>7517.0842824601468</v>
      </c>
      <c r="J62" s="15">
        <v>49.2</v>
      </c>
      <c r="K62" s="32">
        <f t="shared" si="28"/>
        <v>0.12072892938496593</v>
      </c>
      <c r="L62" s="18">
        <f>IF(ISNUMBER(J62), $B64 * K62, "")</f>
        <v>12072.892938496594</v>
      </c>
      <c r="M62" s="31">
        <v>48.3</v>
      </c>
      <c r="N62" s="32">
        <f t="shared" si="29"/>
        <v>0.10022779043280179</v>
      </c>
      <c r="O62" s="18">
        <f>IF(ISNUMBER(M62), $B64 * N62, "")</f>
        <v>10022.779043280179</v>
      </c>
      <c r="Q62" s="205"/>
      <c r="R62" s="206"/>
      <c r="S62" s="207"/>
    </row>
    <row r="63" spans="1:19" ht="17.25" customHeight="1" thickBot="1">
      <c r="A63" s="130" t="s">
        <v>222</v>
      </c>
      <c r="B63" s="131">
        <v>77.8</v>
      </c>
      <c r="C63" s="79">
        <v>-6.4903846200000004E-2</v>
      </c>
      <c r="D63" s="24">
        <v>87.1</v>
      </c>
      <c r="E63" s="25">
        <f t="shared" si="26"/>
        <v>0.11953727506426733</v>
      </c>
      <c r="F63" s="104">
        <f>IF(ISNUMBER(D63), $B64 * E63, "")</f>
        <v>11953.727506426732</v>
      </c>
      <c r="G63" s="102">
        <v>80</v>
      </c>
      <c r="H63" s="25">
        <f t="shared" si="27"/>
        <v>2.8277634961439625E-2</v>
      </c>
      <c r="I63" s="103">
        <f>IF(ISNUMBER(G63), $B64 * H63, "")</f>
        <v>2827.7634961439626</v>
      </c>
      <c r="J63" s="24">
        <v>81.2</v>
      </c>
      <c r="K63" s="25">
        <f t="shared" si="28"/>
        <v>4.370179948586126E-2</v>
      </c>
      <c r="L63" s="104">
        <f>IF(ISNUMBER(J63), $B64 * K63, "")</f>
        <v>4370.1799485861256</v>
      </c>
      <c r="M63" s="102">
        <v>82.3</v>
      </c>
      <c r="N63" s="25">
        <f t="shared" si="29"/>
        <v>5.7840616966580979E-2</v>
      </c>
      <c r="O63" s="104">
        <f>IF(ISNUMBER(M63), $B64 * N63, "")</f>
        <v>5784.0616966580983</v>
      </c>
      <c r="Q63" s="208"/>
      <c r="R63" s="209"/>
      <c r="S63" s="210"/>
    </row>
    <row r="64" spans="1:19" ht="17.25" customHeight="1" thickBot="1">
      <c r="A64" s="132" t="s">
        <v>271</v>
      </c>
      <c r="B64" s="269">
        <f>$B$37</f>
        <v>100000</v>
      </c>
      <c r="C64" s="270"/>
      <c r="D64" s="26" t="s">
        <v>272</v>
      </c>
      <c r="E64" s="27">
        <f>IF(COUNT(E44:E63), SUM(E44:E63) / COUNT(E44:E63), 0)</f>
        <v>0.10941488460426385</v>
      </c>
      <c r="F64" s="28">
        <f>SUM(F44:F63)</f>
        <v>218829.76920852769</v>
      </c>
      <c r="G64" s="26" t="s">
        <v>272</v>
      </c>
      <c r="H64" s="27">
        <f>IF(COUNT(H44:H63), SUM(H44:H63) / COUNT(H44:H63), 0)</f>
        <v>4.0960343827368642E-2</v>
      </c>
      <c r="I64" s="28">
        <f>SUM(I44:I63)</f>
        <v>81920.687654737296</v>
      </c>
      <c r="J64" s="26" t="s">
        <v>272</v>
      </c>
      <c r="K64" s="27">
        <f>IF(COUNT(K44:K63), SUM(K44:K63) / COUNT(K44:K63), 0)</f>
        <v>6.7781514832630965E-2</v>
      </c>
      <c r="L64" s="28">
        <f>SUM(L44:L63)</f>
        <v>135563.02966526189</v>
      </c>
      <c r="M64" s="26" t="s">
        <v>272</v>
      </c>
      <c r="N64" s="27">
        <f>IF(COUNT(N44:N63), SUM(N44:N63) / COUNT(N44:N63), 0)</f>
        <v>6.5854089870194379E-2</v>
      </c>
      <c r="O64" s="28">
        <f>SUM(O44:O63)</f>
        <v>131708.17974038873</v>
      </c>
      <c r="Q64" s="211"/>
      <c r="R64" s="212"/>
      <c r="S64" s="213"/>
    </row>
    <row r="65" spans="1:19" ht="17.25" customHeight="1"/>
    <row r="66" spans="1:19" ht="17.25" customHeight="1" thickBot="1"/>
    <row r="67" spans="1:19" ht="17.25" thickBot="1">
      <c r="A67" s="227" t="s">
        <v>45</v>
      </c>
      <c r="B67" s="228"/>
      <c r="C67" s="228"/>
      <c r="D67" s="228"/>
      <c r="E67" s="228"/>
      <c r="F67" s="228"/>
      <c r="G67" s="228"/>
      <c r="H67" s="228"/>
      <c r="I67" s="228"/>
      <c r="J67" s="228"/>
      <c r="K67" s="228"/>
      <c r="L67" s="228"/>
      <c r="M67" s="228"/>
      <c r="N67" s="228"/>
      <c r="O67" s="229"/>
      <c r="Q67" s="226"/>
      <c r="R67" s="226"/>
      <c r="S67" s="226"/>
    </row>
    <row r="68" spans="1:19" ht="17.25" thickBot="1">
      <c r="A68" s="157" t="s">
        <v>268</v>
      </c>
      <c r="B68" s="227" t="s">
        <v>49</v>
      </c>
      <c r="C68" s="229"/>
      <c r="D68" s="227" t="s">
        <v>58</v>
      </c>
      <c r="E68" s="228"/>
      <c r="F68" s="229"/>
      <c r="G68" s="230">
        <f>_xlfn.IFNA(VLOOKUP(B68, 현재가테이블!$B$2:$D$200, 2, FALSE), "-")</f>
        <v>39916000</v>
      </c>
      <c r="H68" s="231"/>
      <c r="I68" s="232"/>
      <c r="J68" s="227" t="s">
        <v>59</v>
      </c>
      <c r="K68" s="228"/>
      <c r="L68" s="229"/>
      <c r="M68" s="233">
        <f>_xlfn.IFNA(VLOOKUP(B68, 현재가테이블!$B$2:$D$200, 3, FALSE), "-")</f>
        <v>7.3184273000000003E-3</v>
      </c>
      <c r="N68" s="234"/>
      <c r="O68" s="235"/>
      <c r="Q68" s="226"/>
      <c r="R68" s="226"/>
      <c r="S68" s="226"/>
    </row>
    <row r="69" spans="1:19" ht="17.25" thickBot="1">
      <c r="A69" s="271" t="s">
        <v>55</v>
      </c>
      <c r="B69" s="267" t="str">
        <f>TEXT($G$1, "[$-ko-KR]yyyy-mm-dd(ddd) ") &amp; "오전 00:00"</f>
        <v>2021-07-01(목) 오전 00:00</v>
      </c>
      <c r="C69" s="268"/>
      <c r="D69" s="240" t="str">
        <f>TEXT($G$1, "[$-ko-KR]yyyy-mm-dd(ddd) ") &amp; "오후 14:00"</f>
        <v>2021-07-01(목) 오후 14:00</v>
      </c>
      <c r="E69" s="241"/>
      <c r="F69" s="242"/>
      <c r="G69" s="240" t="str">
        <f>TEXT($G$1, "[$-ko-KR]yyyy-mm-dd(ddd) ") &amp; "오후 19:00"</f>
        <v>2021-07-01(목) 오후 19:00</v>
      </c>
      <c r="H69" s="241"/>
      <c r="I69" s="242"/>
      <c r="J69" s="240" t="str">
        <f>TEXT($G$1, "[$-ko-KR]yyyy-mm-dd(ddd) ") &amp; "오후 21:00"</f>
        <v>2021-07-01(목) 오후 21:00</v>
      </c>
      <c r="K69" s="241"/>
      <c r="L69" s="242"/>
      <c r="M69" s="240" t="str">
        <f>TEXT($G$1+1, "[$-ko-KR]yyyy-mm-dd(ddd) ") &amp; "오전 00:00"</f>
        <v>2021-07-02(금) 오전 00:00</v>
      </c>
      <c r="N69" s="241"/>
      <c r="O69" s="242"/>
      <c r="Q69" s="226"/>
      <c r="R69" s="226"/>
      <c r="S69" s="226"/>
    </row>
    <row r="70" spans="1:19" ht="17.25" thickBot="1">
      <c r="A70" s="27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58" t="s">
        <v>58</v>
      </c>
      <c r="H70" s="159" t="s">
        <v>269</v>
      </c>
      <c r="I70" s="16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6"/>
      <c r="R70" s="216"/>
      <c r="S70" s="216"/>
    </row>
    <row r="71" spans="1:19" ht="17.25" thickBot="1">
      <c r="A71" s="123" t="s">
        <v>228</v>
      </c>
      <c r="B71" s="124">
        <v>394</v>
      </c>
      <c r="C71" s="76">
        <v>0.97989949750000005</v>
      </c>
      <c r="D71" s="13">
        <v>310</v>
      </c>
      <c r="E71" s="14">
        <f>IF(ISNUMBER(D71), (D71 - $B71) / $B71, "")</f>
        <v>-0.21319796954314721</v>
      </c>
      <c r="F71" s="16">
        <f>IF(ISNUMBER(D71), $B91 * E71, "")</f>
        <v>-21319.796954314719</v>
      </c>
      <c r="G71" s="29">
        <v>309</v>
      </c>
      <c r="H71" s="14">
        <f>IF(ISNUMBER(G71), (G71 - $B71) / $B71, "")</f>
        <v>-0.21573604060913706</v>
      </c>
      <c r="I71" s="100">
        <f>IF(ISNUMBER(G71), $B91 * H71, "")</f>
        <v>-21573.604060913705</v>
      </c>
      <c r="J71" s="13">
        <v>308</v>
      </c>
      <c r="K71" s="14">
        <f>IF(ISNUMBER(J71), (J71 - $B71) / $B71, "")</f>
        <v>-0.21827411167512689</v>
      </c>
      <c r="L71" s="16">
        <f>IF(ISNUMBER(J71), $B91 * K71, "")</f>
        <v>-21827.411167512688</v>
      </c>
      <c r="M71" s="29">
        <v>310</v>
      </c>
      <c r="N71" s="14">
        <f>IF(ISNUMBER(M71), (M71 - $B71) / $B71, "")</f>
        <v>-0.21319796954314721</v>
      </c>
      <c r="O71" s="16">
        <f>IF(ISNUMBER(M71), $B91 * N71, "")</f>
        <v>-21319.796954314719</v>
      </c>
      <c r="Q71" s="226"/>
      <c r="R71" s="226"/>
      <c r="S71" s="226"/>
    </row>
    <row r="72" spans="1:19" ht="17.25" thickBot="1">
      <c r="A72" s="125" t="s">
        <v>233</v>
      </c>
      <c r="B72" s="126">
        <v>512</v>
      </c>
      <c r="C72" s="77">
        <v>0.49707602340000001</v>
      </c>
      <c r="D72" s="15">
        <v>404</v>
      </c>
      <c r="E72" s="32">
        <f t="shared" ref="E72:E75" si="30">IF(ISNUMBER(D72), (D72 - $B72) / $B72, "")</f>
        <v>-0.2109375</v>
      </c>
      <c r="F72" s="18">
        <f>IF(ISNUMBER(D72), $B91 * E72, "")</f>
        <v>-21093.75</v>
      </c>
      <c r="G72" s="31">
        <v>408</v>
      </c>
      <c r="H72" s="32">
        <f t="shared" ref="H72:H75" si="31">IF(ISNUMBER(G72), (G72 - $B72) / $B72, "")</f>
        <v>-0.203125</v>
      </c>
      <c r="I72" s="101">
        <f>IF(ISNUMBER(G72), $B91 * H72, "")</f>
        <v>-20312.5</v>
      </c>
      <c r="J72" s="15">
        <v>410</v>
      </c>
      <c r="K72" s="32">
        <f t="shared" ref="K72:K75" si="32">IF(ISNUMBER(J72), (J72 - $B72) / $B72, "")</f>
        <v>-0.19921875</v>
      </c>
      <c r="L72" s="18">
        <f>IF(ISNUMBER(J72), $B91 * K72, "")</f>
        <v>-19921.875</v>
      </c>
      <c r="M72" s="31">
        <v>410</v>
      </c>
      <c r="N72" s="32">
        <f t="shared" ref="N72:N75" si="33">IF(ISNUMBER(M72), (M72 - $B72) / $B72, "")</f>
        <v>-0.19921875</v>
      </c>
      <c r="O72" s="18">
        <f>IF(ISNUMBER(M72), $B91 * N72, "")</f>
        <v>-19921.875</v>
      </c>
      <c r="Q72" s="226"/>
      <c r="R72" s="226"/>
      <c r="S72" s="226"/>
    </row>
    <row r="73" spans="1:19" ht="17.25" thickBot="1">
      <c r="A73" s="125" t="s">
        <v>184</v>
      </c>
      <c r="B73" s="126">
        <v>956</v>
      </c>
      <c r="C73" s="77">
        <v>0.2101265823</v>
      </c>
      <c r="D73" s="15">
        <v>847</v>
      </c>
      <c r="E73" s="32">
        <f t="shared" si="30"/>
        <v>-0.11401673640167365</v>
      </c>
      <c r="F73" s="18">
        <f>IF(ISNUMBER(D73), $B91 * E73, "")</f>
        <v>-11401.673640167364</v>
      </c>
      <c r="G73" s="31">
        <v>815</v>
      </c>
      <c r="H73" s="32">
        <f t="shared" si="31"/>
        <v>-0.14748953974895398</v>
      </c>
      <c r="I73" s="101">
        <f>IF(ISNUMBER(G73), $B91 * H73, "")</f>
        <v>-14748.953974895399</v>
      </c>
      <c r="J73" s="15">
        <v>835</v>
      </c>
      <c r="K73" s="32">
        <f t="shared" si="32"/>
        <v>-0.12656903765690378</v>
      </c>
      <c r="L73" s="18">
        <f>IF(ISNUMBER(J73), $B91 * K73, "")</f>
        <v>-12656.903765690378</v>
      </c>
      <c r="M73" s="31">
        <v>834</v>
      </c>
      <c r="N73" s="32">
        <f t="shared" si="33"/>
        <v>-0.12761506276150628</v>
      </c>
      <c r="O73" s="18">
        <f>IF(ISNUMBER(M73), $B91 * N73, "")</f>
        <v>-12761.506276150627</v>
      </c>
      <c r="Q73" s="216"/>
      <c r="R73" s="216"/>
      <c r="S73" s="216"/>
    </row>
    <row r="74" spans="1:19" ht="17.25" thickBot="1">
      <c r="A74" s="125" t="s">
        <v>255</v>
      </c>
      <c r="B74" s="126">
        <v>186</v>
      </c>
      <c r="C74" s="77">
        <v>0.20779220779999999</v>
      </c>
      <c r="D74" s="15">
        <v>186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6.4516129032258063E-2</v>
      </c>
      <c r="I74" s="101">
        <f>IF(ISNUMBER(G74), $B91 * H74, "")</f>
        <v>6451.6129032258059</v>
      </c>
      <c r="J74" s="15">
        <v>215</v>
      </c>
      <c r="K74" s="32">
        <f t="shared" si="32"/>
        <v>0.15591397849462366</v>
      </c>
      <c r="L74" s="18">
        <f>IF(ISNUMBER(J74), $B91 * K74, "")</f>
        <v>15591.397849462366</v>
      </c>
      <c r="M74" s="31">
        <v>206</v>
      </c>
      <c r="N74" s="32">
        <f t="shared" si="33"/>
        <v>0.10752688172043011</v>
      </c>
      <c r="O74" s="18">
        <f>IF(ISNUMBER(M74), $B91 * N74, "")</f>
        <v>10752.68817204301</v>
      </c>
      <c r="Q74" s="216"/>
      <c r="R74" s="216"/>
      <c r="S74" s="216"/>
    </row>
    <row r="75" spans="1:19" ht="17.25" thickBot="1">
      <c r="A75" s="127" t="s">
        <v>237</v>
      </c>
      <c r="B75" s="128">
        <v>454</v>
      </c>
      <c r="C75" s="78">
        <v>0.2042440318</v>
      </c>
      <c r="D75" s="20">
        <v>421</v>
      </c>
      <c r="E75" s="21">
        <f t="shared" si="30"/>
        <v>-7.268722466960352E-2</v>
      </c>
      <c r="F75" s="22">
        <f>IF(ISNUMBER(D75), $B91 * E75, "")</f>
        <v>-7268.722466960352</v>
      </c>
      <c r="G75" s="30">
        <v>400</v>
      </c>
      <c r="H75" s="21">
        <f t="shared" si="31"/>
        <v>-0.11894273127753303</v>
      </c>
      <c r="I75" s="105">
        <f>IF(ISNUMBER(G75), $B91 * H75, "")</f>
        <v>-11894.273127753304</v>
      </c>
      <c r="J75" s="20">
        <v>410</v>
      </c>
      <c r="K75" s="21">
        <f t="shared" si="32"/>
        <v>-9.6916299559471369E-2</v>
      </c>
      <c r="L75" s="22">
        <f>IF(ISNUMBER(J75), $B91 * K75, "")</f>
        <v>-9691.6299559471372</v>
      </c>
      <c r="M75" s="30">
        <v>414</v>
      </c>
      <c r="N75" s="21">
        <f t="shared" si="33"/>
        <v>-8.8105726872246701E-2</v>
      </c>
      <c r="O75" s="22">
        <f>IF(ISNUMBER(M75), $B91 * N75, "")</f>
        <v>-8810.5726872246705</v>
      </c>
      <c r="Q75" s="216"/>
      <c r="R75" s="216"/>
      <c r="S75" s="216"/>
    </row>
    <row r="76" spans="1:19" ht="17.25" thickBot="1">
      <c r="A76" s="125" t="s">
        <v>214</v>
      </c>
      <c r="B76" s="129">
        <v>210</v>
      </c>
      <c r="C76" s="80">
        <v>0.14130434780000001</v>
      </c>
      <c r="D76" s="106">
        <v>209</v>
      </c>
      <c r="E76" s="107">
        <f>IF(ISNUMBER(D76), (D76 - $B76) / $B76, "")</f>
        <v>-4.7619047619047623E-3</v>
      </c>
      <c r="F76" s="108">
        <f>IF(ISNUMBER(D76), $B91 * E76, "")</f>
        <v>-476.19047619047626</v>
      </c>
      <c r="G76" s="109">
        <v>204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208</v>
      </c>
      <c r="K76" s="107">
        <f>IF(ISNUMBER(J76), (J76 - $B76) / $B76, "")</f>
        <v>-9.5238095238095247E-3</v>
      </c>
      <c r="L76" s="108">
        <f>IF(ISNUMBER(J76), $B91 * K76, "")</f>
        <v>-952.38095238095252</v>
      </c>
      <c r="M76" s="109">
        <v>208</v>
      </c>
      <c r="N76" s="107">
        <f>IF(ISNUMBER(M76), (M76 - $B76) / $B76, "")</f>
        <v>-9.5238095238095247E-3</v>
      </c>
      <c r="O76" s="108">
        <f>IF(ISNUMBER(M76), $B91 * N76, "")</f>
        <v>-952.38095238095252</v>
      </c>
      <c r="Q76" s="216"/>
      <c r="R76" s="216"/>
      <c r="S76" s="216"/>
    </row>
    <row r="77" spans="1:19" ht="17.25" thickBot="1">
      <c r="A77" s="125" t="s">
        <v>174</v>
      </c>
      <c r="B77" s="126">
        <v>207</v>
      </c>
      <c r="C77" s="77">
        <v>0.1189189189</v>
      </c>
      <c r="D77" s="15">
        <v>203</v>
      </c>
      <c r="E77" s="32">
        <f t="shared" ref="E77:E80" si="34">IF(ISNUMBER(D77), (D77 - $B77) / $B77, "")</f>
        <v>-1.932367149758454E-2</v>
      </c>
      <c r="F77" s="18">
        <f>IF(ISNUMBER(D77), $B91 * E77, "")</f>
        <v>-1932.3671497584539</v>
      </c>
      <c r="G77" s="31">
        <v>207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214</v>
      </c>
      <c r="N77" s="32">
        <f t="shared" ref="N77:N80" si="37">IF(ISNUMBER(M77), (M77 - $B77) / $B77, "")</f>
        <v>3.3816425120772944E-2</v>
      </c>
      <c r="O77" s="18">
        <f>IF(ISNUMBER(M77), $B91 * N77, "")</f>
        <v>3381.6425120772942</v>
      </c>
      <c r="Q77" s="216"/>
      <c r="R77" s="216"/>
      <c r="S77" s="216"/>
    </row>
    <row r="78" spans="1:19" ht="17.25" thickBot="1">
      <c r="A78" s="125" t="s">
        <v>192</v>
      </c>
      <c r="B78" s="126">
        <v>159</v>
      </c>
      <c r="C78" s="77">
        <v>9.65517241E-2</v>
      </c>
      <c r="D78" s="15">
        <v>325</v>
      </c>
      <c r="E78" s="32">
        <f t="shared" si="34"/>
        <v>1.0440251572327044</v>
      </c>
      <c r="F78" s="18">
        <f>IF(ISNUMBER(D78), $B91 * E78, "")</f>
        <v>104402.51572327044</v>
      </c>
      <c r="G78" s="31">
        <v>284</v>
      </c>
      <c r="H78" s="32">
        <f t="shared" si="35"/>
        <v>0.78616352201257866</v>
      </c>
      <c r="I78" s="101">
        <f>IF(ISNUMBER(G78), $B91 * H78, "")</f>
        <v>78616.352201257861</v>
      </c>
      <c r="J78" s="15">
        <v>287</v>
      </c>
      <c r="K78" s="32">
        <f t="shared" si="36"/>
        <v>0.80503144654088055</v>
      </c>
      <c r="L78" s="18">
        <f>IF(ISNUMBER(J78), $B91 * K78, "")</f>
        <v>80503.144654088057</v>
      </c>
      <c r="M78" s="31">
        <v>266</v>
      </c>
      <c r="N78" s="32">
        <f t="shared" si="37"/>
        <v>0.67295597484276726</v>
      </c>
      <c r="O78" s="18">
        <f>IF(ISNUMBER(M78), $B91 * N78, "")</f>
        <v>67295.597484276732</v>
      </c>
      <c r="Q78" s="216"/>
      <c r="R78" s="216"/>
      <c r="S78" s="216"/>
    </row>
    <row r="79" spans="1:19" ht="17.25" thickBot="1">
      <c r="A79" s="125" t="s">
        <v>124</v>
      </c>
      <c r="B79" s="126">
        <v>279</v>
      </c>
      <c r="C79" s="77">
        <v>6.8965517200000007E-2</v>
      </c>
      <c r="D79" s="15">
        <v>273</v>
      </c>
      <c r="E79" s="32">
        <f t="shared" si="34"/>
        <v>-2.1505376344086023E-2</v>
      </c>
      <c r="F79" s="18">
        <f>IF(ISNUMBER(D79), $B91 * E79, "")</f>
        <v>-2150.5376344086021</v>
      </c>
      <c r="G79" s="31">
        <v>266</v>
      </c>
      <c r="H79" s="32">
        <f t="shared" si="35"/>
        <v>-4.6594982078853049E-2</v>
      </c>
      <c r="I79" s="101">
        <f>IF(ISNUMBER(G79), $B91 * H79, "")</f>
        <v>-4659.4982078853045</v>
      </c>
      <c r="J79" s="15">
        <v>270</v>
      </c>
      <c r="K79" s="32">
        <f t="shared" si="36"/>
        <v>-3.2258064516129031E-2</v>
      </c>
      <c r="L79" s="18">
        <f>IF(ISNUMBER(J79), $B91 * K79, "")</f>
        <v>-3225.8064516129029</v>
      </c>
      <c r="M79" s="31">
        <v>268</v>
      </c>
      <c r="N79" s="32">
        <f t="shared" si="37"/>
        <v>-3.9426523297491037E-2</v>
      </c>
      <c r="O79" s="18">
        <f>IF(ISNUMBER(M79), $B91 * N79, "")</f>
        <v>-3942.6523297491035</v>
      </c>
      <c r="Q79" s="33"/>
      <c r="R79" s="33"/>
    </row>
    <row r="80" spans="1:19" ht="17.25" thickBot="1">
      <c r="A80" s="130" t="s">
        <v>114</v>
      </c>
      <c r="B80" s="131">
        <v>280</v>
      </c>
      <c r="C80" s="79">
        <v>6.8702290099999994E-2</v>
      </c>
      <c r="D80" s="24">
        <v>303</v>
      </c>
      <c r="E80" s="25">
        <f t="shared" si="34"/>
        <v>8.2142857142857142E-2</v>
      </c>
      <c r="F80" s="104">
        <f>IF(ISNUMBER(D80), $B91 * E80, "")</f>
        <v>8214.2857142857138</v>
      </c>
      <c r="G80" s="102">
        <v>293</v>
      </c>
      <c r="H80" s="25">
        <f t="shared" si="35"/>
        <v>4.642857142857143E-2</v>
      </c>
      <c r="I80" s="103">
        <f>IF(ISNUMBER(G80), $B91 * H80, "")</f>
        <v>4642.8571428571431</v>
      </c>
      <c r="J80" s="24">
        <v>295</v>
      </c>
      <c r="K80" s="25">
        <f t="shared" si="36"/>
        <v>5.3571428571428568E-2</v>
      </c>
      <c r="L80" s="104">
        <f>IF(ISNUMBER(J80), $B91 * K80, "")</f>
        <v>5357.1428571428569</v>
      </c>
      <c r="M80" s="102">
        <v>290</v>
      </c>
      <c r="N80" s="25">
        <f t="shared" si="37"/>
        <v>3.5714285714285712E-2</v>
      </c>
      <c r="O80" s="104">
        <f>IF(ISNUMBER(M80), $B91 * N80, "")</f>
        <v>3571.4285714285711</v>
      </c>
      <c r="Q80" s="217"/>
      <c r="R80" s="218"/>
      <c r="S80" s="219"/>
    </row>
    <row r="81" spans="1:19">
      <c r="A81" s="123" t="s">
        <v>253</v>
      </c>
      <c r="B81" s="124">
        <v>690</v>
      </c>
      <c r="C81" s="76">
        <v>5.3435114499999999E-2</v>
      </c>
      <c r="D81" s="13">
        <v>683</v>
      </c>
      <c r="E81" s="14">
        <f>IF(ISNUMBER(D81), (D81 - $B81) / $B81, "")</f>
        <v>-1.0144927536231883E-2</v>
      </c>
      <c r="F81" s="16">
        <f>IF(ISNUMBER(D81), $B91 * E81, "")</f>
        <v>-1014.4927536231884</v>
      </c>
      <c r="G81" s="29">
        <v>644</v>
      </c>
      <c r="H81" s="14">
        <f>IF(ISNUMBER(G81), (G81 - $B81) / $B81, "")</f>
        <v>-6.6666666666666666E-2</v>
      </c>
      <c r="I81" s="100">
        <f>IF(ISNUMBER(G81), $B91 * H81, "")</f>
        <v>-6666.666666666667</v>
      </c>
      <c r="J81" s="13">
        <v>668</v>
      </c>
      <c r="K81" s="14">
        <f>IF(ISNUMBER(J81), (J81 - $B81) / $B81, "")</f>
        <v>-3.1884057971014491E-2</v>
      </c>
      <c r="L81" s="16">
        <f>IF(ISNUMBER(J81), $B91 * K81, "")</f>
        <v>-3188.405797101449</v>
      </c>
      <c r="M81" s="29">
        <v>657</v>
      </c>
      <c r="N81" s="14">
        <f>IF(ISNUMBER(M81), (M81 - $B81) / $B81, "")</f>
        <v>-4.7826086956521741E-2</v>
      </c>
      <c r="O81" s="16">
        <f>IF(ISNUMBER(M81), $B91 * N81, "")</f>
        <v>-4782.608695652174</v>
      </c>
      <c r="Q81" s="220"/>
      <c r="R81" s="221"/>
      <c r="S81" s="222"/>
    </row>
    <row r="82" spans="1:19" ht="17.25" thickBot="1">
      <c r="A82" s="125" t="s">
        <v>206</v>
      </c>
      <c r="B82" s="126">
        <v>201</v>
      </c>
      <c r="C82" s="77">
        <v>5.2356020900000001E-2</v>
      </c>
      <c r="D82" s="15">
        <v>217</v>
      </c>
      <c r="E82" s="32">
        <f t="shared" ref="E82:E85" si="38">IF(ISNUMBER(D82), (D82 - $B82) / $B82, "")</f>
        <v>7.9601990049751242E-2</v>
      </c>
      <c r="F82" s="18">
        <f>IF(ISNUMBER(D82), $B91 * E82, "")</f>
        <v>7960.1990049751239</v>
      </c>
      <c r="G82" s="31">
        <v>211</v>
      </c>
      <c r="H82" s="32">
        <f t="shared" ref="H82:H85" si="39">IF(ISNUMBER(G82), (G82 - $B82) / $B82, "")</f>
        <v>4.975124378109453E-2</v>
      </c>
      <c r="I82" s="101">
        <f>IF(ISNUMBER(G82), $B91 * H82, "")</f>
        <v>4975.1243781094527</v>
      </c>
      <c r="J82" s="15">
        <v>220</v>
      </c>
      <c r="K82" s="32">
        <f t="shared" ref="K82:K85" si="40">IF(ISNUMBER(J82), (J82 - $B82) / $B82, "")</f>
        <v>9.4527363184079602E-2</v>
      </c>
      <c r="L82" s="18">
        <f>IF(ISNUMBER(J82), $B91 * K82, "")</f>
        <v>9452.7363184079604</v>
      </c>
      <c r="M82" s="31">
        <v>217</v>
      </c>
      <c r="N82" s="32">
        <f t="shared" ref="N82:N85" si="41">IF(ISNUMBER(M82), (M82 - $B82) / $B82, "")</f>
        <v>7.9601990049751242E-2</v>
      </c>
      <c r="O82" s="18">
        <f>IF(ISNUMBER(M82), $B91 * N82, "")</f>
        <v>7960.1990049751239</v>
      </c>
      <c r="Q82" s="223"/>
      <c r="R82" s="224"/>
      <c r="S82" s="225"/>
    </row>
    <row r="83" spans="1:19" ht="17.25" thickBot="1">
      <c r="A83" s="125" t="s">
        <v>164</v>
      </c>
      <c r="B83" s="126">
        <v>216</v>
      </c>
      <c r="C83" s="77">
        <v>3.3492822999999998E-2</v>
      </c>
      <c r="D83" s="15">
        <v>274</v>
      </c>
      <c r="E83" s="32">
        <f t="shared" si="38"/>
        <v>0.26851851851851855</v>
      </c>
      <c r="F83" s="18">
        <f>IF(ISNUMBER(D83), $B91 * E83, "")</f>
        <v>26851.851851851854</v>
      </c>
      <c r="G83" s="31">
        <v>294</v>
      </c>
      <c r="H83" s="32">
        <f t="shared" si="39"/>
        <v>0.3611111111111111</v>
      </c>
      <c r="I83" s="101">
        <f>IF(ISNUMBER(G83), $B91 * H83, "")</f>
        <v>36111.111111111109</v>
      </c>
      <c r="J83" s="15">
        <v>321</v>
      </c>
      <c r="K83" s="32">
        <f t="shared" si="40"/>
        <v>0.4861111111111111</v>
      </c>
      <c r="L83" s="18">
        <f>IF(ISNUMBER(J83), $B91 * K83, "")</f>
        <v>48611.111111111109</v>
      </c>
      <c r="M83" s="31">
        <v>309</v>
      </c>
      <c r="N83" s="32">
        <f t="shared" si="41"/>
        <v>0.43055555555555558</v>
      </c>
      <c r="O83" s="18">
        <f>IF(ISNUMBER(M83), $B91 * N83, "")</f>
        <v>43055.555555555555</v>
      </c>
      <c r="Q83" s="216"/>
      <c r="R83" s="216"/>
      <c r="S83" s="216"/>
    </row>
    <row r="84" spans="1:19" ht="17.25" thickBot="1">
      <c r="A84" s="125" t="s">
        <v>231</v>
      </c>
      <c r="B84" s="126">
        <v>132</v>
      </c>
      <c r="C84" s="77">
        <v>3.125E-2</v>
      </c>
      <c r="D84" s="15">
        <v>137</v>
      </c>
      <c r="E84" s="32">
        <f t="shared" si="38"/>
        <v>3.787878787878788E-2</v>
      </c>
      <c r="F84" s="18">
        <f>IF(ISNUMBER(D84), $B91 * E84, "")</f>
        <v>3787.878787878788</v>
      </c>
      <c r="G84" s="31">
        <v>131</v>
      </c>
      <c r="H84" s="32">
        <f t="shared" si="39"/>
        <v>-7.575757575757576E-3</v>
      </c>
      <c r="I84" s="101">
        <f>IF(ISNUMBER(G84), $B91 * H84, "")</f>
        <v>-757.57575757575762</v>
      </c>
      <c r="J84" s="15">
        <v>133</v>
      </c>
      <c r="K84" s="32">
        <f t="shared" si="40"/>
        <v>7.575757575757576E-3</v>
      </c>
      <c r="L84" s="18">
        <f>IF(ISNUMBER(J84), $B91 * K84, "")</f>
        <v>757.57575757575762</v>
      </c>
      <c r="M84" s="31">
        <v>133</v>
      </c>
      <c r="N84" s="32">
        <f t="shared" si="41"/>
        <v>7.575757575757576E-3</v>
      </c>
      <c r="O84" s="18">
        <f>IF(ISNUMBER(M84), $B91 * N84, "")</f>
        <v>757.57575757575762</v>
      </c>
      <c r="Q84" s="226"/>
      <c r="R84" s="226"/>
      <c r="S84" s="226"/>
    </row>
    <row r="85" spans="1:19" ht="17.25" thickBot="1">
      <c r="A85" s="127" t="s">
        <v>168</v>
      </c>
      <c r="B85" s="128">
        <v>888</v>
      </c>
      <c r="C85" s="78">
        <v>1.48571429E-2</v>
      </c>
      <c r="D85" s="20">
        <v>900</v>
      </c>
      <c r="E85" s="21">
        <f t="shared" si="38"/>
        <v>1.3513513513513514E-2</v>
      </c>
      <c r="F85" s="22">
        <f>IF(ISNUMBER(D85), $B91 * E85, "")</f>
        <v>1351.3513513513515</v>
      </c>
      <c r="G85" s="30">
        <v>863</v>
      </c>
      <c r="H85" s="21">
        <f t="shared" si="39"/>
        <v>-2.8153153153153154E-2</v>
      </c>
      <c r="I85" s="105">
        <f>IF(ISNUMBER(G85), $B91 * H85, "")</f>
        <v>-2815.3153153153153</v>
      </c>
      <c r="J85" s="20">
        <v>874</v>
      </c>
      <c r="K85" s="21">
        <f t="shared" si="40"/>
        <v>-1.5765765765765764E-2</v>
      </c>
      <c r="L85" s="22">
        <f>IF(ISNUMBER(J85), $B91 * K85, "")</f>
        <v>-1576.5765765765764</v>
      </c>
      <c r="M85" s="30">
        <v>889</v>
      </c>
      <c r="N85" s="21">
        <f t="shared" si="41"/>
        <v>1.1261261261261261E-3</v>
      </c>
      <c r="O85" s="22">
        <f>IF(ISNUMBER(M85), $B91 * N85, "")</f>
        <v>112.61261261261261</v>
      </c>
      <c r="Q85" s="226"/>
      <c r="R85" s="226"/>
      <c r="S85" s="226"/>
    </row>
    <row r="86" spans="1:19" ht="17.25" thickBot="1">
      <c r="A86" s="125" t="s">
        <v>102</v>
      </c>
      <c r="B86" s="129">
        <v>838</v>
      </c>
      <c r="C86" s="80">
        <v>8.4235860000000003E-3</v>
      </c>
      <c r="D86" s="106">
        <v>841</v>
      </c>
      <c r="E86" s="107">
        <f>IF(ISNUMBER(D86), (D86 - $B86) / $B86, "")</f>
        <v>3.5799522673031028E-3</v>
      </c>
      <c r="F86" s="108">
        <f>IF(ISNUMBER(D86), $B91 * E86, "")</f>
        <v>357.99522673031026</v>
      </c>
      <c r="G86" s="109">
        <v>808</v>
      </c>
      <c r="H86" s="107">
        <f>IF(ISNUMBER(G86), (G86 - $B86) / $B86, "")</f>
        <v>-3.5799522673031027E-2</v>
      </c>
      <c r="I86" s="110">
        <f>IF(ISNUMBER(G86), $B91 * H86, "")</f>
        <v>-3579.9522673031029</v>
      </c>
      <c r="J86" s="106">
        <v>817</v>
      </c>
      <c r="K86" s="107">
        <f>IF(ISNUMBER(J86), (J86 - $B86) / $B86, "")</f>
        <v>-2.5059665871121718E-2</v>
      </c>
      <c r="L86" s="108">
        <f>IF(ISNUMBER(J86), $B91 * K86, "")</f>
        <v>-2505.966587112172</v>
      </c>
      <c r="M86" s="109">
        <v>823</v>
      </c>
      <c r="N86" s="107">
        <f>IF(ISNUMBER(M86), (M86 - $B86) / $B86, "")</f>
        <v>-1.7899761336515514E-2</v>
      </c>
      <c r="O86" s="108">
        <f>IF(ISNUMBER(M86), $B91 * N86, "")</f>
        <v>-1789.9761336515514</v>
      </c>
      <c r="Q86" s="216"/>
      <c r="R86" s="216"/>
      <c r="S86" s="216"/>
    </row>
    <row r="87" spans="1:19" ht="17.25" thickBot="1">
      <c r="A87" s="125" t="s">
        <v>243</v>
      </c>
      <c r="B87" s="126">
        <v>326</v>
      </c>
      <c r="C87" s="77">
        <v>-6.0975609999999996E-3</v>
      </c>
      <c r="D87" s="15">
        <v>356</v>
      </c>
      <c r="E87" s="32">
        <f t="shared" ref="E87:E90" si="42">IF(ISNUMBER(D87), (D87 - $B87) / $B87, "")</f>
        <v>9.202453987730061E-2</v>
      </c>
      <c r="F87" s="18">
        <f>IF(ISNUMBER(D87), $B91 * E87, "")</f>
        <v>9202.4539877300613</v>
      </c>
      <c r="G87" s="31">
        <v>356</v>
      </c>
      <c r="H87" s="32">
        <f t="shared" ref="H87:H90" si="43">IF(ISNUMBER(G87), (G87 - $B87) / $B87, "")</f>
        <v>9.202453987730061E-2</v>
      </c>
      <c r="I87" s="101">
        <f>IF(ISNUMBER(G87), $B91 * H87, "")</f>
        <v>9202.4539877300613</v>
      </c>
      <c r="J87" s="15">
        <v>367</v>
      </c>
      <c r="K87" s="32">
        <f t="shared" ref="K87:K90" si="44">IF(ISNUMBER(J87), (J87 - $B87) / $B87, "")</f>
        <v>0.12576687116564417</v>
      </c>
      <c r="L87" s="18">
        <f>IF(ISNUMBER(J87), $B91 * K87, "")</f>
        <v>12576.687116564417</v>
      </c>
      <c r="M87" s="31">
        <v>359</v>
      </c>
      <c r="N87" s="32">
        <f t="shared" ref="N87:N90" si="45">IF(ISNUMBER(M87), (M87 - $B87) / $B87, "")</f>
        <v>0.10122699386503067</v>
      </c>
      <c r="O87" s="18">
        <f>IF(ISNUMBER(M87), $B91 * N87, "")</f>
        <v>10122.699386503067</v>
      </c>
      <c r="Q87" s="216"/>
      <c r="R87" s="216"/>
      <c r="S87" s="216"/>
    </row>
    <row r="88" spans="1:19" ht="17.25" thickBot="1">
      <c r="A88" s="125" t="s">
        <v>54</v>
      </c>
      <c r="B88" s="126">
        <v>219</v>
      </c>
      <c r="C88" s="77">
        <v>-9.0497738000000008E-3</v>
      </c>
      <c r="D88" s="15">
        <v>218</v>
      </c>
      <c r="E88" s="32">
        <f t="shared" si="42"/>
        <v>-4.5662100456621002E-3</v>
      </c>
      <c r="F88" s="18">
        <f>IF(ISNUMBER(D88), $B91 * E88, "")</f>
        <v>-456.62100456621005</v>
      </c>
      <c r="G88" s="31">
        <v>223</v>
      </c>
      <c r="H88" s="32">
        <f t="shared" si="43"/>
        <v>1.8264840182648401E-2</v>
      </c>
      <c r="I88" s="101">
        <f>IF(ISNUMBER(G88), $B91 * H88, "")</f>
        <v>1826.4840182648402</v>
      </c>
      <c r="J88" s="15">
        <v>233</v>
      </c>
      <c r="K88" s="32">
        <f t="shared" si="44"/>
        <v>6.3926940639269403E-2</v>
      </c>
      <c r="L88" s="18">
        <f>IF(ISNUMBER(J88), $B91 * K88, "")</f>
        <v>6392.6940639269405</v>
      </c>
      <c r="M88" s="31">
        <v>237</v>
      </c>
      <c r="N88" s="32">
        <f t="shared" si="45"/>
        <v>8.2191780821917804E-2</v>
      </c>
      <c r="O88" s="18">
        <f>IF(ISNUMBER(M88), $B91 * N88, "")</f>
        <v>8219.17808219178</v>
      </c>
      <c r="Q88" s="216"/>
      <c r="R88" s="216"/>
      <c r="S88" s="216"/>
    </row>
    <row r="89" spans="1:19">
      <c r="A89" s="125" t="s">
        <v>80</v>
      </c>
      <c r="B89" s="126">
        <v>676</v>
      </c>
      <c r="C89" s="77">
        <v>-1.0248901899999999E-2</v>
      </c>
      <c r="D89" s="15">
        <v>686</v>
      </c>
      <c r="E89" s="32">
        <f t="shared" si="42"/>
        <v>1.4792899408284023E-2</v>
      </c>
      <c r="F89" s="18">
        <f>IF(ISNUMBER(D89), $B91 * E89, "")</f>
        <v>1479.2899408284022</v>
      </c>
      <c r="G89" s="31">
        <v>663</v>
      </c>
      <c r="H89" s="32">
        <f t="shared" si="43"/>
        <v>-1.9230769230769232E-2</v>
      </c>
      <c r="I89" s="101">
        <f>IF(ISNUMBER(G89), $B91 * H89, "")</f>
        <v>-1923.0769230769231</v>
      </c>
      <c r="J89" s="15">
        <v>670</v>
      </c>
      <c r="K89" s="32">
        <f t="shared" si="44"/>
        <v>-8.8757396449704144E-3</v>
      </c>
      <c r="L89" s="18">
        <f>IF(ISNUMBER(J89), $B91 * K89, "")</f>
        <v>-887.5739644970414</v>
      </c>
      <c r="M89" s="31">
        <v>674</v>
      </c>
      <c r="N89" s="32">
        <f t="shared" si="45"/>
        <v>-2.9585798816568047E-3</v>
      </c>
      <c r="O89" s="18">
        <f>IF(ISNUMBER(M89), $B91 * N89, "")</f>
        <v>-295.85798816568047</v>
      </c>
      <c r="Q89" s="205"/>
      <c r="R89" s="206"/>
      <c r="S89" s="207"/>
    </row>
    <row r="90" spans="1:19" ht="17.25" thickBot="1">
      <c r="A90" s="130" t="s">
        <v>118</v>
      </c>
      <c r="B90" s="131">
        <v>132</v>
      </c>
      <c r="C90" s="79">
        <v>-1.49253731E-2</v>
      </c>
      <c r="D90" s="24">
        <v>135</v>
      </c>
      <c r="E90" s="25">
        <f t="shared" si="42"/>
        <v>2.2727272727272728E-2</v>
      </c>
      <c r="F90" s="104">
        <f>IF(ISNUMBER(D90), $B91 * E90, "")</f>
        <v>2272.727272727273</v>
      </c>
      <c r="G90" s="102">
        <v>131</v>
      </c>
      <c r="H90" s="25">
        <f t="shared" si="43"/>
        <v>-7.575757575757576E-3</v>
      </c>
      <c r="I90" s="103">
        <f>IF(ISNUMBER(G90), $B91 * H90, "")</f>
        <v>-757.57575757575762</v>
      </c>
      <c r="J90" s="24">
        <v>135</v>
      </c>
      <c r="K90" s="25">
        <f t="shared" si="44"/>
        <v>2.2727272727272728E-2</v>
      </c>
      <c r="L90" s="104">
        <f>IF(ISNUMBER(J90), $B91 * K90, "")</f>
        <v>2272.727272727273</v>
      </c>
      <c r="M90" s="102">
        <v>133</v>
      </c>
      <c r="N90" s="25">
        <f t="shared" si="45"/>
        <v>7.575757575757576E-3</v>
      </c>
      <c r="O90" s="104">
        <f>IF(ISNUMBER(M90), $B91 * N90, "")</f>
        <v>757.57575757575762</v>
      </c>
      <c r="Q90" s="208"/>
      <c r="R90" s="209"/>
      <c r="S90" s="210"/>
    </row>
    <row r="91" spans="1:19" ht="17.25" thickBot="1">
      <c r="A91" s="132" t="s">
        <v>271</v>
      </c>
      <c r="B91" s="269">
        <f>$B$37</f>
        <v>100000</v>
      </c>
      <c r="C91" s="270"/>
      <c r="D91" s="26" t="s">
        <v>272</v>
      </c>
      <c r="E91" s="27">
        <f>IF(COUNT(E71:E90), SUM(E71:E90) / COUNT(E71:E90), 0)</f>
        <v>4.938319839081997E-2</v>
      </c>
      <c r="F91" s="28">
        <f>SUM(F71:F90)</f>
        <v>98766.396781639938</v>
      </c>
      <c r="G91" s="26" t="s">
        <v>272</v>
      </c>
      <c r="H91" s="27">
        <f>IF(COUNT(H71:H90), SUM(H71:H90) / COUNT(H71:H90), 0)</f>
        <v>2.4639930413226086E-2</v>
      </c>
      <c r="I91" s="28">
        <f>SUM(I71:I90)</f>
        <v>49279.860826452183</v>
      </c>
      <c r="J91" s="26" t="s">
        <v>272</v>
      </c>
      <c r="K91" s="27">
        <f>IF(COUNT(K71:K90), SUM(K71:K90) / COUNT(K71:K90), 0)</f>
        <v>5.4472710541046174E-2</v>
      </c>
      <c r="L91" s="28">
        <f>SUM(L71:L90)</f>
        <v>108945.42108209235</v>
      </c>
      <c r="M91" s="26" t="s">
        <v>272</v>
      </c>
      <c r="N91" s="27">
        <f>IF(COUNT(N71:N90), SUM(N71:N90) / COUNT(N71:N90), 0)</f>
        <v>4.0704762939762898E-2</v>
      </c>
      <c r="O91" s="28">
        <f>SUM(O71:O90)</f>
        <v>81409.525879525769</v>
      </c>
      <c r="Q91" s="211"/>
      <c r="R91" s="212"/>
      <c r="S91" s="213"/>
    </row>
    <row r="93" spans="1:19" ht="17.25" thickBot="1"/>
    <row r="94" spans="1:19" ht="17.25" thickBot="1">
      <c r="A94" s="227" t="s">
        <v>46</v>
      </c>
      <c r="B94" s="228"/>
      <c r="C94" s="228"/>
      <c r="D94" s="228"/>
      <c r="E94" s="228"/>
      <c r="F94" s="228"/>
      <c r="G94" s="228"/>
      <c r="H94" s="228"/>
      <c r="I94" s="228"/>
      <c r="J94" s="228"/>
      <c r="K94" s="228"/>
      <c r="L94" s="228"/>
      <c r="M94" s="228"/>
      <c r="N94" s="228"/>
      <c r="O94" s="229"/>
      <c r="Q94" s="226"/>
      <c r="R94" s="226"/>
      <c r="S94" s="226"/>
    </row>
    <row r="95" spans="1:19" ht="17.25" thickBot="1">
      <c r="A95" s="157" t="s">
        <v>268</v>
      </c>
      <c r="B95" s="227" t="s">
        <v>49</v>
      </c>
      <c r="C95" s="229"/>
      <c r="D95" s="227" t="s">
        <v>58</v>
      </c>
      <c r="E95" s="228"/>
      <c r="F95" s="229"/>
      <c r="G95" s="230">
        <f>_xlfn.IFNA(VLOOKUP(B95, 현재가테이블!$B$2:$D$200, 2, FALSE), "-")</f>
        <v>39916000</v>
      </c>
      <c r="H95" s="231"/>
      <c r="I95" s="232"/>
      <c r="J95" s="227" t="s">
        <v>59</v>
      </c>
      <c r="K95" s="228"/>
      <c r="L95" s="229"/>
      <c r="M95" s="233">
        <f>_xlfn.IFNA(VLOOKUP(B95, 현재가테이블!$B$2:$D$200, 3, FALSE), "-")</f>
        <v>7.3184273000000003E-3</v>
      </c>
      <c r="N95" s="234"/>
      <c r="O95" s="235"/>
      <c r="Q95" s="226"/>
      <c r="R95" s="226"/>
      <c r="S95" s="226"/>
    </row>
    <row r="96" spans="1:19" ht="17.25" thickBot="1">
      <c r="A96" s="271" t="s">
        <v>55</v>
      </c>
      <c r="B96" s="267" t="str">
        <f>TEXT($G$1, "[$-ko-KR]yyyy-mm-dd(ddd) ") &amp; "오전 00:00"</f>
        <v>2021-07-01(목) 오전 00:00</v>
      </c>
      <c r="C96" s="268"/>
      <c r="D96" s="240" t="str">
        <f>TEXT($G$1, "[$-ko-KR]yyyy-mm-dd(ddd) ") &amp; "오후 14:00"</f>
        <v>2021-07-01(목) 오후 14:00</v>
      </c>
      <c r="E96" s="241"/>
      <c r="F96" s="242"/>
      <c r="G96" s="240" t="str">
        <f>TEXT($G$1, "[$-ko-KR]yyyy-mm-dd(ddd) ") &amp; "오후 19:00"</f>
        <v>2021-07-01(목) 오후 19:00</v>
      </c>
      <c r="H96" s="241"/>
      <c r="I96" s="242"/>
      <c r="J96" s="240" t="str">
        <f>TEXT($G$1, "[$-ko-KR]yyyy-mm-dd(ddd) ") &amp; "오후 21:00"</f>
        <v>2021-07-01(목) 오후 21:00</v>
      </c>
      <c r="K96" s="241"/>
      <c r="L96" s="242"/>
      <c r="M96" s="240" t="str">
        <f>TEXT($G$1+1, "[$-ko-KR]yyyy-mm-dd(ddd) ") &amp; "오전 00:00"</f>
        <v>2021-07-02(금) 오전 00:00</v>
      </c>
      <c r="N96" s="241"/>
      <c r="O96" s="242"/>
      <c r="Q96" s="226"/>
      <c r="R96" s="226"/>
      <c r="S96" s="226"/>
    </row>
    <row r="97" spans="1:19" ht="17.25" thickBot="1">
      <c r="A97" s="27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58" t="s">
        <v>58</v>
      </c>
      <c r="H97" s="159" t="s">
        <v>269</v>
      </c>
      <c r="I97" s="16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6"/>
      <c r="R97" s="216"/>
      <c r="S97" s="216"/>
    </row>
    <row r="98" spans="1:19" ht="17.25" thickBot="1">
      <c r="A98" s="123" t="s">
        <v>228</v>
      </c>
      <c r="B98" s="124">
        <v>394</v>
      </c>
      <c r="C98" s="76">
        <v>0.97989949750000005</v>
      </c>
      <c r="D98" s="13">
        <v>310</v>
      </c>
      <c r="E98" s="14">
        <f>IF(ISNUMBER(D98), (D98 - $B98) / $B98, "")</f>
        <v>-0.21319796954314721</v>
      </c>
      <c r="F98" s="16">
        <f>IF(ISNUMBER(D98), $B118 * E98, "")</f>
        <v>-21319.796954314719</v>
      </c>
      <c r="G98" s="29">
        <v>309</v>
      </c>
      <c r="H98" s="14">
        <f>IF(ISNUMBER(G98), (G98 - $B98) / $B98, "")</f>
        <v>-0.21573604060913706</v>
      </c>
      <c r="I98" s="100">
        <f>IF(ISNUMBER(G98), $B118 * H98, "")</f>
        <v>-21573.604060913705</v>
      </c>
      <c r="J98" s="13">
        <v>308</v>
      </c>
      <c r="K98" s="14">
        <f>IF(ISNUMBER(J98), (J98 - $B98) / $B98, "")</f>
        <v>-0.21827411167512689</v>
      </c>
      <c r="L98" s="16">
        <f>IF(ISNUMBER(J98), $B118 * K98, "")</f>
        <v>-21827.411167512688</v>
      </c>
      <c r="M98" s="29">
        <v>310</v>
      </c>
      <c r="N98" s="14">
        <f>IF(ISNUMBER(M98), (M98 - $B98) / $B98, "")</f>
        <v>-0.21319796954314721</v>
      </c>
      <c r="O98" s="16">
        <f>IF(ISNUMBER(M98), $B118 * N98, "")</f>
        <v>-21319.796954314719</v>
      </c>
      <c r="Q98" s="226"/>
      <c r="R98" s="226"/>
      <c r="S98" s="226"/>
    </row>
    <row r="99" spans="1:19" ht="17.25" thickBot="1">
      <c r="A99" s="125" t="s">
        <v>233</v>
      </c>
      <c r="B99" s="126">
        <v>512</v>
      </c>
      <c r="C99" s="77">
        <v>0.49707602340000001</v>
      </c>
      <c r="D99" s="15">
        <v>404</v>
      </c>
      <c r="E99" s="32">
        <f t="shared" ref="E99:E102" si="46">IF(ISNUMBER(D99), (D99 - $B99) / $B99, "")</f>
        <v>-0.2109375</v>
      </c>
      <c r="F99" s="18">
        <f>IF(ISNUMBER(D99), $B118 * E99, "")</f>
        <v>-21093.75</v>
      </c>
      <c r="G99" s="31">
        <v>408</v>
      </c>
      <c r="H99" s="32">
        <f t="shared" ref="H99:H102" si="47">IF(ISNUMBER(G99), (G99 - $B99) / $B99, "")</f>
        <v>-0.203125</v>
      </c>
      <c r="I99" s="101">
        <f>IF(ISNUMBER(G99), $B118 * H99, "")</f>
        <v>-20312.5</v>
      </c>
      <c r="J99" s="15">
        <v>410</v>
      </c>
      <c r="K99" s="32">
        <f t="shared" ref="K99:K102" si="48">IF(ISNUMBER(J99), (J99 - $B99) / $B99, "")</f>
        <v>-0.19921875</v>
      </c>
      <c r="L99" s="18">
        <f>IF(ISNUMBER(J99), $B118 * K99, "")</f>
        <v>-19921.875</v>
      </c>
      <c r="M99" s="31">
        <v>410</v>
      </c>
      <c r="N99" s="32">
        <f t="shared" ref="N99:N102" si="49">IF(ISNUMBER(M99), (M99 - $B99) / $B99, "")</f>
        <v>-0.19921875</v>
      </c>
      <c r="O99" s="18">
        <f>IF(ISNUMBER(M99), $B118 * N99, "")</f>
        <v>-19921.875</v>
      </c>
      <c r="Q99" s="226"/>
      <c r="R99" s="226"/>
      <c r="S99" s="226"/>
    </row>
    <row r="100" spans="1:19" ht="17.25" thickBot="1">
      <c r="A100" s="125" t="s">
        <v>184</v>
      </c>
      <c r="B100" s="126">
        <v>956</v>
      </c>
      <c r="C100" s="77">
        <v>0.2101265823</v>
      </c>
      <c r="D100" s="15">
        <v>847</v>
      </c>
      <c r="E100" s="32">
        <f t="shared" si="46"/>
        <v>-0.11401673640167365</v>
      </c>
      <c r="F100" s="18">
        <f>IF(ISNUMBER(D100), $B118 * E100, "")</f>
        <v>-11401.673640167364</v>
      </c>
      <c r="G100" s="31">
        <v>815</v>
      </c>
      <c r="H100" s="32">
        <f t="shared" si="47"/>
        <v>-0.14748953974895398</v>
      </c>
      <c r="I100" s="101">
        <f>IF(ISNUMBER(G100), $B118 * H100, "")</f>
        <v>-14748.953974895399</v>
      </c>
      <c r="J100" s="15">
        <v>835</v>
      </c>
      <c r="K100" s="32">
        <f t="shared" si="48"/>
        <v>-0.12656903765690378</v>
      </c>
      <c r="L100" s="18">
        <f>IF(ISNUMBER(J100), $B118 * K100, "")</f>
        <v>-12656.903765690378</v>
      </c>
      <c r="M100" s="31">
        <v>834</v>
      </c>
      <c r="N100" s="32">
        <f t="shared" si="49"/>
        <v>-0.12761506276150628</v>
      </c>
      <c r="O100" s="18">
        <f>IF(ISNUMBER(M100), $B118 * N100, "")</f>
        <v>-12761.506276150627</v>
      </c>
      <c r="Q100" s="216"/>
      <c r="R100" s="216"/>
      <c r="S100" s="216"/>
    </row>
    <row r="101" spans="1:19" ht="17.25" thickBot="1">
      <c r="A101" s="125" t="s">
        <v>255</v>
      </c>
      <c r="B101" s="126">
        <v>186</v>
      </c>
      <c r="C101" s="77">
        <v>0.20779220779999999</v>
      </c>
      <c r="D101" s="15">
        <v>186</v>
      </c>
      <c r="E101" s="32">
        <f t="shared" si="46"/>
        <v>0</v>
      </c>
      <c r="F101" s="18">
        <f>IF(ISNUMBER(D101), $B118 * E101, "")</f>
        <v>0</v>
      </c>
      <c r="G101" s="31">
        <v>198</v>
      </c>
      <c r="H101" s="32">
        <f t="shared" si="47"/>
        <v>6.4516129032258063E-2</v>
      </c>
      <c r="I101" s="101">
        <f>IF(ISNUMBER(G101), $B118 * H101, "")</f>
        <v>6451.6129032258059</v>
      </c>
      <c r="J101" s="15">
        <v>215</v>
      </c>
      <c r="K101" s="32">
        <f t="shared" si="48"/>
        <v>0.15591397849462366</v>
      </c>
      <c r="L101" s="18">
        <f>IF(ISNUMBER(J101), $B118 * K101, "")</f>
        <v>15591.397849462366</v>
      </c>
      <c r="M101" s="31">
        <v>206</v>
      </c>
      <c r="N101" s="32">
        <f t="shared" si="49"/>
        <v>0.10752688172043011</v>
      </c>
      <c r="O101" s="18">
        <f>IF(ISNUMBER(M101), $B118 * N101, "")</f>
        <v>10752.68817204301</v>
      </c>
      <c r="Q101" s="216"/>
      <c r="R101" s="216"/>
      <c r="S101" s="216"/>
    </row>
    <row r="102" spans="1:19" ht="17.25" thickBot="1">
      <c r="A102" s="127" t="s">
        <v>237</v>
      </c>
      <c r="B102" s="128">
        <v>454</v>
      </c>
      <c r="C102" s="78">
        <v>0.2042440318</v>
      </c>
      <c r="D102" s="20">
        <v>421</v>
      </c>
      <c r="E102" s="21">
        <f t="shared" si="46"/>
        <v>-7.268722466960352E-2</v>
      </c>
      <c r="F102" s="22">
        <f>IF(ISNUMBER(D102), $B118 * E102, "")</f>
        <v>-7268.722466960352</v>
      </c>
      <c r="G102" s="30">
        <v>400</v>
      </c>
      <c r="H102" s="21">
        <f t="shared" si="47"/>
        <v>-0.11894273127753303</v>
      </c>
      <c r="I102" s="105">
        <f>IF(ISNUMBER(G102), $B118 * H102, "")</f>
        <v>-11894.273127753304</v>
      </c>
      <c r="J102" s="20">
        <v>410</v>
      </c>
      <c r="K102" s="21">
        <f t="shared" si="48"/>
        <v>-9.6916299559471369E-2</v>
      </c>
      <c r="L102" s="22">
        <f>IF(ISNUMBER(J102), $B118 * K102, "")</f>
        <v>-9691.6299559471372</v>
      </c>
      <c r="M102" s="30">
        <v>414</v>
      </c>
      <c r="N102" s="21">
        <f t="shared" si="49"/>
        <v>-8.8105726872246701E-2</v>
      </c>
      <c r="O102" s="22">
        <f>IF(ISNUMBER(M102), $B118 * N102, "")</f>
        <v>-8810.5726872246705</v>
      </c>
      <c r="Q102" s="216"/>
      <c r="R102" s="216"/>
      <c r="S102" s="216"/>
    </row>
    <row r="103" spans="1:19" ht="17.25" thickBot="1">
      <c r="A103" s="125" t="s">
        <v>247</v>
      </c>
      <c r="B103" s="129">
        <v>7620</v>
      </c>
      <c r="C103" s="80">
        <v>0.1741140216</v>
      </c>
      <c r="D103" s="106">
        <v>7145</v>
      </c>
      <c r="E103" s="107">
        <f>IF(ISNUMBER(D103), (D103 - $B103) / $B103, "")</f>
        <v>-6.2335958005249346E-2</v>
      </c>
      <c r="F103" s="108">
        <f>IF(ISNUMBER(D103), $B118 * E103, "")</f>
        <v>-6233.5958005249349</v>
      </c>
      <c r="G103" s="109">
        <v>6705</v>
      </c>
      <c r="H103" s="107">
        <f>IF(ISNUMBER(G103), (G103 - $B103) / $B103, "")</f>
        <v>-0.12007874015748031</v>
      </c>
      <c r="I103" s="110">
        <f>IF(ISNUMBER(G103), $B118 * H103, "")</f>
        <v>-12007.874015748032</v>
      </c>
      <c r="J103" s="106">
        <v>6895</v>
      </c>
      <c r="K103" s="107">
        <f>IF(ISNUMBER(J103), (J103 - $B103) / $B103, "")</f>
        <v>-9.514435695538058E-2</v>
      </c>
      <c r="L103" s="108">
        <f>IF(ISNUMBER(J103), $B118 * K103, "")</f>
        <v>-9514.4356955380572</v>
      </c>
      <c r="M103" s="109">
        <v>6950</v>
      </c>
      <c r="N103" s="107">
        <f>IF(ISNUMBER(M103), (M103 - $B103) / $B103, "")</f>
        <v>-8.7926509186351712E-2</v>
      </c>
      <c r="O103" s="108">
        <f>IF(ISNUMBER(M103), $B118 * N103, "")</f>
        <v>-8792.6509186351705</v>
      </c>
      <c r="Q103" s="216"/>
      <c r="R103" s="216"/>
      <c r="S103" s="216"/>
    </row>
    <row r="104" spans="1:19" ht="17.25" thickBot="1">
      <c r="A104" s="125" t="s">
        <v>214</v>
      </c>
      <c r="B104" s="126">
        <v>210</v>
      </c>
      <c r="C104" s="77">
        <v>0.14130434780000001</v>
      </c>
      <c r="D104" s="15">
        <v>209</v>
      </c>
      <c r="E104" s="32">
        <f t="shared" ref="E104:E107" si="50">IF(ISNUMBER(D104), (D104 - $B104) / $B104, "")</f>
        <v>-4.7619047619047623E-3</v>
      </c>
      <c r="F104" s="18">
        <f>IF(ISNUMBER(D104), $B118 * E104, "")</f>
        <v>-476.19047619047626</v>
      </c>
      <c r="G104" s="31">
        <v>204</v>
      </c>
      <c r="H104" s="32">
        <f t="shared" ref="H104:H107" si="51">IF(ISNUMBER(G104), (G104 - $B104) / $B104, "")</f>
        <v>-2.8571428571428571E-2</v>
      </c>
      <c r="I104" s="101">
        <f>IF(ISNUMBER(G104), $B118 * H104, "")</f>
        <v>-2857.1428571428569</v>
      </c>
      <c r="J104" s="15">
        <v>208</v>
      </c>
      <c r="K104" s="32">
        <f t="shared" ref="K104:K107" si="52">IF(ISNUMBER(J104), (J104 - $B104) / $B104, "")</f>
        <v>-9.5238095238095247E-3</v>
      </c>
      <c r="L104" s="18">
        <f>IF(ISNUMBER(J104), $B118 * K104, "")</f>
        <v>-952.38095238095252</v>
      </c>
      <c r="M104" s="31">
        <v>208</v>
      </c>
      <c r="N104" s="32">
        <f t="shared" ref="N104:N107" si="53">IF(ISNUMBER(M104), (M104 - $B104) / $B104, "")</f>
        <v>-9.5238095238095247E-3</v>
      </c>
      <c r="O104" s="18">
        <f>IF(ISNUMBER(M104), $B118 * N104, "")</f>
        <v>-952.38095238095252</v>
      </c>
      <c r="Q104" s="216"/>
      <c r="R104" s="216"/>
      <c r="S104" s="216"/>
    </row>
    <row r="105" spans="1:19" ht="17.25" thickBot="1">
      <c r="A105" s="125" t="s">
        <v>174</v>
      </c>
      <c r="B105" s="126">
        <v>207</v>
      </c>
      <c r="C105" s="77">
        <v>0.1189189189</v>
      </c>
      <c r="D105" s="15">
        <v>203</v>
      </c>
      <c r="E105" s="32">
        <f t="shared" si="50"/>
        <v>-1.932367149758454E-2</v>
      </c>
      <c r="F105" s="18">
        <f>IF(ISNUMBER(D105), $B118 * E105, "")</f>
        <v>-1932.3671497584539</v>
      </c>
      <c r="G105" s="31">
        <v>207</v>
      </c>
      <c r="H105" s="32">
        <f t="shared" si="51"/>
        <v>0</v>
      </c>
      <c r="I105" s="101">
        <f>IF(ISNUMBER(G105), $B118 * H105, "")</f>
        <v>0</v>
      </c>
      <c r="J105" s="15">
        <v>215</v>
      </c>
      <c r="K105" s="32">
        <f t="shared" si="52"/>
        <v>3.864734299516908E-2</v>
      </c>
      <c r="L105" s="18">
        <f>IF(ISNUMBER(J105), $B118 * K105, "")</f>
        <v>3864.7342995169079</v>
      </c>
      <c r="M105" s="31">
        <v>214</v>
      </c>
      <c r="N105" s="32">
        <f t="shared" si="53"/>
        <v>3.3816425120772944E-2</v>
      </c>
      <c r="O105" s="18">
        <f>IF(ISNUMBER(M105), $B118 * N105, "")</f>
        <v>3381.6425120772942</v>
      </c>
      <c r="Q105" s="216"/>
      <c r="R105" s="216"/>
      <c r="S105" s="216"/>
    </row>
    <row r="106" spans="1:19" ht="17.25" thickBot="1">
      <c r="A106" s="125" t="s">
        <v>192</v>
      </c>
      <c r="B106" s="126">
        <v>159</v>
      </c>
      <c r="C106" s="77">
        <v>9.65517241E-2</v>
      </c>
      <c r="D106" s="15">
        <v>325</v>
      </c>
      <c r="E106" s="32">
        <f t="shared" si="50"/>
        <v>1.0440251572327044</v>
      </c>
      <c r="F106" s="18">
        <f>IF(ISNUMBER(D106), $B118 * E106, "")</f>
        <v>104402.51572327044</v>
      </c>
      <c r="G106" s="31">
        <v>284</v>
      </c>
      <c r="H106" s="32">
        <f t="shared" si="51"/>
        <v>0.78616352201257866</v>
      </c>
      <c r="I106" s="101">
        <f>IF(ISNUMBER(G106), $B118 * H106, "")</f>
        <v>78616.352201257861</v>
      </c>
      <c r="J106" s="15">
        <v>287</v>
      </c>
      <c r="K106" s="32">
        <f t="shared" si="52"/>
        <v>0.80503144654088055</v>
      </c>
      <c r="L106" s="18">
        <f>IF(ISNUMBER(J106), $B118 * K106, "")</f>
        <v>80503.144654088057</v>
      </c>
      <c r="M106" s="31">
        <v>266</v>
      </c>
      <c r="N106" s="32">
        <f t="shared" si="53"/>
        <v>0.67295597484276726</v>
      </c>
      <c r="O106" s="18">
        <f>IF(ISNUMBER(M106), $B118 * N106, "")</f>
        <v>67295.597484276732</v>
      </c>
      <c r="Q106" s="33"/>
      <c r="R106" s="33"/>
    </row>
    <row r="107" spans="1:19" ht="17.25" thickBot="1">
      <c r="A107" s="130" t="s">
        <v>172</v>
      </c>
      <c r="B107" s="131">
        <v>1985</v>
      </c>
      <c r="C107" s="79">
        <v>8.7671232900000007E-2</v>
      </c>
      <c r="D107" s="24">
        <v>1940</v>
      </c>
      <c r="E107" s="25">
        <f t="shared" si="50"/>
        <v>-2.2670025188916875E-2</v>
      </c>
      <c r="F107" s="104">
        <f>IF(ISNUMBER(D107), $B118 * E107, "")</f>
        <v>-2267.0025188916875</v>
      </c>
      <c r="G107" s="102">
        <v>1850</v>
      </c>
      <c r="H107" s="25">
        <f t="shared" si="51"/>
        <v>-6.8010075566750636E-2</v>
      </c>
      <c r="I107" s="103">
        <f>IF(ISNUMBER(G107), $B118 * H107, "")</f>
        <v>-6801.0075566750638</v>
      </c>
      <c r="J107" s="24">
        <v>1885</v>
      </c>
      <c r="K107" s="25">
        <f t="shared" si="52"/>
        <v>-5.0377833753148617E-2</v>
      </c>
      <c r="L107" s="104">
        <f>IF(ISNUMBER(J107), $B118 * K107, "")</f>
        <v>-5037.7833753148616</v>
      </c>
      <c r="M107" s="102">
        <v>1870</v>
      </c>
      <c r="N107" s="25">
        <f t="shared" si="53"/>
        <v>-5.793450881612091E-2</v>
      </c>
      <c r="O107" s="104">
        <f>IF(ISNUMBER(M107), $B118 * N107, "")</f>
        <v>-5793.4508816120906</v>
      </c>
      <c r="Q107" s="217"/>
      <c r="R107" s="218"/>
      <c r="S107" s="219"/>
    </row>
    <row r="108" spans="1:19">
      <c r="A108" s="123" t="s">
        <v>158</v>
      </c>
      <c r="B108" s="124">
        <v>19310</v>
      </c>
      <c r="C108" s="76">
        <v>8.3613916900000002E-2</v>
      </c>
      <c r="D108" s="13">
        <v>17940</v>
      </c>
      <c r="E108" s="14">
        <f>IF(ISNUMBER(D108), (D108 - $B108) / $B108, "")</f>
        <v>-7.0947695494562396E-2</v>
      </c>
      <c r="F108" s="16">
        <f>IF(ISNUMBER(D108), $B118 * E108, "")</f>
        <v>-7094.7695494562395</v>
      </c>
      <c r="G108" s="29">
        <v>17790</v>
      </c>
      <c r="H108" s="14">
        <f>IF(ISNUMBER(G108), (G108 - $B108) / $B108, "")</f>
        <v>-7.8715691351631284E-2</v>
      </c>
      <c r="I108" s="100">
        <f>IF(ISNUMBER(G108), $B118 * H108, "")</f>
        <v>-7871.5691351631285</v>
      </c>
      <c r="J108" s="13">
        <v>18670</v>
      </c>
      <c r="K108" s="14">
        <f>IF(ISNUMBER(J108), (J108 - $B108) / $B108, "")</f>
        <v>-3.3143448990160536E-2</v>
      </c>
      <c r="L108" s="16">
        <f>IF(ISNUMBER(J108), $B118 * K108, "")</f>
        <v>-3314.3448990160537</v>
      </c>
      <c r="M108" s="29">
        <v>18350</v>
      </c>
      <c r="N108" s="14">
        <f>IF(ISNUMBER(M108), (M108 - $B108) / $B108, "")</f>
        <v>-4.9715173485240807E-2</v>
      </c>
      <c r="O108" s="16">
        <f>IF(ISNUMBER(M108), $B118 * N108, "")</f>
        <v>-4971.5173485240812</v>
      </c>
      <c r="Q108" s="220"/>
      <c r="R108" s="221"/>
      <c r="S108" s="222"/>
    </row>
    <row r="109" spans="1:19" ht="17.25" thickBot="1">
      <c r="A109" s="125" t="s">
        <v>154</v>
      </c>
      <c r="B109" s="126">
        <v>5770</v>
      </c>
      <c r="C109" s="77">
        <v>8.1537019700000005E-2</v>
      </c>
      <c r="D109" s="15">
        <v>6330</v>
      </c>
      <c r="E109" s="32">
        <f t="shared" ref="E109:E112" si="54">IF(ISNUMBER(D109), (D109 - $B109) / $B109, "")</f>
        <v>9.7053726169844021E-2</v>
      </c>
      <c r="F109" s="18">
        <f>IF(ISNUMBER(D109), $B118 * E109, "")</f>
        <v>9705.3726169844012</v>
      </c>
      <c r="G109" s="31">
        <v>6235</v>
      </c>
      <c r="H109" s="32">
        <f t="shared" ref="H109:H112" si="55">IF(ISNUMBER(G109), (G109 - $B109) / $B109, "")</f>
        <v>8.0589254766031196E-2</v>
      </c>
      <c r="I109" s="101">
        <f>IF(ISNUMBER(G109), $B118 * H109, "")</f>
        <v>8058.9254766031199</v>
      </c>
      <c r="J109" s="15">
        <v>6635</v>
      </c>
      <c r="K109" s="32">
        <f t="shared" ref="K109:K112" si="56">IF(ISNUMBER(J109), (J109 - $B109) / $B109, "")</f>
        <v>0.14991334488734837</v>
      </c>
      <c r="L109" s="18">
        <f>IF(ISNUMBER(J109), $B118 * K109, "")</f>
        <v>14991.334488734836</v>
      </c>
      <c r="M109" s="31">
        <v>6715</v>
      </c>
      <c r="N109" s="32">
        <f t="shared" ref="N109:N112" si="57">IF(ISNUMBER(M109), (M109 - $B109) / $B109, "")</f>
        <v>0.16377816291161179</v>
      </c>
      <c r="O109" s="18">
        <f>IF(ISNUMBER(M109), $B118 * N109, "")</f>
        <v>16377.81629116118</v>
      </c>
      <c r="Q109" s="223"/>
      <c r="R109" s="224"/>
      <c r="S109" s="225"/>
    </row>
    <row r="110" spans="1:19" ht="17.25" thickBot="1">
      <c r="A110" s="125" t="s">
        <v>196</v>
      </c>
      <c r="B110" s="126">
        <v>2255</v>
      </c>
      <c r="C110" s="77">
        <v>7.8947368399999995E-2</v>
      </c>
      <c r="D110" s="15">
        <v>2295</v>
      </c>
      <c r="E110" s="32">
        <f t="shared" si="54"/>
        <v>1.7738359201773836E-2</v>
      </c>
      <c r="F110" s="18">
        <f>IF(ISNUMBER(D110), $B118 * E110, "")</f>
        <v>1773.8359201773835</v>
      </c>
      <c r="G110" s="31">
        <v>2195</v>
      </c>
      <c r="H110" s="32">
        <f t="shared" si="55"/>
        <v>-2.6607538802660754E-2</v>
      </c>
      <c r="I110" s="101">
        <f>IF(ISNUMBER(G110), $B118 * H110, "")</f>
        <v>-2660.7538802660756</v>
      </c>
      <c r="J110" s="15">
        <v>2275</v>
      </c>
      <c r="K110" s="32">
        <f t="shared" si="56"/>
        <v>8.869179600886918E-3</v>
      </c>
      <c r="L110" s="18">
        <f>IF(ISNUMBER(J110), $B118 * K110, "")</f>
        <v>886.91796008869176</v>
      </c>
      <c r="M110" s="31">
        <v>2295</v>
      </c>
      <c r="N110" s="32">
        <f t="shared" si="57"/>
        <v>1.7738359201773836E-2</v>
      </c>
      <c r="O110" s="18">
        <f>IF(ISNUMBER(M110), $B118 * N110, "")</f>
        <v>1773.8359201773835</v>
      </c>
      <c r="Q110" s="216"/>
      <c r="R110" s="216"/>
      <c r="S110" s="216"/>
    </row>
    <row r="111" spans="1:19" ht="17.25" thickBot="1">
      <c r="A111" s="125" t="s">
        <v>120</v>
      </c>
      <c r="B111" s="126">
        <v>2125</v>
      </c>
      <c r="C111" s="77">
        <v>7.3232323200000005E-2</v>
      </c>
      <c r="D111" s="15">
        <v>2235</v>
      </c>
      <c r="E111" s="32">
        <f t="shared" si="54"/>
        <v>5.1764705882352942E-2</v>
      </c>
      <c r="F111" s="18">
        <f>IF(ISNUMBER(D111), $B118 * E111, "")</f>
        <v>5176.4705882352946</v>
      </c>
      <c r="G111" s="31">
        <v>2105</v>
      </c>
      <c r="H111" s="32">
        <f t="shared" si="55"/>
        <v>-9.4117647058823521E-3</v>
      </c>
      <c r="I111" s="101">
        <f>IF(ISNUMBER(G111), $B118 * H111, "")</f>
        <v>-941.17647058823525</v>
      </c>
      <c r="J111" s="15">
        <v>2185</v>
      </c>
      <c r="K111" s="32">
        <f t="shared" si="56"/>
        <v>2.823529411764706E-2</v>
      </c>
      <c r="L111" s="18">
        <f>IF(ISNUMBER(J111), $B118 * K111, "")</f>
        <v>2823.5294117647059</v>
      </c>
      <c r="M111" s="31">
        <v>2225</v>
      </c>
      <c r="N111" s="32">
        <f t="shared" si="57"/>
        <v>4.7058823529411764E-2</v>
      </c>
      <c r="O111" s="18">
        <f>IF(ISNUMBER(M111), $B118 * N111, "")</f>
        <v>4705.8823529411766</v>
      </c>
      <c r="Q111" s="226"/>
      <c r="R111" s="226"/>
      <c r="S111" s="226"/>
    </row>
    <row r="112" spans="1:19" ht="17.25" thickBot="1">
      <c r="A112" s="127" t="s">
        <v>186</v>
      </c>
      <c r="B112" s="128">
        <v>5645</v>
      </c>
      <c r="C112" s="78">
        <v>7.0142180100000007E-2</v>
      </c>
      <c r="D112" s="20">
        <v>6050</v>
      </c>
      <c r="E112" s="21">
        <f t="shared" si="54"/>
        <v>7.1744906997342775E-2</v>
      </c>
      <c r="F112" s="22">
        <f>IF(ISNUMBER(D112), $B118 * E112, "")</f>
        <v>7174.4906997342778</v>
      </c>
      <c r="G112" s="30">
        <v>5775</v>
      </c>
      <c r="H112" s="21">
        <f t="shared" si="55"/>
        <v>2.3029229406554472E-2</v>
      </c>
      <c r="I112" s="105">
        <f>IF(ISNUMBER(G112), $B118 * H112, "")</f>
        <v>2302.9229406554473</v>
      </c>
      <c r="J112" s="20">
        <v>5890</v>
      </c>
      <c r="K112" s="21">
        <f t="shared" si="56"/>
        <v>4.3401240035429584E-2</v>
      </c>
      <c r="L112" s="22">
        <f>IF(ISNUMBER(J112), $B118 * K112, "")</f>
        <v>4340.1240035429582</v>
      </c>
      <c r="M112" s="30">
        <v>5950</v>
      </c>
      <c r="N112" s="21">
        <f t="shared" si="57"/>
        <v>5.4030115146147036E-2</v>
      </c>
      <c r="O112" s="22">
        <f>IF(ISNUMBER(M112), $B118 * N112, "")</f>
        <v>5403.0115146147036</v>
      </c>
      <c r="Q112" s="226"/>
      <c r="R112" s="226"/>
      <c r="S112" s="226"/>
    </row>
    <row r="113" spans="1:19" ht="17.25" thickBot="1">
      <c r="A113" s="125" t="s">
        <v>124</v>
      </c>
      <c r="B113" s="129">
        <v>279</v>
      </c>
      <c r="C113" s="80">
        <v>6.8965517200000007E-2</v>
      </c>
      <c r="D113" s="106">
        <v>273</v>
      </c>
      <c r="E113" s="107">
        <f>IF(ISNUMBER(D113), (D113 - $B113) / $B113, "")</f>
        <v>-2.1505376344086023E-2</v>
      </c>
      <c r="F113" s="108">
        <f>IF(ISNUMBER(D113), $B118 * E113, "")</f>
        <v>-2150.5376344086021</v>
      </c>
      <c r="G113" s="109">
        <v>266</v>
      </c>
      <c r="H113" s="107">
        <f>IF(ISNUMBER(G113), (G113 - $B113) / $B113, "")</f>
        <v>-4.6594982078853049E-2</v>
      </c>
      <c r="I113" s="110">
        <f>IF(ISNUMBER(G113), $B118 * H113, "")</f>
        <v>-4659.4982078853045</v>
      </c>
      <c r="J113" s="106">
        <v>270</v>
      </c>
      <c r="K113" s="107">
        <f>IF(ISNUMBER(J113), (J113 - $B113) / $B113, "")</f>
        <v>-3.2258064516129031E-2</v>
      </c>
      <c r="L113" s="108">
        <f>IF(ISNUMBER(J113), $B118 * K113, "")</f>
        <v>-3225.8064516129029</v>
      </c>
      <c r="M113" s="109">
        <v>268</v>
      </c>
      <c r="N113" s="107">
        <f>IF(ISNUMBER(M113), (M113 - $B113) / $B113, "")</f>
        <v>-3.9426523297491037E-2</v>
      </c>
      <c r="O113" s="108">
        <f>IF(ISNUMBER(M113), $B118 * N113, "")</f>
        <v>-3942.6523297491035</v>
      </c>
      <c r="Q113" s="216"/>
      <c r="R113" s="216"/>
      <c r="S113" s="216"/>
    </row>
    <row r="114" spans="1:19" ht="17.25" thickBot="1">
      <c r="A114" s="125" t="s">
        <v>114</v>
      </c>
      <c r="B114" s="126">
        <v>280</v>
      </c>
      <c r="C114" s="77">
        <v>6.8702290099999994E-2</v>
      </c>
      <c r="D114" s="15">
        <v>303</v>
      </c>
      <c r="E114" s="32">
        <f t="shared" ref="E114:E117" si="58">IF(ISNUMBER(D114), (D114 - $B114) / $B114, "")</f>
        <v>8.2142857142857142E-2</v>
      </c>
      <c r="F114" s="18">
        <f>IF(ISNUMBER(D114), $B118 * E114, "")</f>
        <v>8214.2857142857138</v>
      </c>
      <c r="G114" s="31">
        <v>293</v>
      </c>
      <c r="H114" s="32">
        <f t="shared" ref="H114:H117" si="59">IF(ISNUMBER(G114), (G114 - $B114) / $B114, "")</f>
        <v>4.642857142857143E-2</v>
      </c>
      <c r="I114" s="101">
        <f>IF(ISNUMBER(G114), $B118 * H114, "")</f>
        <v>4642.8571428571431</v>
      </c>
      <c r="J114" s="15">
        <v>295</v>
      </c>
      <c r="K114" s="32">
        <f t="shared" ref="K114:K117" si="60">IF(ISNUMBER(J114), (J114 - $B114) / $B114, "")</f>
        <v>5.3571428571428568E-2</v>
      </c>
      <c r="L114" s="18">
        <f>IF(ISNUMBER(J114), $B118 * K114, "")</f>
        <v>5357.1428571428569</v>
      </c>
      <c r="M114" s="31">
        <v>290</v>
      </c>
      <c r="N114" s="32">
        <f t="shared" ref="N114:N117" si="61">IF(ISNUMBER(M114), (M114 - $B114) / $B114, "")</f>
        <v>3.5714285714285712E-2</v>
      </c>
      <c r="O114" s="18">
        <f>IF(ISNUMBER(M114), $B118 * N114, "")</f>
        <v>3571.4285714285711</v>
      </c>
      <c r="Q114" s="216"/>
      <c r="R114" s="216"/>
      <c r="S114" s="216"/>
    </row>
    <row r="115" spans="1:19" ht="17.25" thickBot="1">
      <c r="A115" s="125" t="s">
        <v>226</v>
      </c>
      <c r="B115" s="126">
        <v>1240</v>
      </c>
      <c r="C115" s="77">
        <v>5.9829059800000001E-2</v>
      </c>
      <c r="D115" s="15">
        <v>1290</v>
      </c>
      <c r="E115" s="32">
        <f t="shared" si="58"/>
        <v>4.0322580645161289E-2</v>
      </c>
      <c r="F115" s="18">
        <f>IF(ISNUMBER(D115), $B118 * E115, "")</f>
        <v>4032.2580645161288</v>
      </c>
      <c r="G115" s="31">
        <v>1210</v>
      </c>
      <c r="H115" s="32">
        <f t="shared" si="59"/>
        <v>-2.4193548387096774E-2</v>
      </c>
      <c r="I115" s="101">
        <f>IF(ISNUMBER(G115), $B118 * H115, "")</f>
        <v>-2419.3548387096776</v>
      </c>
      <c r="J115" s="15">
        <v>1250</v>
      </c>
      <c r="K115" s="32">
        <f t="shared" si="60"/>
        <v>8.0645161290322578E-3</v>
      </c>
      <c r="L115" s="18">
        <f>IF(ISNUMBER(J115), $B118 * K115, "")</f>
        <v>806.45161290322574</v>
      </c>
      <c r="M115" s="31">
        <v>1220</v>
      </c>
      <c r="N115" s="32">
        <f t="shared" si="61"/>
        <v>-1.6129032258064516E-2</v>
      </c>
      <c r="O115" s="18">
        <f>IF(ISNUMBER(M115), $B118 * N115, "")</f>
        <v>-1612.9032258064515</v>
      </c>
      <c r="Q115" s="216"/>
      <c r="R115" s="216"/>
      <c r="S115" s="216"/>
    </row>
    <row r="116" spans="1:19">
      <c r="A116" s="125" t="s">
        <v>142</v>
      </c>
      <c r="B116" s="126">
        <v>7220</v>
      </c>
      <c r="C116" s="77">
        <v>5.9427732900000002E-2</v>
      </c>
      <c r="D116" s="15">
        <v>7015</v>
      </c>
      <c r="E116" s="32">
        <f t="shared" si="58"/>
        <v>-2.8393351800554016E-2</v>
      </c>
      <c r="F116" s="18">
        <f>IF(ISNUMBER(D116), $B118 * E116, "")</f>
        <v>-2839.3351800554015</v>
      </c>
      <c r="G116" s="31">
        <v>6725</v>
      </c>
      <c r="H116" s="32">
        <f t="shared" si="59"/>
        <v>-6.8559556786703599E-2</v>
      </c>
      <c r="I116" s="101">
        <f>IF(ISNUMBER(G116), $B118 * H116, "")</f>
        <v>-6855.9556786703597</v>
      </c>
      <c r="J116" s="15">
        <v>6855</v>
      </c>
      <c r="K116" s="32">
        <f t="shared" si="60"/>
        <v>-5.0554016620498618E-2</v>
      </c>
      <c r="L116" s="18">
        <f>IF(ISNUMBER(J116), $B118 * K116, "")</f>
        <v>-5055.4016620498614</v>
      </c>
      <c r="M116" s="31">
        <v>6885</v>
      </c>
      <c r="N116" s="32">
        <f t="shared" si="61"/>
        <v>-4.6398891966759004E-2</v>
      </c>
      <c r="O116" s="18">
        <f>IF(ISNUMBER(M116), $B118 * N116, "")</f>
        <v>-4639.8891966759002</v>
      </c>
      <c r="Q116" s="205"/>
      <c r="R116" s="206"/>
      <c r="S116" s="207"/>
    </row>
    <row r="117" spans="1:19" ht="17.25" thickBot="1">
      <c r="A117" s="130" t="s">
        <v>253</v>
      </c>
      <c r="B117" s="131">
        <v>690</v>
      </c>
      <c r="C117" s="79">
        <v>5.3435114499999999E-2</v>
      </c>
      <c r="D117" s="24">
        <v>683</v>
      </c>
      <c r="E117" s="25">
        <f t="shared" si="58"/>
        <v>-1.0144927536231883E-2</v>
      </c>
      <c r="F117" s="104">
        <f>IF(ISNUMBER(D117), $B118 * E117, "")</f>
        <v>-1014.4927536231884</v>
      </c>
      <c r="G117" s="102">
        <v>644</v>
      </c>
      <c r="H117" s="25">
        <f t="shared" si="59"/>
        <v>-6.6666666666666666E-2</v>
      </c>
      <c r="I117" s="103">
        <f>IF(ISNUMBER(G117), $B118 * H117, "")</f>
        <v>-6666.666666666667</v>
      </c>
      <c r="J117" s="24">
        <v>668</v>
      </c>
      <c r="K117" s="25">
        <f t="shared" si="60"/>
        <v>-3.1884057971014491E-2</v>
      </c>
      <c r="L117" s="104">
        <f>IF(ISNUMBER(J117), $B118 * K117, "")</f>
        <v>-3188.405797101449</v>
      </c>
      <c r="M117" s="102">
        <v>657</v>
      </c>
      <c r="N117" s="25">
        <f t="shared" si="61"/>
        <v>-4.7826086956521741E-2</v>
      </c>
      <c r="O117" s="104">
        <f>IF(ISNUMBER(M117), $B118 * N117, "")</f>
        <v>-4782.608695652174</v>
      </c>
      <c r="Q117" s="208"/>
      <c r="R117" s="209"/>
      <c r="S117" s="210"/>
    </row>
    <row r="118" spans="1:19" ht="17.25" thickBot="1">
      <c r="A118" s="132" t="s">
        <v>271</v>
      </c>
      <c r="B118" s="269">
        <f>$B$37</f>
        <v>100000</v>
      </c>
      <c r="C118" s="270"/>
      <c r="D118" s="26" t="s">
        <v>272</v>
      </c>
      <c r="E118" s="27">
        <f>IF(COUNT(E98:E117), SUM(E98:E117) / COUNT(E98:E117), 0)</f>
        <v>2.7693497601426108E-2</v>
      </c>
      <c r="F118" s="28">
        <f>SUM(F98:F117)</f>
        <v>55386.995202852202</v>
      </c>
      <c r="G118" s="26" t="s">
        <v>272</v>
      </c>
      <c r="H118" s="27">
        <f>IF(COUNT(H98:H117), SUM(H98:H117) / COUNT(H98:H117), 0)</f>
        <v>-1.1098829903239219E-2</v>
      </c>
      <c r="I118" s="28">
        <f>SUM(I98:I117)</f>
        <v>-22197.659806478427</v>
      </c>
      <c r="J118" s="26" t="s">
        <v>272</v>
      </c>
      <c r="K118" s="27">
        <f>IF(COUNT(K98:K117), SUM(K98:K117) / COUNT(K98:K117), 0)</f>
        <v>1.7389199207540128E-2</v>
      </c>
      <c r="L118" s="28">
        <f>SUM(L98:L117)</f>
        <v>34778.398415080257</v>
      </c>
      <c r="M118" s="26" t="s">
        <v>272</v>
      </c>
      <c r="N118" s="27">
        <f>IF(COUNT(N98:N117), SUM(N98:N117) / COUNT(N98:N117), 0)</f>
        <v>7.480049175997058E-3</v>
      </c>
      <c r="O118" s="28">
        <f>SUM(O98:O117)</f>
        <v>14960.098351994106</v>
      </c>
      <c r="Q118" s="211"/>
      <c r="R118" s="212"/>
      <c r="S118" s="213"/>
    </row>
    <row r="120" spans="1:19" ht="17.25" thickBot="1"/>
    <row r="121" spans="1:19" ht="17.25" thickBot="1">
      <c r="A121" s="227" t="s">
        <v>259</v>
      </c>
      <c r="B121" s="228"/>
      <c r="C121" s="228"/>
      <c r="D121" s="228"/>
      <c r="E121" s="228"/>
      <c r="F121" s="228"/>
      <c r="G121" s="228"/>
      <c r="H121" s="228"/>
      <c r="I121" s="228"/>
      <c r="J121" s="228"/>
      <c r="K121" s="228"/>
      <c r="L121" s="228"/>
      <c r="M121" s="228"/>
      <c r="N121" s="228"/>
      <c r="O121" s="229"/>
      <c r="Q121" s="226"/>
      <c r="R121" s="226"/>
      <c r="S121" s="226"/>
    </row>
    <row r="122" spans="1:19" ht="17.25" thickBot="1">
      <c r="A122" s="157" t="s">
        <v>268</v>
      </c>
      <c r="B122" s="227" t="s">
        <v>49</v>
      </c>
      <c r="C122" s="229"/>
      <c r="D122" s="227" t="s">
        <v>58</v>
      </c>
      <c r="E122" s="228"/>
      <c r="F122" s="229"/>
      <c r="G122" s="230">
        <f>_xlfn.IFNA(VLOOKUP(B122, 현재가테이블!$B$2:$D$200, 2, FALSE), "-")</f>
        <v>39916000</v>
      </c>
      <c r="H122" s="231"/>
      <c r="I122" s="232"/>
      <c r="J122" s="227" t="s">
        <v>59</v>
      </c>
      <c r="K122" s="228"/>
      <c r="L122" s="229"/>
      <c r="M122" s="233">
        <f>_xlfn.IFNA(VLOOKUP(B122, 현재가테이블!$B$2:$D$200, 3, FALSE), "-")</f>
        <v>7.3184273000000003E-3</v>
      </c>
      <c r="N122" s="234"/>
      <c r="O122" s="235"/>
      <c r="Q122" s="226"/>
      <c r="R122" s="226"/>
      <c r="S122" s="226"/>
    </row>
    <row r="123" spans="1:19" ht="17.25" thickBot="1">
      <c r="A123" s="271" t="s">
        <v>55</v>
      </c>
      <c r="B123" s="267" t="str">
        <f>TEXT($G$1, "[$-ko-KR]yyyy-mm-dd(ddd) ") &amp; "오전 00:00"</f>
        <v>2021-07-01(목) 오전 00:00</v>
      </c>
      <c r="C123" s="268"/>
      <c r="D123" s="240" t="str">
        <f>TEXT($G$1, "[$-ko-KR]yyyy-mm-dd(ddd) ") &amp; "오후 14:00"</f>
        <v>2021-07-01(목) 오후 14:00</v>
      </c>
      <c r="E123" s="241"/>
      <c r="F123" s="242"/>
      <c r="G123" s="240" t="str">
        <f>TEXT($G$1, "[$-ko-KR]yyyy-mm-dd(ddd) ") &amp; "오후 19:00"</f>
        <v>2021-07-01(목) 오후 19:00</v>
      </c>
      <c r="H123" s="241"/>
      <c r="I123" s="242"/>
      <c r="J123" s="240" t="str">
        <f>TEXT($G$1, "[$-ko-KR]yyyy-mm-dd(ddd) ") &amp; "오후 21:00"</f>
        <v>2021-07-01(목) 오후 21:00</v>
      </c>
      <c r="K123" s="241"/>
      <c r="L123" s="242"/>
      <c r="M123" s="240" t="str">
        <f>TEXT($G$1+1, "[$-ko-KR]yyyy-mm-dd(ddd) ") &amp; "오전 00:00"</f>
        <v>2021-07-02(금) 오전 00:00</v>
      </c>
      <c r="N123" s="241"/>
      <c r="O123" s="242"/>
      <c r="Q123" s="226"/>
      <c r="R123" s="226"/>
      <c r="S123" s="226"/>
    </row>
    <row r="124" spans="1:19" ht="17.25" thickBot="1">
      <c r="A124" s="27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58" t="s">
        <v>58</v>
      </c>
      <c r="H124" s="159" t="s">
        <v>269</v>
      </c>
      <c r="I124" s="16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6"/>
      <c r="R124" s="216"/>
      <c r="S124" s="216"/>
    </row>
    <row r="125" spans="1:19" ht="17.25" thickBot="1">
      <c r="A125" s="123" t="s">
        <v>130</v>
      </c>
      <c r="B125" s="124">
        <v>70</v>
      </c>
      <c r="C125" s="76">
        <v>-3.8461538500000003E-2</v>
      </c>
      <c r="D125" s="13">
        <v>88.2</v>
      </c>
      <c r="E125" s="14">
        <f>IF(ISNUMBER(D125), (D125 - $B125) / $B125, "")</f>
        <v>0.26000000000000006</v>
      </c>
      <c r="F125" s="16">
        <f>IF(ISNUMBER(D125), $B145 * E125, "")</f>
        <v>26000.000000000007</v>
      </c>
      <c r="G125" s="29">
        <v>80.099999999999994</v>
      </c>
      <c r="H125" s="14">
        <f>IF(ISNUMBER(G125), (G125 - $B125) / $B125, "")</f>
        <v>0.14428571428571421</v>
      </c>
      <c r="I125" s="100">
        <f>IF(ISNUMBER(G125), $B145 * H125, "")</f>
        <v>14428.57142857142</v>
      </c>
      <c r="J125" s="13">
        <v>82.1</v>
      </c>
      <c r="K125" s="14">
        <f>IF(ISNUMBER(J125), (J125 - $B125) / $B125, "")</f>
        <v>0.17285714285714276</v>
      </c>
      <c r="L125" s="16">
        <f>IF(ISNUMBER(J125), $B145 * K125, "")</f>
        <v>17285.714285714275</v>
      </c>
      <c r="M125" s="29">
        <v>82.2</v>
      </c>
      <c r="N125" s="14">
        <f>IF(ISNUMBER(M125), (M125 - $B125) / $B125, "")</f>
        <v>0.17428571428571432</v>
      </c>
      <c r="O125" s="16">
        <f>IF(ISNUMBER(M125), $B145 * N125, "")</f>
        <v>17428.571428571431</v>
      </c>
      <c r="Q125" s="226"/>
      <c r="R125" s="226"/>
      <c r="S125" s="226"/>
    </row>
    <row r="126" spans="1:19" ht="17.25" thickBot="1">
      <c r="A126" s="125" t="s">
        <v>148</v>
      </c>
      <c r="B126" s="126">
        <v>14.6</v>
      </c>
      <c r="C126" s="77">
        <v>-3.9473684199999998E-2</v>
      </c>
      <c r="D126" s="15">
        <v>15.2</v>
      </c>
      <c r="E126" s="32">
        <f t="shared" ref="E126:E129" si="62">IF(ISNUMBER(D126), (D126 - $B126) / $B126, "")</f>
        <v>4.1095890410958881E-2</v>
      </c>
      <c r="F126" s="18">
        <f>IF(ISNUMBER(D126), $B145 * E126, "")</f>
        <v>4109.5890410958882</v>
      </c>
      <c r="G126" s="31">
        <v>14.8</v>
      </c>
      <c r="H126" s="32">
        <f t="shared" ref="H126:H129" si="63">IF(ISNUMBER(G126), (G126 - $B126) / $B126, "")</f>
        <v>1.3698630136986375E-2</v>
      </c>
      <c r="I126" s="101">
        <f>IF(ISNUMBER(G126), $B145 * H126, "")</f>
        <v>1369.8630136986376</v>
      </c>
      <c r="J126" s="15">
        <v>15.1</v>
      </c>
      <c r="K126" s="32">
        <f t="shared" ref="K126:K129" si="64">IF(ISNUMBER(J126), (J126 - $B126) / $B126, "")</f>
        <v>3.4246575342465752E-2</v>
      </c>
      <c r="L126" s="18">
        <f>IF(ISNUMBER(J126), $B145 * K126, "")</f>
        <v>3424.6575342465753</v>
      </c>
      <c r="M126" s="31">
        <v>15</v>
      </c>
      <c r="N126" s="32">
        <f t="shared" ref="N126:N129" si="65">IF(ISNUMBER(M126), (M126 - $B126) / $B126, "")</f>
        <v>2.7397260273972629E-2</v>
      </c>
      <c r="O126" s="18">
        <f>IF(ISNUMBER(M126), $B145 * N126, "")</f>
        <v>2739.7260273972629</v>
      </c>
      <c r="Q126" s="226"/>
      <c r="R126" s="226"/>
      <c r="S126" s="226"/>
    </row>
    <row r="127" spans="1:19" ht="17.25" thickBot="1">
      <c r="A127" s="125" t="s">
        <v>200</v>
      </c>
      <c r="B127" s="126">
        <v>79.400000000000006</v>
      </c>
      <c r="C127" s="77">
        <v>-4.1062801900000001E-2</v>
      </c>
      <c r="D127" s="15">
        <v>89.5</v>
      </c>
      <c r="E127" s="32">
        <f t="shared" si="62"/>
        <v>0.12720403022670018</v>
      </c>
      <c r="F127" s="18">
        <f>IF(ISNUMBER(D127), $B145 * E127, "")</f>
        <v>12720.403022670018</v>
      </c>
      <c r="G127" s="31">
        <v>83.1</v>
      </c>
      <c r="H127" s="32">
        <f t="shared" si="63"/>
        <v>4.6599496221662325E-2</v>
      </c>
      <c r="I127" s="101">
        <f>IF(ISNUMBER(G127), $B145 * H127, "")</f>
        <v>4659.9496221662321</v>
      </c>
      <c r="J127" s="15">
        <v>87.3</v>
      </c>
      <c r="K127" s="32">
        <f t="shared" si="64"/>
        <v>9.9496221662468395E-2</v>
      </c>
      <c r="L127" s="18">
        <f>IF(ISNUMBER(J127), $B145 * K127, "")</f>
        <v>9949.6221662468397</v>
      </c>
      <c r="M127" s="31">
        <v>87.1</v>
      </c>
      <c r="N127" s="32">
        <f t="shared" si="65"/>
        <v>9.6977329974810927E-2</v>
      </c>
      <c r="O127" s="18">
        <f>IF(ISNUMBER(M127), $B145 * N127, "")</f>
        <v>9697.7329974810928</v>
      </c>
      <c r="Q127" s="216"/>
      <c r="R127" s="216"/>
      <c r="S127" s="216"/>
    </row>
    <row r="128" spans="1:19" ht="17.25" thickBot="1">
      <c r="A128" s="125" t="s">
        <v>144</v>
      </c>
      <c r="B128" s="126">
        <v>88</v>
      </c>
      <c r="C128" s="77">
        <v>-4.1394335499999997E-2</v>
      </c>
      <c r="D128" s="15">
        <v>89.2</v>
      </c>
      <c r="E128" s="32">
        <f t="shared" si="62"/>
        <v>1.3636363636363669E-2</v>
      </c>
      <c r="F128" s="18">
        <f>IF(ISNUMBER(D128), $B145 * E128, "")</f>
        <v>1363.6363636363669</v>
      </c>
      <c r="G128" s="31">
        <v>86.2</v>
      </c>
      <c r="H128" s="32">
        <f t="shared" si="63"/>
        <v>-2.0454545454545423E-2</v>
      </c>
      <c r="I128" s="101">
        <f>IF(ISNUMBER(G128), $B145 * H128, "")</f>
        <v>-2045.4545454545423</v>
      </c>
      <c r="J128" s="15">
        <v>86.9</v>
      </c>
      <c r="K128" s="32">
        <f t="shared" si="64"/>
        <v>-1.2499999999999935E-2</v>
      </c>
      <c r="L128" s="18">
        <f>IF(ISNUMBER(J128), $B145 * K128, "")</f>
        <v>-1249.9999999999934</v>
      </c>
      <c r="M128" s="31">
        <v>87.2</v>
      </c>
      <c r="N128" s="32">
        <f t="shared" si="65"/>
        <v>-9.0909090909090592E-3</v>
      </c>
      <c r="O128" s="18">
        <f>IF(ISNUMBER(M128), $B145 * N128, "")</f>
        <v>-909.09090909090594</v>
      </c>
      <c r="Q128" s="216"/>
      <c r="R128" s="216"/>
      <c r="S128" s="216"/>
    </row>
    <row r="129" spans="1:19" ht="17.25" thickBot="1">
      <c r="A129" s="127" t="s">
        <v>178</v>
      </c>
      <c r="B129" s="128">
        <v>12.9</v>
      </c>
      <c r="C129" s="78">
        <v>-4.4444444399999998E-2</v>
      </c>
      <c r="D129" s="20">
        <v>14.2</v>
      </c>
      <c r="E129" s="21">
        <f t="shared" si="62"/>
        <v>0.10077519379844953</v>
      </c>
      <c r="F129" s="22">
        <f>IF(ISNUMBER(D129), $B145 * E129, "")</f>
        <v>10077.519379844953</v>
      </c>
      <c r="G129" s="30">
        <v>13.1</v>
      </c>
      <c r="H129" s="21">
        <f t="shared" si="63"/>
        <v>1.5503875968992192E-2</v>
      </c>
      <c r="I129" s="105">
        <f>IF(ISNUMBER(G129), $B145 * H129, "")</f>
        <v>1550.3875968992193</v>
      </c>
      <c r="J129" s="20">
        <v>13.9</v>
      </c>
      <c r="K129" s="21">
        <f t="shared" si="64"/>
        <v>7.7519379844961239E-2</v>
      </c>
      <c r="L129" s="22">
        <f>IF(ISNUMBER(J129), $B145 * K129, "")</f>
        <v>7751.937984496124</v>
      </c>
      <c r="M129" s="30">
        <v>13.9</v>
      </c>
      <c r="N129" s="21">
        <f t="shared" si="65"/>
        <v>7.7519379844961239E-2</v>
      </c>
      <c r="O129" s="22">
        <f>IF(ISNUMBER(M129), $B145 * N129, "")</f>
        <v>7751.937984496124</v>
      </c>
      <c r="Q129" s="216"/>
      <c r="R129" s="216"/>
      <c r="S129" s="216"/>
    </row>
    <row r="130" spans="1:19" ht="17.25" thickBot="1">
      <c r="A130" s="125" t="s">
        <v>98</v>
      </c>
      <c r="B130" s="129">
        <v>3.06</v>
      </c>
      <c r="C130" s="80">
        <v>-5.2631578900000003E-2</v>
      </c>
      <c r="D130" s="106">
        <v>3.17</v>
      </c>
      <c r="E130" s="107">
        <f>IF(ISNUMBER(D130), (D130 - $B130) / $B130, "")</f>
        <v>3.5947712418300609E-2</v>
      </c>
      <c r="F130" s="108">
        <f>IF(ISNUMBER(D130), $B145 * E130, "")</f>
        <v>3594.7712418300607</v>
      </c>
      <c r="G130" s="109">
        <v>3.06</v>
      </c>
      <c r="H130" s="107">
        <f>IF(ISNUMBER(G130), (G130 - $B130) / $B130, "")</f>
        <v>0</v>
      </c>
      <c r="I130" s="110">
        <f>IF(ISNUMBER(G130), $B145 * H130, "")</f>
        <v>0</v>
      </c>
      <c r="J130" s="106">
        <v>3.1</v>
      </c>
      <c r="K130" s="107">
        <f>IF(ISNUMBER(J130), (J130 - $B130) / $B130, "")</f>
        <v>1.3071895424836612E-2</v>
      </c>
      <c r="L130" s="108">
        <f>IF(ISNUMBER(J130), $B145 * K130, "")</f>
        <v>1307.1895424836612</v>
      </c>
      <c r="M130" s="109">
        <v>3.12</v>
      </c>
      <c r="N130" s="107">
        <f>IF(ISNUMBER(M130), (M130 - $B130) / $B130, "")</f>
        <v>1.9607843137254919E-2</v>
      </c>
      <c r="O130" s="108">
        <f>IF(ISNUMBER(M130), $B145 * N130, "")</f>
        <v>1960.784313725492</v>
      </c>
      <c r="Q130" s="216"/>
      <c r="R130" s="216"/>
      <c r="S130" s="216"/>
    </row>
    <row r="131" spans="1:19" ht="17.25" thickBot="1">
      <c r="A131" s="125" t="s">
        <v>65</v>
      </c>
      <c r="B131" s="126">
        <v>24.1</v>
      </c>
      <c r="C131" s="77">
        <v>-5.4901960800000003E-2</v>
      </c>
      <c r="D131" s="15">
        <v>25.2</v>
      </c>
      <c r="E131" s="32">
        <f t="shared" ref="E131:E134" si="66">IF(ISNUMBER(D131), (D131 - $B131) / $B131, "")</f>
        <v>4.5643153526970862E-2</v>
      </c>
      <c r="F131" s="18">
        <f>IF(ISNUMBER(D131), $B145 * E131, "")</f>
        <v>4564.3153526970864</v>
      </c>
      <c r="G131" s="31">
        <v>24.4</v>
      </c>
      <c r="H131" s="32">
        <f t="shared" ref="H131:H134" si="67">IF(ISNUMBER(G131), (G131 - $B131) / $B131, "")</f>
        <v>1.2448132780082869E-2</v>
      </c>
      <c r="I131" s="101">
        <f>IF(ISNUMBER(G131), $B145 * H131, "")</f>
        <v>1244.8132780082869</v>
      </c>
      <c r="J131" s="15">
        <v>24.6</v>
      </c>
      <c r="K131" s="32">
        <f t="shared" ref="K131:K134" si="68">IF(ISNUMBER(J131), (J131 - $B131) / $B131, "")</f>
        <v>2.0746887966804978E-2</v>
      </c>
      <c r="L131" s="18">
        <f>IF(ISNUMBER(J131), $B145 * K131, "")</f>
        <v>2074.6887966804979</v>
      </c>
      <c r="M131" s="31">
        <v>24.9</v>
      </c>
      <c r="N131" s="32">
        <f t="shared" ref="N131:N134" si="69">IF(ISNUMBER(M131), (M131 - $B131) / $B131, "")</f>
        <v>3.3195020746887849E-2</v>
      </c>
      <c r="O131" s="18">
        <f>IF(ISNUMBER(M131), $B145 * N131, "")</f>
        <v>3319.5020746887849</v>
      </c>
      <c r="Q131" s="216"/>
      <c r="R131" s="216"/>
      <c r="S131" s="216"/>
    </row>
    <row r="132" spans="1:19" ht="17.25" thickBot="1">
      <c r="A132" s="125" t="s">
        <v>128</v>
      </c>
      <c r="B132" s="126">
        <v>99.2</v>
      </c>
      <c r="C132" s="77">
        <v>-5.5238095199999997E-2</v>
      </c>
      <c r="D132" s="15">
        <v>102</v>
      </c>
      <c r="E132" s="32">
        <f t="shared" si="66"/>
        <v>2.8225806451612875E-2</v>
      </c>
      <c r="F132" s="18">
        <f>IF(ISNUMBER(D132), $B145 * E132, "")</f>
        <v>2822.5806451612875</v>
      </c>
      <c r="G132" s="31">
        <v>97.7</v>
      </c>
      <c r="H132" s="32">
        <f t="shared" si="67"/>
        <v>-1.5120967741935483E-2</v>
      </c>
      <c r="I132" s="101">
        <f>IF(ISNUMBER(G132), $B145 * H132, "")</f>
        <v>-1512.0967741935483</v>
      </c>
      <c r="J132" s="15">
        <v>101</v>
      </c>
      <c r="K132" s="32">
        <f t="shared" si="68"/>
        <v>1.8145161290322551E-2</v>
      </c>
      <c r="L132" s="18">
        <f>IF(ISNUMBER(J132), $B145 * K132, "")</f>
        <v>1814.5161290322551</v>
      </c>
      <c r="M132" s="31">
        <v>99.8</v>
      </c>
      <c r="N132" s="32">
        <f t="shared" si="69"/>
        <v>6.0483870967741361E-3</v>
      </c>
      <c r="O132" s="18">
        <f>IF(ISNUMBER(M132), $B145 * N132, "")</f>
        <v>604.83870967741359</v>
      </c>
      <c r="Q132" s="216"/>
      <c r="R132" s="216"/>
      <c r="S132" s="216"/>
    </row>
    <row r="133" spans="1:19" ht="17.25" thickBot="1">
      <c r="A133" s="125" t="s">
        <v>216</v>
      </c>
      <c r="B133" s="126">
        <v>6.6</v>
      </c>
      <c r="C133" s="77">
        <v>-5.9829059800000001E-2</v>
      </c>
      <c r="D133" s="15">
        <v>8.9700000000000006</v>
      </c>
      <c r="E133" s="32">
        <f t="shared" si="66"/>
        <v>0.35909090909090924</v>
      </c>
      <c r="F133" s="18">
        <f>IF(ISNUMBER(D133), $B145 * E133, "")</f>
        <v>35909.090909090926</v>
      </c>
      <c r="G133" s="31">
        <v>7.82</v>
      </c>
      <c r="H133" s="32">
        <f t="shared" si="67"/>
        <v>0.18484848484848496</v>
      </c>
      <c r="I133" s="101">
        <f>IF(ISNUMBER(G133), $B145 * H133, "")</f>
        <v>18484.848484848495</v>
      </c>
      <c r="J133" s="15">
        <v>8.0500000000000007</v>
      </c>
      <c r="K133" s="32">
        <f t="shared" si="68"/>
        <v>0.21969696969696986</v>
      </c>
      <c r="L133" s="18">
        <f>IF(ISNUMBER(J133), $B145 * K133, "")</f>
        <v>21969.696969696986</v>
      </c>
      <c r="M133" s="31">
        <v>7.77</v>
      </c>
      <c r="N133" s="32">
        <f t="shared" si="69"/>
        <v>0.17727272727272728</v>
      </c>
      <c r="O133" s="18">
        <f>IF(ISNUMBER(M133), $B145 * N133, "")</f>
        <v>17727.272727272728</v>
      </c>
      <c r="Q133" s="33"/>
      <c r="R133" s="33"/>
    </row>
    <row r="134" spans="1:19" ht="17.25" thickBot="1">
      <c r="A134" s="130" t="s">
        <v>235</v>
      </c>
      <c r="B134" s="131">
        <v>43.9</v>
      </c>
      <c r="C134" s="79">
        <v>-5.9957173400000001E-2</v>
      </c>
      <c r="D134" s="24">
        <v>50</v>
      </c>
      <c r="E134" s="25">
        <f t="shared" si="66"/>
        <v>0.13895216400911165</v>
      </c>
      <c r="F134" s="104">
        <f>IF(ISNUMBER(D134), $B145 * E134, "")</f>
        <v>13895.216400911164</v>
      </c>
      <c r="G134" s="102">
        <v>47.2</v>
      </c>
      <c r="H134" s="25">
        <f t="shared" si="67"/>
        <v>7.5170842824601472E-2</v>
      </c>
      <c r="I134" s="103">
        <f>IF(ISNUMBER(G134), $B145 * H134, "")</f>
        <v>7517.0842824601468</v>
      </c>
      <c r="J134" s="24">
        <v>49.2</v>
      </c>
      <c r="K134" s="25">
        <f t="shared" si="68"/>
        <v>0.12072892938496593</v>
      </c>
      <c r="L134" s="104">
        <f>IF(ISNUMBER(J134), $B145 * K134, "")</f>
        <v>12072.892938496594</v>
      </c>
      <c r="M134" s="102">
        <v>48.3</v>
      </c>
      <c r="N134" s="25">
        <f t="shared" si="69"/>
        <v>0.10022779043280179</v>
      </c>
      <c r="O134" s="104">
        <f>IF(ISNUMBER(M134), $B145 * N134, "")</f>
        <v>10022.779043280179</v>
      </c>
      <c r="Q134" s="217"/>
      <c r="R134" s="218"/>
      <c r="S134" s="219"/>
    </row>
    <row r="135" spans="1:19">
      <c r="A135" s="123" t="s">
        <v>222</v>
      </c>
      <c r="B135" s="124">
        <v>77.8</v>
      </c>
      <c r="C135" s="76">
        <v>-6.4903846200000004E-2</v>
      </c>
      <c r="D135" s="13">
        <v>87.1</v>
      </c>
      <c r="E135" s="14">
        <f>IF(ISNUMBER(D135), (D135 - $B135) / $B135, "")</f>
        <v>0.11953727506426733</v>
      </c>
      <c r="F135" s="16">
        <f>IF(ISNUMBER(D135), $B145 * E135, "")</f>
        <v>11953.727506426732</v>
      </c>
      <c r="G135" s="29">
        <v>80</v>
      </c>
      <c r="H135" s="14">
        <f>IF(ISNUMBER(G135), (G135 - $B135) / $B135, "")</f>
        <v>2.8277634961439625E-2</v>
      </c>
      <c r="I135" s="100">
        <f>IF(ISNUMBER(G135), $B145 * H135, "")</f>
        <v>2827.7634961439626</v>
      </c>
      <c r="J135" s="13">
        <v>81.2</v>
      </c>
      <c r="K135" s="14">
        <f>IF(ISNUMBER(J135), (J135 - $B135) / $B135, "")</f>
        <v>4.370179948586126E-2</v>
      </c>
      <c r="L135" s="16">
        <f>IF(ISNUMBER(J135), $B145 * K135, "")</f>
        <v>4370.1799485861256</v>
      </c>
      <c r="M135" s="29">
        <v>82.3</v>
      </c>
      <c r="N135" s="14">
        <f>IF(ISNUMBER(M135), (M135 - $B135) / $B135, "")</f>
        <v>5.7840616966580979E-2</v>
      </c>
      <c r="O135" s="16">
        <f>IF(ISNUMBER(M135), $B145 * N135, "")</f>
        <v>5784.0616966580983</v>
      </c>
      <c r="Q135" s="220"/>
      <c r="R135" s="221"/>
      <c r="S135" s="222"/>
    </row>
    <row r="136" spans="1:19" ht="17.25" thickBot="1">
      <c r="A136" s="125" t="s">
        <v>241</v>
      </c>
      <c r="B136" s="126">
        <v>45.6</v>
      </c>
      <c r="C136" s="77">
        <v>-6.9387755100000004E-2</v>
      </c>
      <c r="D136" s="15">
        <v>52.7</v>
      </c>
      <c r="E136" s="32">
        <f t="shared" ref="E136:E139" si="70">IF(ISNUMBER(D136), (D136 - $B136) / $B136, "")</f>
        <v>0.15570175438596495</v>
      </c>
      <c r="F136" s="18">
        <f>IF(ISNUMBER(D136), $B145 * E136, "")</f>
        <v>15570.175438596496</v>
      </c>
      <c r="G136" s="31">
        <v>48.4</v>
      </c>
      <c r="H136" s="32">
        <f t="shared" ref="H136:H139" si="71">IF(ISNUMBER(G136), (G136 - $B136) / $B136, "")</f>
        <v>6.1403508771929759E-2</v>
      </c>
      <c r="I136" s="101">
        <f>IF(ISNUMBER(G136), $B145 * H136, "")</f>
        <v>6140.3508771929755</v>
      </c>
      <c r="J136" s="15">
        <v>50.4</v>
      </c>
      <c r="K136" s="32">
        <f t="shared" ref="K136:K139" si="72">IF(ISNUMBER(J136), (J136 - $B136) / $B136, "")</f>
        <v>0.10526315789473678</v>
      </c>
      <c r="L136" s="18">
        <f>IF(ISNUMBER(J136), $B145 * K136, "")</f>
        <v>10526.315789473678</v>
      </c>
      <c r="M136" s="31">
        <v>50.6</v>
      </c>
      <c r="N136" s="32">
        <f t="shared" ref="N136:N139" si="73">IF(ISNUMBER(M136), (M136 - $B136) / $B136, "")</f>
        <v>0.10964912280701754</v>
      </c>
      <c r="O136" s="18">
        <f>IF(ISNUMBER(M136), $B145 * N136, "")</f>
        <v>10964.912280701754</v>
      </c>
      <c r="Q136" s="223"/>
      <c r="R136" s="224"/>
      <c r="S136" s="225"/>
    </row>
    <row r="137" spans="1:19" ht="17.25" thickBot="1">
      <c r="A137" s="125" t="s">
        <v>190</v>
      </c>
      <c r="B137" s="126">
        <v>13.1</v>
      </c>
      <c r="C137" s="77">
        <v>-7.7464788699999995E-2</v>
      </c>
      <c r="D137" s="15">
        <v>14.2</v>
      </c>
      <c r="E137" s="32">
        <f t="shared" si="70"/>
        <v>8.3969465648854935E-2</v>
      </c>
      <c r="F137" s="18">
        <f>IF(ISNUMBER(D137), $B145 * E137, "")</f>
        <v>8396.946564885493</v>
      </c>
      <c r="G137" s="31">
        <v>13.3</v>
      </c>
      <c r="H137" s="32">
        <f t="shared" si="71"/>
        <v>1.5267175572519165E-2</v>
      </c>
      <c r="I137" s="101">
        <f>IF(ISNUMBER(G137), $B145 * H137, "")</f>
        <v>1526.7175572519166</v>
      </c>
      <c r="J137" s="15">
        <v>13.8</v>
      </c>
      <c r="K137" s="32">
        <f t="shared" si="72"/>
        <v>5.3435114503816876E-2</v>
      </c>
      <c r="L137" s="18">
        <f>IF(ISNUMBER(J137), $B145 * K137, "")</f>
        <v>5343.5114503816876</v>
      </c>
      <c r="M137" s="31">
        <v>13.6</v>
      </c>
      <c r="N137" s="32">
        <f t="shared" si="73"/>
        <v>3.8167938931297711E-2</v>
      </c>
      <c r="O137" s="18">
        <f>IF(ISNUMBER(M137), $B145 * N137, "")</f>
        <v>3816.7938931297713</v>
      </c>
      <c r="Q137" s="216"/>
      <c r="R137" s="216"/>
      <c r="S137" s="216"/>
    </row>
    <row r="138" spans="1:19" ht="17.25" thickBot="1">
      <c r="A138" s="125" t="s">
        <v>166</v>
      </c>
      <c r="B138" s="126">
        <v>97.5</v>
      </c>
      <c r="C138" s="77">
        <v>-8.0188679200000001E-2</v>
      </c>
      <c r="D138" s="15">
        <v>111</v>
      </c>
      <c r="E138" s="32">
        <f t="shared" si="70"/>
        <v>0.13846153846153847</v>
      </c>
      <c r="F138" s="18">
        <f>IF(ISNUMBER(D138), $B145 * E138, "")</f>
        <v>13846.153846153848</v>
      </c>
      <c r="G138" s="31">
        <v>103</v>
      </c>
      <c r="H138" s="32">
        <f t="shared" si="71"/>
        <v>5.6410256410256411E-2</v>
      </c>
      <c r="I138" s="101">
        <f>IF(ISNUMBER(G138), $B145 * H138, "")</f>
        <v>5641.0256410256407</v>
      </c>
      <c r="J138" s="15">
        <v>105</v>
      </c>
      <c r="K138" s="32">
        <f t="shared" si="72"/>
        <v>7.6923076923076927E-2</v>
      </c>
      <c r="L138" s="18">
        <f>IF(ISNUMBER(J138), $B145 * K138, "")</f>
        <v>7692.3076923076924</v>
      </c>
      <c r="M138" s="31">
        <v>108</v>
      </c>
      <c r="N138" s="32">
        <f t="shared" si="73"/>
        <v>0.1076923076923077</v>
      </c>
      <c r="O138" s="18">
        <f>IF(ISNUMBER(M138), $B145 * N138, "")</f>
        <v>10769.23076923077</v>
      </c>
      <c r="Q138" s="226"/>
      <c r="R138" s="226"/>
      <c r="S138" s="226"/>
    </row>
    <row r="139" spans="1:19" ht="17.25" thickBot="1">
      <c r="A139" s="127" t="s">
        <v>150</v>
      </c>
      <c r="B139" s="128">
        <v>7.53</v>
      </c>
      <c r="C139" s="78">
        <v>-8.1707317099999996E-2</v>
      </c>
      <c r="D139" s="20">
        <v>8.81</v>
      </c>
      <c r="E139" s="21">
        <f t="shared" si="70"/>
        <v>0.16998671978751662</v>
      </c>
      <c r="F139" s="22">
        <f>IF(ISNUMBER(D139), $B145 * E139, "")</f>
        <v>16998.671978751663</v>
      </c>
      <c r="G139" s="30">
        <v>7.82</v>
      </c>
      <c r="H139" s="21">
        <f t="shared" si="71"/>
        <v>3.851261620185923E-2</v>
      </c>
      <c r="I139" s="105">
        <f>IF(ISNUMBER(G139), $B145 * H139, "")</f>
        <v>3851.2616201859232</v>
      </c>
      <c r="J139" s="20">
        <v>8.23</v>
      </c>
      <c r="K139" s="21">
        <f t="shared" si="72"/>
        <v>9.2961487383798155E-2</v>
      </c>
      <c r="L139" s="22">
        <f>IF(ISNUMBER(J139), $B145 * K139, "")</f>
        <v>9296.1487383798158</v>
      </c>
      <c r="M139" s="30">
        <v>8.1300000000000008</v>
      </c>
      <c r="N139" s="21">
        <f t="shared" si="73"/>
        <v>7.9681274900398474E-2</v>
      </c>
      <c r="O139" s="22">
        <f>IF(ISNUMBER(M139), $B145 * N139, "")</f>
        <v>7968.1274900398475</v>
      </c>
      <c r="Q139" s="226"/>
      <c r="R139" s="226"/>
      <c r="S139" s="226"/>
    </row>
    <row r="140" spans="1:19" ht="17.25" thickBot="1">
      <c r="A140" s="125" t="s">
        <v>218</v>
      </c>
      <c r="B140" s="129">
        <v>78.3</v>
      </c>
      <c r="C140" s="80">
        <v>-8.9534883699999998E-2</v>
      </c>
      <c r="D140" s="106">
        <v>88</v>
      </c>
      <c r="E140" s="107">
        <f>IF(ISNUMBER(D140), (D140 - $B140) / $B140, "")</f>
        <v>0.12388250319284806</v>
      </c>
      <c r="F140" s="108">
        <f>IF(ISNUMBER(D140), $B145 * E140, "")</f>
        <v>12388.250319284805</v>
      </c>
      <c r="G140" s="109">
        <v>83.5</v>
      </c>
      <c r="H140" s="107">
        <f>IF(ISNUMBER(G140), (G140 - $B140) / $B140, "")</f>
        <v>6.6411238825031971E-2</v>
      </c>
      <c r="I140" s="110">
        <f>IF(ISNUMBER(G140), $B145 * H140, "")</f>
        <v>6641.1238825031969</v>
      </c>
      <c r="J140" s="106">
        <v>85.5</v>
      </c>
      <c r="K140" s="107">
        <f>IF(ISNUMBER(J140), (J140 - $B140) / $B140, "")</f>
        <v>9.1954022988505787E-2</v>
      </c>
      <c r="L140" s="108">
        <f>IF(ISNUMBER(J140), $B145 * K140, "")</f>
        <v>9195.4022988505785</v>
      </c>
      <c r="M140" s="109">
        <v>85.5</v>
      </c>
      <c r="N140" s="107">
        <f>IF(ISNUMBER(M140), (M140 - $B140) / $B140, "")</f>
        <v>9.1954022988505787E-2</v>
      </c>
      <c r="O140" s="108">
        <f>IF(ISNUMBER(M140), $B145 * N140, "")</f>
        <v>9195.4022988505785</v>
      </c>
      <c r="Q140" s="216"/>
      <c r="R140" s="216"/>
      <c r="S140" s="216"/>
    </row>
    <row r="141" spans="1:19" ht="17.25" thickBot="1">
      <c r="A141" s="125" t="s">
        <v>204</v>
      </c>
      <c r="B141" s="126">
        <v>8.58</v>
      </c>
      <c r="C141" s="77">
        <v>-9.2063492100000005E-2</v>
      </c>
      <c r="D141" s="15">
        <v>9.65</v>
      </c>
      <c r="E141" s="32">
        <f t="shared" ref="E141:E144" si="74">IF(ISNUMBER(D141), (D141 - $B141) / $B141, "")</f>
        <v>0.12470862470862475</v>
      </c>
      <c r="F141" s="18">
        <f>IF(ISNUMBER(D141), $B145 * E141, "")</f>
        <v>12470.862470862474</v>
      </c>
      <c r="G141" s="31">
        <v>8.66</v>
      </c>
      <c r="H141" s="32">
        <f t="shared" ref="H141:H144" si="75">IF(ISNUMBER(G141), (G141 - $B141) / $B141, "")</f>
        <v>9.3240093240093327E-3</v>
      </c>
      <c r="I141" s="101">
        <f>IF(ISNUMBER(G141), $B145 * H141, "")</f>
        <v>932.40093240093324</v>
      </c>
      <c r="J141" s="15">
        <v>9.19</v>
      </c>
      <c r="K141" s="32">
        <f t="shared" ref="K141:K144" si="76">IF(ISNUMBER(J141), (J141 - $B141) / $B141, "")</f>
        <v>7.1095571095571033E-2</v>
      </c>
      <c r="L141" s="18">
        <f>IF(ISNUMBER(J141), $B145 * K141, "")</f>
        <v>7109.5571095571031</v>
      </c>
      <c r="M141" s="31">
        <v>9.2799999999999994</v>
      </c>
      <c r="N141" s="32">
        <f t="shared" ref="N141:N144" si="77">IF(ISNUMBER(M141), (M141 - $B141) / $B141, "")</f>
        <v>8.1585081585081501E-2</v>
      </c>
      <c r="O141" s="18">
        <f>IF(ISNUMBER(M141), $B145 * N141, "")</f>
        <v>8158.5081585081498</v>
      </c>
      <c r="Q141" s="216"/>
      <c r="R141" s="216"/>
      <c r="S141" s="216"/>
    </row>
    <row r="142" spans="1:19" ht="17.25" thickBot="1">
      <c r="A142" s="125" t="s">
        <v>110</v>
      </c>
      <c r="B142" s="126">
        <v>95.2</v>
      </c>
      <c r="C142" s="77">
        <v>-9.3333333300000001E-2</v>
      </c>
      <c r="D142" s="15">
        <v>108</v>
      </c>
      <c r="E142" s="32">
        <f t="shared" si="74"/>
        <v>0.13445378151260501</v>
      </c>
      <c r="F142" s="18">
        <f>IF(ISNUMBER(D142), $B145 * E142, "")</f>
        <v>13445.3781512605</v>
      </c>
      <c r="G142" s="31">
        <v>105</v>
      </c>
      <c r="H142" s="32">
        <f t="shared" si="75"/>
        <v>0.1029411764705882</v>
      </c>
      <c r="I142" s="101">
        <f>IF(ISNUMBER(G142), $B145 * H142, "")</f>
        <v>10294.11764705882</v>
      </c>
      <c r="J142" s="15">
        <v>106</v>
      </c>
      <c r="K142" s="32">
        <f t="shared" si="76"/>
        <v>0.11344537815126048</v>
      </c>
      <c r="L142" s="18">
        <f>IF(ISNUMBER(J142), $B145 * K142, "")</f>
        <v>11344.537815126048</v>
      </c>
      <c r="M142" s="31">
        <v>108</v>
      </c>
      <c r="N142" s="32">
        <f t="shared" si="77"/>
        <v>0.13445378151260501</v>
      </c>
      <c r="O142" s="18">
        <f>IF(ISNUMBER(M142), $B145 * N142, "")</f>
        <v>13445.3781512605</v>
      </c>
      <c r="Q142" s="216"/>
      <c r="R142" s="216"/>
      <c r="S142" s="216"/>
    </row>
    <row r="143" spans="1:19">
      <c r="A143" s="125" t="s">
        <v>202</v>
      </c>
      <c r="B143" s="126">
        <v>53.8</v>
      </c>
      <c r="C143" s="77">
        <v>-0.101836394</v>
      </c>
      <c r="D143" s="15">
        <v>58.9</v>
      </c>
      <c r="E143" s="32">
        <f t="shared" si="74"/>
        <v>9.4795539033457277E-2</v>
      </c>
      <c r="F143" s="18">
        <f>IF(ISNUMBER(D143), $B145 * E143, "")</f>
        <v>9479.553903345728</v>
      </c>
      <c r="G143" s="31">
        <v>54.9</v>
      </c>
      <c r="H143" s="32">
        <f t="shared" si="75"/>
        <v>2.0446096654275121E-2</v>
      </c>
      <c r="I143" s="101">
        <f>IF(ISNUMBER(G143), $B145 * H143, "")</f>
        <v>2044.609665427512</v>
      </c>
      <c r="J143" s="15">
        <v>56.7</v>
      </c>
      <c r="K143" s="32">
        <f t="shared" si="76"/>
        <v>5.3903345724907174E-2</v>
      </c>
      <c r="L143" s="18">
        <f>IF(ISNUMBER(J143), $B145 * K143, "")</f>
        <v>5390.3345724907176</v>
      </c>
      <c r="M143" s="31">
        <v>56.2</v>
      </c>
      <c r="N143" s="32">
        <f t="shared" si="77"/>
        <v>4.4609665427509403E-2</v>
      </c>
      <c r="O143" s="18">
        <f>IF(ISNUMBER(M143), $B145 * N143, "")</f>
        <v>4460.9665427509399</v>
      </c>
      <c r="Q143" s="205"/>
      <c r="R143" s="206"/>
      <c r="S143" s="207"/>
    </row>
    <row r="144" spans="1:19" ht="17.25" thickBot="1">
      <c r="A144" s="130" t="s">
        <v>162</v>
      </c>
      <c r="B144" s="131">
        <v>86</v>
      </c>
      <c r="C144" s="79">
        <v>-0.24561403509999999</v>
      </c>
      <c r="D144" s="24">
        <v>83.8</v>
      </c>
      <c r="E144" s="25">
        <f t="shared" si="74"/>
        <v>-2.5581395348837244E-2</v>
      </c>
      <c r="F144" s="104">
        <f>IF(ISNUMBER(D144), $B145 * E144, "")</f>
        <v>-2558.1395348837245</v>
      </c>
      <c r="G144" s="102">
        <v>79.5</v>
      </c>
      <c r="H144" s="25">
        <f t="shared" si="75"/>
        <v>-7.5581395348837205E-2</v>
      </c>
      <c r="I144" s="103">
        <f>IF(ISNUMBER(G144), $B145 * H144, "")</f>
        <v>-7558.1395348837204</v>
      </c>
      <c r="J144" s="24">
        <v>82</v>
      </c>
      <c r="K144" s="25">
        <f t="shared" si="76"/>
        <v>-4.6511627906976744E-2</v>
      </c>
      <c r="L144" s="104">
        <f>IF(ISNUMBER(J144), $B145 * K144, "")</f>
        <v>-4651.1627906976746</v>
      </c>
      <c r="M144" s="102">
        <v>82.1</v>
      </c>
      <c r="N144" s="25">
        <f t="shared" si="77"/>
        <v>-4.5348837209302391E-2</v>
      </c>
      <c r="O144" s="104">
        <f>IF(ISNUMBER(M144), $B145 * N144, "")</f>
        <v>-4534.8837209302392</v>
      </c>
      <c r="Q144" s="208"/>
      <c r="R144" s="209"/>
      <c r="S144" s="210"/>
    </row>
    <row r="145" spans="1:19" ht="17.25" thickBot="1">
      <c r="A145" s="132" t="s">
        <v>271</v>
      </c>
      <c r="B145" s="269">
        <f>$B$37</f>
        <v>100000</v>
      </c>
      <c r="C145" s="270"/>
      <c r="D145" s="26" t="s">
        <v>272</v>
      </c>
      <c r="E145" s="27">
        <f>IF(COUNT(E125:E144), SUM(E125:E144) / COUNT(E125:E144), 0)</f>
        <v>0.1135243515008109</v>
      </c>
      <c r="F145" s="28">
        <f>SUM(F125:F144)</f>
        <v>227048.70300162176</v>
      </c>
      <c r="G145" s="26" t="s">
        <v>272</v>
      </c>
      <c r="H145" s="27">
        <f>IF(COUNT(H125:H144), SUM(H125:H144) / COUNT(H125:H144), 0)</f>
        <v>3.9019599085655755E-2</v>
      </c>
      <c r="I145" s="28">
        <f>SUM(I125:I144)</f>
        <v>78039.198171311524</v>
      </c>
      <c r="J145" s="26" t="s">
        <v>272</v>
      </c>
      <c r="K145" s="27">
        <f>IF(COUNT(K125:K144), SUM(K125:K144) / COUNT(K125:K144), 0)</f>
        <v>7.1009024485774799E-2</v>
      </c>
      <c r="L145" s="28">
        <f>SUM(L125:L144)</f>
        <v>142018.04897154958</v>
      </c>
      <c r="M145" s="26" t="s">
        <v>272</v>
      </c>
      <c r="N145" s="27">
        <f>IF(COUNT(N125:N144), SUM(N125:N144) / COUNT(N125:N144), 0)</f>
        <v>7.0186275978849896E-2</v>
      </c>
      <c r="O145" s="28">
        <f>SUM(O125:O144)</f>
        <v>140372.55195769979</v>
      </c>
      <c r="Q145" s="211"/>
      <c r="R145" s="212"/>
      <c r="S145" s="213"/>
    </row>
    <row r="147" spans="1:19" ht="17.25" thickBot="1"/>
    <row r="148" spans="1:19" ht="17.25" thickBot="1">
      <c r="A148" s="227" t="s">
        <v>260</v>
      </c>
      <c r="B148" s="228"/>
      <c r="C148" s="228"/>
      <c r="D148" s="228"/>
      <c r="E148" s="228"/>
      <c r="F148" s="228"/>
      <c r="G148" s="228"/>
      <c r="H148" s="228"/>
      <c r="I148" s="228"/>
      <c r="J148" s="228"/>
      <c r="K148" s="228"/>
      <c r="L148" s="228"/>
      <c r="M148" s="228"/>
      <c r="N148" s="228"/>
      <c r="O148" s="229"/>
      <c r="Q148" s="226"/>
      <c r="R148" s="226"/>
      <c r="S148" s="226"/>
    </row>
    <row r="149" spans="1:19" ht="17.25" thickBot="1">
      <c r="A149" s="157" t="s">
        <v>268</v>
      </c>
      <c r="B149" s="227" t="s">
        <v>49</v>
      </c>
      <c r="C149" s="229"/>
      <c r="D149" s="227" t="s">
        <v>58</v>
      </c>
      <c r="E149" s="228"/>
      <c r="F149" s="229"/>
      <c r="G149" s="230">
        <f>_xlfn.IFNA(VLOOKUP(B149, 현재가테이블!$B$2:$D$200, 2, FALSE), "-")</f>
        <v>39916000</v>
      </c>
      <c r="H149" s="231"/>
      <c r="I149" s="232"/>
      <c r="J149" s="227" t="s">
        <v>59</v>
      </c>
      <c r="K149" s="228"/>
      <c r="L149" s="229"/>
      <c r="M149" s="233">
        <f>_xlfn.IFNA(VLOOKUP(B149, 현재가테이블!$B$2:$D$200, 3, FALSE), "-")</f>
        <v>7.3184273000000003E-3</v>
      </c>
      <c r="N149" s="234"/>
      <c r="O149" s="235"/>
      <c r="Q149" s="226"/>
      <c r="R149" s="226"/>
      <c r="S149" s="226"/>
    </row>
    <row r="150" spans="1:19" ht="17.25" thickBot="1">
      <c r="A150" s="271" t="s">
        <v>55</v>
      </c>
      <c r="B150" s="267" t="str">
        <f>TEXT($G$1, "[$-ko-KR]yyyy-mm-dd(ddd) ") &amp; "오전 00:00"</f>
        <v>2021-07-01(목) 오전 00:00</v>
      </c>
      <c r="C150" s="268"/>
      <c r="D150" s="240" t="str">
        <f>TEXT($G$1, "[$-ko-KR]yyyy-mm-dd(ddd) ") &amp; "오후 14:00"</f>
        <v>2021-07-01(목) 오후 14:00</v>
      </c>
      <c r="E150" s="241"/>
      <c r="F150" s="242"/>
      <c r="G150" s="240" t="str">
        <f>TEXT($G$1, "[$-ko-KR]yyyy-mm-dd(ddd) ") &amp; "오후 19:00"</f>
        <v>2021-07-01(목) 오후 19:00</v>
      </c>
      <c r="H150" s="241"/>
      <c r="I150" s="242"/>
      <c r="J150" s="240" t="str">
        <f>TEXT($G$1, "[$-ko-KR]yyyy-mm-dd(ddd) ") &amp; "오후 21:00"</f>
        <v>2021-07-01(목) 오후 21:00</v>
      </c>
      <c r="K150" s="241"/>
      <c r="L150" s="242"/>
      <c r="M150" s="240" t="str">
        <f>TEXT($G$1+1, "[$-ko-KR]yyyy-mm-dd(ddd) ") &amp; "오전 00:00"</f>
        <v>2021-07-02(금) 오전 00:00</v>
      </c>
      <c r="N150" s="241"/>
      <c r="O150" s="242"/>
      <c r="Q150" s="226"/>
      <c r="R150" s="226"/>
      <c r="S150" s="226"/>
    </row>
    <row r="151" spans="1:19" ht="17.25" thickBot="1">
      <c r="A151" s="27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58" t="s">
        <v>58</v>
      </c>
      <c r="H151" s="159" t="s">
        <v>269</v>
      </c>
      <c r="I151" s="16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6"/>
      <c r="R151" s="216"/>
      <c r="S151" s="216"/>
    </row>
    <row r="152" spans="1:19" ht="17.25" thickBot="1">
      <c r="A152" s="123" t="s">
        <v>168</v>
      </c>
      <c r="B152" s="124">
        <v>888</v>
      </c>
      <c r="C152" s="76">
        <v>1.48571429E-2</v>
      </c>
      <c r="D152" s="13">
        <v>900</v>
      </c>
      <c r="E152" s="14">
        <f>IF(ISNUMBER(D152), (D152 - $B152) / $B152, "")</f>
        <v>1.3513513513513514E-2</v>
      </c>
      <c r="F152" s="16">
        <f>IF(ISNUMBER(D152), $B172 * E152, "")</f>
        <v>1351.3513513513515</v>
      </c>
      <c r="G152" s="29">
        <v>863</v>
      </c>
      <c r="H152" s="14">
        <f>IF(ISNUMBER(G152), (G152 - $B152) / $B152, "")</f>
        <v>-2.8153153153153154E-2</v>
      </c>
      <c r="I152" s="100">
        <f>IF(ISNUMBER(G152), $B172 * H152, "")</f>
        <v>-2815.3153153153153</v>
      </c>
      <c r="J152" s="13">
        <v>874</v>
      </c>
      <c r="K152" s="14">
        <f>IF(ISNUMBER(J152), (J152 - $B152) / $B152, "")</f>
        <v>-1.5765765765765764E-2</v>
      </c>
      <c r="L152" s="16">
        <f>IF(ISNUMBER(J152), $B172 * K152, "")</f>
        <v>-1576.5765765765764</v>
      </c>
      <c r="M152" s="29">
        <v>889</v>
      </c>
      <c r="N152" s="14">
        <f>IF(ISNUMBER(M152), (M152 - $B152) / $B152, "")</f>
        <v>1.1261261261261261E-3</v>
      </c>
      <c r="O152" s="16">
        <f>IF(ISNUMBER(M152), $B172 * N152, "")</f>
        <v>112.61261261261261</v>
      </c>
      <c r="Q152" s="226"/>
      <c r="R152" s="226"/>
      <c r="S152" s="226"/>
    </row>
    <row r="153" spans="1:19" ht="17.25" thickBot="1">
      <c r="A153" s="125" t="s">
        <v>102</v>
      </c>
      <c r="B153" s="126">
        <v>838</v>
      </c>
      <c r="C153" s="77">
        <v>8.4235860000000003E-3</v>
      </c>
      <c r="D153" s="15">
        <v>841</v>
      </c>
      <c r="E153" s="32">
        <f t="shared" ref="E153:E156" si="78">IF(ISNUMBER(D153), (D153 - $B153) / $B153, "")</f>
        <v>3.5799522673031028E-3</v>
      </c>
      <c r="F153" s="18">
        <f>IF(ISNUMBER(D153), $B172 * E153, "")</f>
        <v>357.99522673031026</v>
      </c>
      <c r="G153" s="31">
        <v>808</v>
      </c>
      <c r="H153" s="32">
        <f t="shared" ref="H153:H156" si="79">IF(ISNUMBER(G153), (G153 - $B153) / $B153, "")</f>
        <v>-3.5799522673031027E-2</v>
      </c>
      <c r="I153" s="101">
        <f>IF(ISNUMBER(G153), $B172 * H153, "")</f>
        <v>-3579.9522673031029</v>
      </c>
      <c r="J153" s="15">
        <v>817</v>
      </c>
      <c r="K153" s="32">
        <f t="shared" ref="K153:K156" si="80">IF(ISNUMBER(J153), (J153 - $B153) / $B153, "")</f>
        <v>-2.5059665871121718E-2</v>
      </c>
      <c r="L153" s="18">
        <f>IF(ISNUMBER(J153), $B172 * K153, "")</f>
        <v>-2505.966587112172</v>
      </c>
      <c r="M153" s="31">
        <v>823</v>
      </c>
      <c r="N153" s="32">
        <f t="shared" ref="N153:N156" si="81">IF(ISNUMBER(M153), (M153 - $B153) / $B153, "")</f>
        <v>-1.7899761336515514E-2</v>
      </c>
      <c r="O153" s="18">
        <f>IF(ISNUMBER(M153), $B172 * N153, "")</f>
        <v>-1789.9761336515514</v>
      </c>
      <c r="Q153" s="226"/>
      <c r="R153" s="226"/>
      <c r="S153" s="226"/>
    </row>
    <row r="154" spans="1:19" ht="17.25" thickBot="1">
      <c r="A154" s="125" t="s">
        <v>243</v>
      </c>
      <c r="B154" s="126">
        <v>326</v>
      </c>
      <c r="C154" s="77">
        <v>-6.0975609999999996E-3</v>
      </c>
      <c r="D154" s="15">
        <v>356</v>
      </c>
      <c r="E154" s="32">
        <f t="shared" si="78"/>
        <v>9.202453987730061E-2</v>
      </c>
      <c r="F154" s="18">
        <f>IF(ISNUMBER(D154), $B172 * E154, "")</f>
        <v>9202.4539877300613</v>
      </c>
      <c r="G154" s="31">
        <v>356</v>
      </c>
      <c r="H154" s="32">
        <f t="shared" si="79"/>
        <v>9.202453987730061E-2</v>
      </c>
      <c r="I154" s="101">
        <f>IF(ISNUMBER(G154), $B172 * H154, "")</f>
        <v>9202.4539877300613</v>
      </c>
      <c r="J154" s="15">
        <v>367</v>
      </c>
      <c r="K154" s="32">
        <f t="shared" si="80"/>
        <v>0.12576687116564417</v>
      </c>
      <c r="L154" s="18">
        <f>IF(ISNUMBER(J154), $B172 * K154, "")</f>
        <v>12576.687116564417</v>
      </c>
      <c r="M154" s="31">
        <v>359</v>
      </c>
      <c r="N154" s="32">
        <f t="shared" si="81"/>
        <v>0.10122699386503067</v>
      </c>
      <c r="O154" s="18">
        <f>IF(ISNUMBER(M154), $B172 * N154, "")</f>
        <v>10122.699386503067</v>
      </c>
      <c r="Q154" s="216"/>
      <c r="R154" s="216"/>
      <c r="S154" s="216"/>
    </row>
    <row r="155" spans="1:19" ht="17.25" thickBot="1">
      <c r="A155" s="125" t="s">
        <v>54</v>
      </c>
      <c r="B155" s="126">
        <v>219</v>
      </c>
      <c r="C155" s="77">
        <v>-9.0497738000000008E-3</v>
      </c>
      <c r="D155" s="15">
        <v>218</v>
      </c>
      <c r="E155" s="32">
        <f t="shared" si="78"/>
        <v>-4.5662100456621002E-3</v>
      </c>
      <c r="F155" s="18">
        <f>IF(ISNUMBER(D155), $B172 * E155, "")</f>
        <v>-456.62100456621005</v>
      </c>
      <c r="G155" s="31">
        <v>223</v>
      </c>
      <c r="H155" s="32">
        <f t="shared" si="79"/>
        <v>1.8264840182648401E-2</v>
      </c>
      <c r="I155" s="101">
        <f>IF(ISNUMBER(G155), $B172 * H155, "")</f>
        <v>1826.4840182648402</v>
      </c>
      <c r="J155" s="15">
        <v>233</v>
      </c>
      <c r="K155" s="32">
        <f t="shared" si="80"/>
        <v>6.3926940639269403E-2</v>
      </c>
      <c r="L155" s="18">
        <f>IF(ISNUMBER(J155), $B172 * K155, "")</f>
        <v>6392.6940639269405</v>
      </c>
      <c r="M155" s="31">
        <v>237</v>
      </c>
      <c r="N155" s="32">
        <f t="shared" si="81"/>
        <v>8.2191780821917804E-2</v>
      </c>
      <c r="O155" s="18">
        <f>IF(ISNUMBER(M155), $B172 * N155, "")</f>
        <v>8219.17808219178</v>
      </c>
      <c r="Q155" s="216"/>
      <c r="R155" s="216"/>
      <c r="S155" s="216"/>
    </row>
    <row r="156" spans="1:19" ht="17.25" thickBot="1">
      <c r="A156" s="127" t="s">
        <v>80</v>
      </c>
      <c r="B156" s="128">
        <v>676</v>
      </c>
      <c r="C156" s="78">
        <v>-1.0248901899999999E-2</v>
      </c>
      <c r="D156" s="20">
        <v>686</v>
      </c>
      <c r="E156" s="21">
        <f t="shared" si="78"/>
        <v>1.4792899408284023E-2</v>
      </c>
      <c r="F156" s="22">
        <f>IF(ISNUMBER(D156), $B172 * E156, "")</f>
        <v>1479.2899408284022</v>
      </c>
      <c r="G156" s="30">
        <v>663</v>
      </c>
      <c r="H156" s="21">
        <f t="shared" si="79"/>
        <v>-1.9230769230769232E-2</v>
      </c>
      <c r="I156" s="105">
        <f>IF(ISNUMBER(G156), $B172 * H156, "")</f>
        <v>-1923.0769230769231</v>
      </c>
      <c r="J156" s="20">
        <v>670</v>
      </c>
      <c r="K156" s="21">
        <f t="shared" si="80"/>
        <v>-8.8757396449704144E-3</v>
      </c>
      <c r="L156" s="22">
        <f>IF(ISNUMBER(J156), $B172 * K156, "")</f>
        <v>-887.5739644970414</v>
      </c>
      <c r="M156" s="30">
        <v>674</v>
      </c>
      <c r="N156" s="21">
        <f t="shared" si="81"/>
        <v>-2.9585798816568047E-3</v>
      </c>
      <c r="O156" s="22">
        <f>IF(ISNUMBER(M156), $B172 * N156, "")</f>
        <v>-295.85798816568047</v>
      </c>
      <c r="Q156" s="216"/>
      <c r="R156" s="216"/>
      <c r="S156" s="216"/>
    </row>
    <row r="157" spans="1:19" ht="17.25" thickBot="1">
      <c r="A157" s="125" t="s">
        <v>118</v>
      </c>
      <c r="B157" s="129">
        <v>132</v>
      </c>
      <c r="C157" s="80">
        <v>-1.49253731E-2</v>
      </c>
      <c r="D157" s="106">
        <v>135</v>
      </c>
      <c r="E157" s="107">
        <f>IF(ISNUMBER(D157), (D157 - $B157) / $B157, "")</f>
        <v>2.2727272727272728E-2</v>
      </c>
      <c r="F157" s="108">
        <f>IF(ISNUMBER(D157), $B172 * E157, "")</f>
        <v>2272.727272727273</v>
      </c>
      <c r="G157" s="109">
        <v>131</v>
      </c>
      <c r="H157" s="107">
        <f>IF(ISNUMBER(G157), (G157 - $B157) / $B157, "")</f>
        <v>-7.575757575757576E-3</v>
      </c>
      <c r="I157" s="110">
        <f>IF(ISNUMBER(G157), $B172 * H157, "")</f>
        <v>-757.57575757575762</v>
      </c>
      <c r="J157" s="106">
        <v>135</v>
      </c>
      <c r="K157" s="107">
        <f>IF(ISNUMBER(J157), (J157 - $B157) / $B157, "")</f>
        <v>2.2727272727272728E-2</v>
      </c>
      <c r="L157" s="108">
        <f>IF(ISNUMBER(J157), $B172 * K157, "")</f>
        <v>2272.727272727273</v>
      </c>
      <c r="M157" s="109">
        <v>133</v>
      </c>
      <c r="N157" s="107">
        <f>IF(ISNUMBER(M157), (M157 - $B157) / $B157, "")</f>
        <v>7.575757575757576E-3</v>
      </c>
      <c r="O157" s="108">
        <f>IF(ISNUMBER(M157), $B172 * N157, "")</f>
        <v>757.57575757575762</v>
      </c>
      <c r="Q157" s="216"/>
      <c r="R157" s="216"/>
      <c r="S157" s="216"/>
    </row>
    <row r="158" spans="1:19" ht="17.25" thickBot="1">
      <c r="A158" s="125" t="s">
        <v>61</v>
      </c>
      <c r="B158" s="126">
        <v>623</v>
      </c>
      <c r="C158" s="77">
        <v>-2.3510971799999999E-2</v>
      </c>
      <c r="D158" s="15">
        <v>661</v>
      </c>
      <c r="E158" s="32">
        <f t="shared" ref="E158:E161" si="82">IF(ISNUMBER(D158), (D158 - $B158) / $B158, "")</f>
        <v>6.0995184590690206E-2</v>
      </c>
      <c r="F158" s="18">
        <f>IF(ISNUMBER(D158), $B172 * E158, "")</f>
        <v>6099.5184590690205</v>
      </c>
      <c r="G158" s="31">
        <v>625</v>
      </c>
      <c r="H158" s="32">
        <f t="shared" ref="H158:H161" si="83">IF(ISNUMBER(G158), (G158 - $B158) / $B158, "")</f>
        <v>3.2102728731942215E-3</v>
      </c>
      <c r="I158" s="101">
        <f>IF(ISNUMBER(G158), $B172 * H158, "")</f>
        <v>321.02728731942216</v>
      </c>
      <c r="J158" s="15">
        <v>636</v>
      </c>
      <c r="K158" s="32">
        <f t="shared" ref="K158:K161" si="84">IF(ISNUMBER(J158), (J158 - $B158) / $B158, "")</f>
        <v>2.0866773675762441E-2</v>
      </c>
      <c r="L158" s="18">
        <f>IF(ISNUMBER(J158), $B172 * K158, "")</f>
        <v>2086.6773675762443</v>
      </c>
      <c r="M158" s="31">
        <v>634</v>
      </c>
      <c r="N158" s="32">
        <f t="shared" ref="N158:N161" si="85">IF(ISNUMBER(M158), (M158 - $B158) / $B158, "")</f>
        <v>1.7656500802568219E-2</v>
      </c>
      <c r="O158" s="18">
        <f>IF(ISNUMBER(M158), $B172 * N158, "")</f>
        <v>1765.6500802568219</v>
      </c>
      <c r="Q158" s="216"/>
      <c r="R158" s="216"/>
      <c r="S158" s="216"/>
    </row>
    <row r="159" spans="1:19" ht="17.25" thickBot="1">
      <c r="A159" s="125" t="s">
        <v>57</v>
      </c>
      <c r="B159" s="126">
        <v>145</v>
      </c>
      <c r="C159" s="77">
        <v>-2.68456376E-2</v>
      </c>
      <c r="D159" s="15">
        <v>154</v>
      </c>
      <c r="E159" s="32">
        <f t="shared" si="82"/>
        <v>6.2068965517241378E-2</v>
      </c>
      <c r="F159" s="18">
        <f>IF(ISNUMBER(D159), $B172 * E159, "")</f>
        <v>6206.8965517241377</v>
      </c>
      <c r="G159" s="31">
        <v>147</v>
      </c>
      <c r="H159" s="32">
        <f t="shared" si="83"/>
        <v>1.3793103448275862E-2</v>
      </c>
      <c r="I159" s="101">
        <f>IF(ISNUMBER(G159), $B172 * H159, "")</f>
        <v>1379.3103448275863</v>
      </c>
      <c r="J159" s="15">
        <v>148</v>
      </c>
      <c r="K159" s="32">
        <f t="shared" si="84"/>
        <v>2.0689655172413793E-2</v>
      </c>
      <c r="L159" s="18">
        <f>IF(ISNUMBER(J159), $B172 * K159, "")</f>
        <v>2068.9655172413791</v>
      </c>
      <c r="M159" s="31">
        <v>151</v>
      </c>
      <c r="N159" s="32">
        <f t="shared" si="85"/>
        <v>4.1379310344827586E-2</v>
      </c>
      <c r="O159" s="18">
        <f>IF(ISNUMBER(M159), $B172 * N159, "")</f>
        <v>4137.9310344827582</v>
      </c>
      <c r="Q159" s="216"/>
      <c r="R159" s="216"/>
      <c r="S159" s="216"/>
    </row>
    <row r="160" spans="1:19" ht="17.25" thickBot="1">
      <c r="A160" s="125" t="s">
        <v>108</v>
      </c>
      <c r="B160" s="126">
        <v>922</v>
      </c>
      <c r="C160" s="77">
        <v>-3.1512604999999999E-2</v>
      </c>
      <c r="D160" s="15">
        <v>950</v>
      </c>
      <c r="E160" s="32">
        <f t="shared" si="82"/>
        <v>3.0368763557483729E-2</v>
      </c>
      <c r="F160" s="18">
        <f>IF(ISNUMBER(D160), $B172 * E160, "")</f>
        <v>3036.876355748373</v>
      </c>
      <c r="G160" s="31">
        <v>917</v>
      </c>
      <c r="H160" s="32">
        <f t="shared" si="83"/>
        <v>-5.4229934924078091E-3</v>
      </c>
      <c r="I160" s="101">
        <f>IF(ISNUMBER(G160), $B172 * H160, "")</f>
        <v>-542.29934924078088</v>
      </c>
      <c r="J160" s="15">
        <v>932</v>
      </c>
      <c r="K160" s="32">
        <f t="shared" si="84"/>
        <v>1.0845986984815618E-2</v>
      </c>
      <c r="L160" s="18">
        <f>IF(ISNUMBER(J160), $B172 * K160, "")</f>
        <v>1084.5986984815618</v>
      </c>
      <c r="M160" s="31">
        <v>937</v>
      </c>
      <c r="N160" s="32">
        <f t="shared" si="85"/>
        <v>1.6268980477223426E-2</v>
      </c>
      <c r="O160" s="18">
        <f>IF(ISNUMBER(M160), $B172 * N160, "")</f>
        <v>1626.8980477223427</v>
      </c>
      <c r="Q160" s="33"/>
      <c r="R160" s="33"/>
    </row>
    <row r="161" spans="1:19" ht="17.25" thickBot="1">
      <c r="A161" s="130" t="s">
        <v>104</v>
      </c>
      <c r="B161" s="131">
        <v>815</v>
      </c>
      <c r="C161" s="79">
        <v>-3.2066508299999998E-2</v>
      </c>
      <c r="D161" s="24">
        <v>872</v>
      </c>
      <c r="E161" s="25">
        <f t="shared" si="82"/>
        <v>6.9938650306748465E-2</v>
      </c>
      <c r="F161" s="104">
        <f>IF(ISNUMBER(D161), $B172 * E161, "")</f>
        <v>6993.8650306748468</v>
      </c>
      <c r="G161" s="102">
        <v>829</v>
      </c>
      <c r="H161" s="25">
        <f t="shared" si="83"/>
        <v>1.7177914110429449E-2</v>
      </c>
      <c r="I161" s="103">
        <f>IF(ISNUMBER(G161), $B172 * H161, "")</f>
        <v>1717.7914110429449</v>
      </c>
      <c r="J161" s="24">
        <v>839</v>
      </c>
      <c r="K161" s="25">
        <f t="shared" si="84"/>
        <v>2.9447852760736196E-2</v>
      </c>
      <c r="L161" s="104">
        <f>IF(ISNUMBER(J161), $B172 * K161, "")</f>
        <v>2944.7852760736196</v>
      </c>
      <c r="M161" s="102">
        <v>821</v>
      </c>
      <c r="N161" s="25">
        <f t="shared" si="85"/>
        <v>7.3619631901840491E-3</v>
      </c>
      <c r="O161" s="104">
        <f>IF(ISNUMBER(M161), $B172 * N161, "")</f>
        <v>736.19631901840489</v>
      </c>
      <c r="Q161" s="217"/>
      <c r="R161" s="218"/>
      <c r="S161" s="219"/>
    </row>
    <row r="162" spans="1:19">
      <c r="A162" s="123" t="s">
        <v>212</v>
      </c>
      <c r="B162" s="124">
        <v>878</v>
      </c>
      <c r="C162" s="76">
        <v>-3.3039647599999999E-2</v>
      </c>
      <c r="D162" s="13">
        <v>963</v>
      </c>
      <c r="E162" s="14">
        <f>IF(ISNUMBER(D162), (D162 - $B162) / $B162, "")</f>
        <v>9.6810933940774488E-2</v>
      </c>
      <c r="F162" s="16">
        <f>IF(ISNUMBER(D162), $B172 * E162, "")</f>
        <v>9681.0933940774485</v>
      </c>
      <c r="G162" s="29">
        <v>922</v>
      </c>
      <c r="H162" s="14">
        <f>IF(ISNUMBER(G162), (G162 - $B162) / $B162, "")</f>
        <v>5.011389521640091E-2</v>
      </c>
      <c r="I162" s="100">
        <f>IF(ISNUMBER(G162), $B172 * H162, "")</f>
        <v>5011.3895216400906</v>
      </c>
      <c r="J162" s="13">
        <v>945</v>
      </c>
      <c r="K162" s="14">
        <f>IF(ISNUMBER(J162), (J162 - $B162) / $B162, "")</f>
        <v>7.6309794988610472E-2</v>
      </c>
      <c r="L162" s="16">
        <f>IF(ISNUMBER(J162), $B172 * K162, "")</f>
        <v>7630.9794988610474</v>
      </c>
      <c r="M162" s="29">
        <v>949</v>
      </c>
      <c r="N162" s="14">
        <f>IF(ISNUMBER(M162), (M162 - $B162) / $B162, "")</f>
        <v>8.0865603644646927E-2</v>
      </c>
      <c r="O162" s="16">
        <f>IF(ISNUMBER(M162), $B172 * N162, "")</f>
        <v>8086.5603644646926</v>
      </c>
      <c r="Q162" s="220"/>
      <c r="R162" s="221"/>
      <c r="S162" s="222"/>
    </row>
    <row r="163" spans="1:19" ht="17.25" thickBot="1">
      <c r="A163" s="125" t="s">
        <v>86</v>
      </c>
      <c r="B163" s="126">
        <v>285</v>
      </c>
      <c r="C163" s="77">
        <v>-3.3898305099999998E-2</v>
      </c>
      <c r="D163" s="15">
        <v>288</v>
      </c>
      <c r="E163" s="32">
        <f t="shared" ref="E163:E166" si="86">IF(ISNUMBER(D163), (D163 - $B163) / $B163, "")</f>
        <v>1.0526315789473684E-2</v>
      </c>
      <c r="F163" s="18">
        <f>IF(ISNUMBER(D163), $B172 * E163, "")</f>
        <v>1052.6315789473683</v>
      </c>
      <c r="G163" s="31">
        <v>279</v>
      </c>
      <c r="H163" s="32">
        <f t="shared" ref="H163:H166" si="87">IF(ISNUMBER(G163), (G163 - $B163) / $B163, "")</f>
        <v>-2.1052631578947368E-2</v>
      </c>
      <c r="I163" s="101">
        <f>IF(ISNUMBER(G163), $B172 * H163, "")</f>
        <v>-2105.2631578947367</v>
      </c>
      <c r="J163" s="15">
        <v>283</v>
      </c>
      <c r="K163" s="32">
        <f t="shared" ref="K163:K166" si="88">IF(ISNUMBER(J163), (J163 - $B163) / $B163, "")</f>
        <v>-7.0175438596491229E-3</v>
      </c>
      <c r="L163" s="18">
        <f>IF(ISNUMBER(J163), $B172 * K163, "")</f>
        <v>-701.75438596491233</v>
      </c>
      <c r="M163" s="31">
        <v>282</v>
      </c>
      <c r="N163" s="32">
        <f t="shared" ref="N163:N166" si="89">IF(ISNUMBER(M163), (M163 - $B163) / $B163, "")</f>
        <v>-1.0526315789473684E-2</v>
      </c>
      <c r="O163" s="18">
        <f>IF(ISNUMBER(M163), $B172 * N163, "")</f>
        <v>-1052.6315789473683</v>
      </c>
      <c r="Q163" s="223"/>
      <c r="R163" s="224"/>
      <c r="S163" s="225"/>
    </row>
    <row r="164" spans="1:19" ht="17.25" thickBot="1">
      <c r="A164" s="125" t="s">
        <v>51</v>
      </c>
      <c r="B164" s="126">
        <v>315</v>
      </c>
      <c r="C164" s="77">
        <v>-4.2553191499999997E-2</v>
      </c>
      <c r="D164" s="15">
        <v>316</v>
      </c>
      <c r="E164" s="32">
        <f t="shared" si="86"/>
        <v>3.1746031746031746E-3</v>
      </c>
      <c r="F164" s="18">
        <f>IF(ISNUMBER(D164), $B172 * E164, "")</f>
        <v>317.46031746031747</v>
      </c>
      <c r="G164" s="31">
        <v>308</v>
      </c>
      <c r="H164" s="32">
        <f t="shared" si="87"/>
        <v>-2.2222222222222223E-2</v>
      </c>
      <c r="I164" s="101">
        <f>IF(ISNUMBER(G164), $B172 * H164, "")</f>
        <v>-2222.2222222222222</v>
      </c>
      <c r="J164" s="15">
        <v>313</v>
      </c>
      <c r="K164" s="32">
        <f t="shared" si="88"/>
        <v>-6.3492063492063492E-3</v>
      </c>
      <c r="L164" s="18">
        <f>IF(ISNUMBER(J164), $B172 * K164, "")</f>
        <v>-634.92063492063494</v>
      </c>
      <c r="M164" s="31">
        <v>312</v>
      </c>
      <c r="N164" s="32">
        <f t="shared" si="89"/>
        <v>-9.5238095238095247E-3</v>
      </c>
      <c r="O164" s="18">
        <f>IF(ISNUMBER(M164), $B172 * N164, "")</f>
        <v>-952.38095238095252</v>
      </c>
      <c r="Q164" s="216"/>
      <c r="R164" s="216"/>
      <c r="S164" s="216"/>
    </row>
    <row r="165" spans="1:19" ht="17.25" thickBot="1">
      <c r="A165" s="125" t="s">
        <v>90</v>
      </c>
      <c r="B165" s="126">
        <v>776</v>
      </c>
      <c r="C165" s="77">
        <v>-4.9019607799999997E-2</v>
      </c>
      <c r="D165" s="15">
        <v>789</v>
      </c>
      <c r="E165" s="32">
        <f t="shared" si="86"/>
        <v>1.6752577319587628E-2</v>
      </c>
      <c r="F165" s="18">
        <f>IF(ISNUMBER(D165), $B172 * E165, "")</f>
        <v>1675.2577319587629</v>
      </c>
      <c r="G165" s="31">
        <v>770</v>
      </c>
      <c r="H165" s="32">
        <f t="shared" si="87"/>
        <v>-7.7319587628865982E-3</v>
      </c>
      <c r="I165" s="101">
        <f>IF(ISNUMBER(G165), $B172 * H165, "")</f>
        <v>-773.19587628865986</v>
      </c>
      <c r="J165" s="15">
        <v>776</v>
      </c>
      <c r="K165" s="32">
        <f t="shared" si="88"/>
        <v>0</v>
      </c>
      <c r="L165" s="18">
        <f>IF(ISNUMBER(J165), $B172 * K165, "")</f>
        <v>0</v>
      </c>
      <c r="M165" s="31">
        <v>777</v>
      </c>
      <c r="N165" s="32">
        <f t="shared" si="89"/>
        <v>1.288659793814433E-3</v>
      </c>
      <c r="O165" s="18">
        <f>IF(ISNUMBER(M165), $B172 * N165, "")</f>
        <v>128.86597938144331</v>
      </c>
      <c r="Q165" s="226"/>
      <c r="R165" s="226"/>
      <c r="S165" s="226"/>
    </row>
    <row r="166" spans="1:19" ht="17.25" thickBot="1">
      <c r="A166" s="127" t="s">
        <v>267</v>
      </c>
      <c r="B166" s="128">
        <v>286</v>
      </c>
      <c r="C166" s="78">
        <v>-5.9210526300000003E-2</v>
      </c>
      <c r="D166" s="20">
        <v>287</v>
      </c>
      <c r="E166" s="21">
        <f t="shared" si="86"/>
        <v>3.4965034965034965E-3</v>
      </c>
      <c r="F166" s="22">
        <f>IF(ISNUMBER(D166), $B172 * E166, "")</f>
        <v>349.65034965034965</v>
      </c>
      <c r="G166" s="30">
        <v>296</v>
      </c>
      <c r="H166" s="21">
        <f t="shared" si="87"/>
        <v>3.4965034965034968E-2</v>
      </c>
      <c r="I166" s="105">
        <f>IF(ISNUMBER(G166), $B172 * H166, "")</f>
        <v>3496.5034965034965</v>
      </c>
      <c r="J166" s="20">
        <v>296</v>
      </c>
      <c r="K166" s="21">
        <f t="shared" si="88"/>
        <v>3.4965034965034968E-2</v>
      </c>
      <c r="L166" s="22">
        <f>IF(ISNUMBER(J166), $B172 * K166, "")</f>
        <v>3496.5034965034965</v>
      </c>
      <c r="M166" s="30">
        <v>292</v>
      </c>
      <c r="N166" s="21">
        <f t="shared" si="89"/>
        <v>2.097902097902098E-2</v>
      </c>
      <c r="O166" s="22">
        <f>IF(ISNUMBER(M166), $B172 * N166, "")</f>
        <v>2097.9020979020979</v>
      </c>
      <c r="Q166" s="226"/>
      <c r="R166" s="226"/>
      <c r="S166" s="226"/>
    </row>
    <row r="167" spans="1:19" ht="17.25" thickBot="1">
      <c r="A167" s="125" t="s">
        <v>138</v>
      </c>
      <c r="B167" s="129">
        <v>475</v>
      </c>
      <c r="C167" s="80">
        <v>-6.3116370800000002E-2</v>
      </c>
      <c r="D167" s="106">
        <v>465</v>
      </c>
      <c r="E167" s="107">
        <f>IF(ISNUMBER(D167), (D167 - $B167) / $B167, "")</f>
        <v>-2.1052631578947368E-2</v>
      </c>
      <c r="F167" s="108">
        <f>IF(ISNUMBER(D167), $B172 * E167, "")</f>
        <v>-2105.2631578947367</v>
      </c>
      <c r="G167" s="109">
        <v>441</v>
      </c>
      <c r="H167" s="107">
        <f>IF(ISNUMBER(G167), (G167 - $B167) / $B167, "")</f>
        <v>-7.1578947368421048E-2</v>
      </c>
      <c r="I167" s="110">
        <f>IF(ISNUMBER(G167), $B172 * H167, "")</f>
        <v>-7157.894736842105</v>
      </c>
      <c r="J167" s="106">
        <v>444</v>
      </c>
      <c r="K167" s="107">
        <f>IF(ISNUMBER(J167), (J167 - $B167) / $B167, "")</f>
        <v>-6.5263157894736842E-2</v>
      </c>
      <c r="L167" s="108">
        <f>IF(ISNUMBER(J167), $B172 * K167, "")</f>
        <v>-6526.3157894736842</v>
      </c>
      <c r="M167" s="109">
        <v>444</v>
      </c>
      <c r="N167" s="107">
        <f>IF(ISNUMBER(M167), (M167 - $B167) / $B167, "")</f>
        <v>-6.5263157894736842E-2</v>
      </c>
      <c r="O167" s="108">
        <f>IF(ISNUMBER(M167), $B172 * N167, "")</f>
        <v>-6526.3157894736842</v>
      </c>
      <c r="Q167" s="216"/>
      <c r="R167" s="216"/>
      <c r="S167" s="216"/>
    </row>
    <row r="168" spans="1:19" ht="17.25" thickBot="1">
      <c r="A168" s="125" t="s">
        <v>160</v>
      </c>
      <c r="B168" s="126">
        <v>927</v>
      </c>
      <c r="C168" s="77">
        <v>-9.5609756099999998E-2</v>
      </c>
      <c r="D168" s="15">
        <v>940</v>
      </c>
      <c r="E168" s="32">
        <f t="shared" ref="E168:E171" si="90">IF(ISNUMBER(D168), (D168 - $B168) / $B168, "")</f>
        <v>1.4023732470334413E-2</v>
      </c>
      <c r="F168" s="18">
        <f>IF(ISNUMBER(D168), $B172 * E168, "")</f>
        <v>1402.3732470334412</v>
      </c>
      <c r="G168" s="31">
        <v>901</v>
      </c>
      <c r="H168" s="32">
        <f t="shared" ref="H168:H171" si="91">IF(ISNUMBER(G168), (G168 - $B168) / $B168, "")</f>
        <v>-2.8047464940668825E-2</v>
      </c>
      <c r="I168" s="101">
        <f>IF(ISNUMBER(G168), $B172 * H168, "")</f>
        <v>-2804.7464940668824</v>
      </c>
      <c r="J168" s="15">
        <v>916</v>
      </c>
      <c r="K168" s="32">
        <f t="shared" ref="K168:K171" si="92">IF(ISNUMBER(J168), (J168 - $B168) / $B168, "")</f>
        <v>-1.1866235167206042E-2</v>
      </c>
      <c r="L168" s="18">
        <f>IF(ISNUMBER(J168), $B172 * K168, "")</f>
        <v>-1186.6235167206041</v>
      </c>
      <c r="M168" s="31">
        <v>919</v>
      </c>
      <c r="N168" s="32">
        <f t="shared" ref="N168:N171" si="93">IF(ISNUMBER(M168), (M168 - $B168) / $B168, "")</f>
        <v>-8.6299892125134836E-3</v>
      </c>
      <c r="O168" s="18">
        <f>IF(ISNUMBER(M168), $B172 * N168, "")</f>
        <v>-862.99892125134841</v>
      </c>
      <c r="Q168" s="216"/>
      <c r="R168" s="216"/>
      <c r="S168" s="216"/>
    </row>
    <row r="169" spans="1:19" ht="17.25" thickBot="1">
      <c r="A169" s="125" t="s">
        <v>220</v>
      </c>
      <c r="B169" s="126">
        <v>103</v>
      </c>
      <c r="C169" s="77">
        <v>-0.12711864410000001</v>
      </c>
      <c r="D169" s="15">
        <v>113</v>
      </c>
      <c r="E169" s="32">
        <f t="shared" si="90"/>
        <v>9.7087378640776698E-2</v>
      </c>
      <c r="F169" s="18">
        <f>IF(ISNUMBER(D169), $B172 * E169, "")</f>
        <v>9708.7378640776697</v>
      </c>
      <c r="G169" s="31">
        <v>103</v>
      </c>
      <c r="H169" s="32">
        <f t="shared" si="91"/>
        <v>0</v>
      </c>
      <c r="I169" s="101">
        <f>IF(ISNUMBER(G169), $B172 * H169, "")</f>
        <v>0</v>
      </c>
      <c r="J169" s="15">
        <v>106</v>
      </c>
      <c r="K169" s="32">
        <f t="shared" si="92"/>
        <v>2.9126213592233011E-2</v>
      </c>
      <c r="L169" s="18">
        <f>IF(ISNUMBER(J169), $B172 * K169, "")</f>
        <v>2912.6213592233012</v>
      </c>
      <c r="M169" s="31">
        <v>109</v>
      </c>
      <c r="N169" s="32">
        <f t="shared" si="93"/>
        <v>5.8252427184466021E-2</v>
      </c>
      <c r="O169" s="18">
        <f>IF(ISNUMBER(M169), $B172 * N169, "")</f>
        <v>5825.2427184466023</v>
      </c>
      <c r="Q169" s="216"/>
      <c r="R169" s="216"/>
      <c r="S169" s="216"/>
    </row>
    <row r="170" spans="1:19">
      <c r="A170" s="125" t="s">
        <v>194</v>
      </c>
      <c r="B170" s="126">
        <v>106</v>
      </c>
      <c r="C170" s="77">
        <v>-0.152</v>
      </c>
      <c r="D170" s="15">
        <v>121</v>
      </c>
      <c r="E170" s="32">
        <f t="shared" si="90"/>
        <v>0.14150943396226415</v>
      </c>
      <c r="F170" s="18">
        <f>IF(ISNUMBER(D170), $B172 * E170, "")</f>
        <v>14150.943396226414</v>
      </c>
      <c r="G170" s="31">
        <v>122</v>
      </c>
      <c r="H170" s="32">
        <f t="shared" si="91"/>
        <v>0.15094339622641509</v>
      </c>
      <c r="I170" s="101">
        <f>IF(ISNUMBER(G170), $B172 * H170, "")</f>
        <v>15094.339622641508</v>
      </c>
      <c r="J170" s="15">
        <v>128</v>
      </c>
      <c r="K170" s="32">
        <f t="shared" si="92"/>
        <v>0.20754716981132076</v>
      </c>
      <c r="L170" s="18">
        <f>IF(ISNUMBER(J170), $B172 * K170, "")</f>
        <v>20754.716981132078</v>
      </c>
      <c r="M170" s="31">
        <v>124</v>
      </c>
      <c r="N170" s="32">
        <f t="shared" si="93"/>
        <v>0.16981132075471697</v>
      </c>
      <c r="O170" s="18">
        <f>IF(ISNUMBER(M170), $B172 * N170, "")</f>
        <v>16981.132075471698</v>
      </c>
      <c r="Q170" s="205"/>
      <c r="R170" s="206"/>
      <c r="S170" s="207"/>
    </row>
    <row r="171" spans="1:19" ht="17.25" thickBot="1">
      <c r="A171" s="130" t="s">
        <v>229</v>
      </c>
      <c r="B171" s="131">
        <v>474</v>
      </c>
      <c r="C171" s="79">
        <v>-0.31304347830000001</v>
      </c>
      <c r="D171" s="24">
        <v>382</v>
      </c>
      <c r="E171" s="25">
        <f t="shared" si="90"/>
        <v>-0.1940928270042194</v>
      </c>
      <c r="F171" s="104">
        <f>IF(ISNUMBER(D171), $B172 * E171, "")</f>
        <v>-19409.28270042194</v>
      </c>
      <c r="G171" s="102">
        <v>390</v>
      </c>
      <c r="H171" s="25">
        <f t="shared" si="91"/>
        <v>-0.17721518987341772</v>
      </c>
      <c r="I171" s="103">
        <f>IF(ISNUMBER(G171), $B172 * H171, "")</f>
        <v>-17721.518987341773</v>
      </c>
      <c r="J171" s="24">
        <v>405</v>
      </c>
      <c r="K171" s="25">
        <f t="shared" si="92"/>
        <v>-0.14556962025316456</v>
      </c>
      <c r="L171" s="104">
        <f>IF(ISNUMBER(J171), $B172 * K171, "")</f>
        <v>-14556.962025316456</v>
      </c>
      <c r="M171" s="102">
        <v>429</v>
      </c>
      <c r="N171" s="25">
        <f t="shared" si="93"/>
        <v>-9.49367088607595E-2</v>
      </c>
      <c r="O171" s="104">
        <f>IF(ISNUMBER(M171), $B172 * N171, "")</f>
        <v>-9493.67088607595</v>
      </c>
      <c r="Q171" s="208"/>
      <c r="R171" s="209"/>
      <c r="S171" s="210"/>
    </row>
    <row r="172" spans="1:19" ht="17.25" thickBot="1">
      <c r="A172" s="132" t="s">
        <v>271</v>
      </c>
      <c r="B172" s="269">
        <f>$B$37</f>
        <v>100000</v>
      </c>
      <c r="C172" s="270"/>
      <c r="D172" s="26" t="s">
        <v>272</v>
      </c>
      <c r="E172" s="27">
        <f>IF(COUNT(E152:E171), SUM(E152:E171) / COUNT(E152:E171), 0)</f>
        <v>2.6683977596566329E-2</v>
      </c>
      <c r="F172" s="28">
        <f>SUM(F152:F171)</f>
        <v>53367.955193132657</v>
      </c>
      <c r="G172" s="26" t="s">
        <v>272</v>
      </c>
      <c r="H172" s="27">
        <f>IF(COUNT(H152:H171), SUM(H152:H171) / COUNT(H152:H171), 0)</f>
        <v>-2.1768806985991542E-3</v>
      </c>
      <c r="I172" s="28">
        <f>SUM(I152:I171)</f>
        <v>-4353.7613971983083</v>
      </c>
      <c r="J172" s="26" t="s">
        <v>272</v>
      </c>
      <c r="K172" s="27">
        <f>IF(COUNT(K152:K171), SUM(K152:K171) / COUNT(K152:K171), 0)</f>
        <v>1.7822631583864639E-2</v>
      </c>
      <c r="L172" s="28">
        <f>SUM(L152:L171)</f>
        <v>35645.263167729281</v>
      </c>
      <c r="M172" s="26" t="s">
        <v>272</v>
      </c>
      <c r="N172" s="27">
        <f>IF(COUNT(N152:N171), SUM(N152:N171) / COUNT(N152:N171), 0)</f>
        <v>1.9812306153041772E-2</v>
      </c>
      <c r="O172" s="28">
        <f>SUM(O152:O171)</f>
        <v>39624.612306083538</v>
      </c>
      <c r="Q172" s="211"/>
      <c r="R172" s="212"/>
      <c r="S172" s="213"/>
    </row>
    <row r="174" spans="1:19" ht="17.25" thickBot="1"/>
    <row r="175" spans="1:19" ht="17.25" thickBot="1">
      <c r="A175" s="227" t="s">
        <v>256</v>
      </c>
      <c r="B175" s="228"/>
      <c r="C175" s="228"/>
      <c r="D175" s="228"/>
      <c r="E175" s="228"/>
      <c r="F175" s="228"/>
      <c r="G175" s="228"/>
      <c r="H175" s="228"/>
      <c r="I175" s="228"/>
      <c r="J175" s="228"/>
      <c r="K175" s="228"/>
      <c r="L175" s="228"/>
      <c r="M175" s="228"/>
      <c r="N175" s="228"/>
      <c r="O175" s="229"/>
      <c r="Q175" s="226"/>
      <c r="R175" s="226"/>
      <c r="S175" s="226"/>
    </row>
    <row r="176" spans="1:19" ht="17.25" thickBot="1">
      <c r="A176" s="157" t="s">
        <v>268</v>
      </c>
      <c r="B176" s="227" t="s">
        <v>49</v>
      </c>
      <c r="C176" s="229"/>
      <c r="D176" s="227" t="s">
        <v>58</v>
      </c>
      <c r="E176" s="228"/>
      <c r="F176" s="229"/>
      <c r="G176" s="230">
        <f>_xlfn.IFNA(VLOOKUP(B176, 현재가테이블!$B$2:$D$200, 2, FALSE), "-")</f>
        <v>39916000</v>
      </c>
      <c r="H176" s="231"/>
      <c r="I176" s="232"/>
      <c r="J176" s="227" t="s">
        <v>59</v>
      </c>
      <c r="K176" s="228"/>
      <c r="L176" s="229"/>
      <c r="M176" s="233">
        <f>_xlfn.IFNA(VLOOKUP(B176, 현재가테이블!$B$2:$D$200, 3, FALSE), "-")</f>
        <v>7.3184273000000003E-3</v>
      </c>
      <c r="N176" s="234"/>
      <c r="O176" s="235"/>
      <c r="Q176" s="226"/>
      <c r="R176" s="226"/>
      <c r="S176" s="226"/>
    </row>
    <row r="177" spans="1:19" ht="17.25" thickBot="1">
      <c r="A177" s="271" t="s">
        <v>55</v>
      </c>
      <c r="B177" s="267" t="str">
        <f>TEXT($G$1, "[$-ko-KR]yyyy-mm-dd(ddd) ") &amp; "오전 00:00"</f>
        <v>2021-07-01(목) 오전 00:00</v>
      </c>
      <c r="C177" s="268"/>
      <c r="D177" s="240" t="str">
        <f>TEXT($G$1, "[$-ko-KR]yyyy-mm-dd(ddd) ") &amp; "오후 14:00"</f>
        <v>2021-07-01(목) 오후 14:00</v>
      </c>
      <c r="E177" s="241"/>
      <c r="F177" s="242"/>
      <c r="G177" s="240" t="str">
        <f>TEXT($G$1, "[$-ko-KR]yyyy-mm-dd(ddd) ") &amp; "오후 19:00"</f>
        <v>2021-07-01(목) 오후 19:00</v>
      </c>
      <c r="H177" s="241"/>
      <c r="I177" s="242"/>
      <c r="J177" s="240" t="str">
        <f>TEXT($G$1, "[$-ko-KR]yyyy-mm-dd(ddd) ") &amp; "오후 21:00"</f>
        <v>2021-07-01(목) 오후 21:00</v>
      </c>
      <c r="K177" s="241"/>
      <c r="L177" s="242"/>
      <c r="M177" s="240" t="str">
        <f>TEXT($G$1+1, "[$-ko-KR]yyyy-mm-dd(ddd) ") &amp; "오전 00:00"</f>
        <v>2021-07-02(금) 오전 00:00</v>
      </c>
      <c r="N177" s="241"/>
      <c r="O177" s="242"/>
      <c r="Q177" s="226"/>
      <c r="R177" s="226"/>
      <c r="S177" s="226"/>
    </row>
    <row r="178" spans="1:19" ht="17.25" thickBot="1">
      <c r="A178" s="27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58" t="s">
        <v>58</v>
      </c>
      <c r="H178" s="159" t="s">
        <v>269</v>
      </c>
      <c r="I178" s="16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6"/>
      <c r="R178" s="216"/>
      <c r="S178" s="216"/>
    </row>
    <row r="179" spans="1:19" ht="17.25" thickBot="1">
      <c r="A179" s="123" t="s">
        <v>128</v>
      </c>
      <c r="B179" s="124">
        <v>99.2</v>
      </c>
      <c r="C179" s="76">
        <v>-5.5238095199999997E-2</v>
      </c>
      <c r="D179" s="13">
        <v>102</v>
      </c>
      <c r="E179" s="14">
        <f>IF(ISNUMBER(D179), (D179 - $B179) / $B179, "")</f>
        <v>2.8225806451612875E-2</v>
      </c>
      <c r="F179" s="16">
        <f>IF(ISNUMBER(D179), $B199 * E179, "")</f>
        <v>2822.5806451612875</v>
      </c>
      <c r="G179" s="29">
        <v>97.7</v>
      </c>
      <c r="H179" s="14">
        <f>IF(ISNUMBER(G179), (G179 - $B179) / $B179, "")</f>
        <v>-1.5120967741935483E-2</v>
      </c>
      <c r="I179" s="100">
        <f>IF(ISNUMBER(G179), $B199 * H179, "")</f>
        <v>-1512.0967741935483</v>
      </c>
      <c r="J179" s="13">
        <v>101</v>
      </c>
      <c r="K179" s="14">
        <f>IF(ISNUMBER(J179), (J179 - $B179) / $B179, "")</f>
        <v>1.8145161290322551E-2</v>
      </c>
      <c r="L179" s="16">
        <f>IF(ISNUMBER(J179), $B199 * K179, "")</f>
        <v>1814.5161290322551</v>
      </c>
      <c r="M179" s="29">
        <v>99.8</v>
      </c>
      <c r="N179" s="14">
        <f>IF(ISNUMBER(M179), (M179 - $B179) / $B179, "")</f>
        <v>6.0483870967741361E-3</v>
      </c>
      <c r="O179" s="16">
        <f>IF(ISNUMBER(M179), $B199 * N179, "")</f>
        <v>604.83870967741359</v>
      </c>
      <c r="Q179" s="226"/>
      <c r="R179" s="226"/>
      <c r="S179" s="226"/>
    </row>
    <row r="180" spans="1:19" ht="17.25" thickBot="1">
      <c r="A180" s="125" t="s">
        <v>112</v>
      </c>
      <c r="B180" s="126">
        <v>7795</v>
      </c>
      <c r="C180" s="77">
        <v>-5.8006042299999998E-2</v>
      </c>
      <c r="D180" s="15">
        <v>7675</v>
      </c>
      <c r="E180" s="32">
        <f t="shared" ref="E180:E183" si="94">IF(ISNUMBER(D180), (D180 - $B180) / $B180, "")</f>
        <v>-1.5394483643361129E-2</v>
      </c>
      <c r="F180" s="18">
        <f>IF(ISNUMBER(D180), $B199 * E180, "")</f>
        <v>-1539.4483643361129</v>
      </c>
      <c r="G180" s="31">
        <v>7460</v>
      </c>
      <c r="H180" s="32">
        <f t="shared" ref="H180:H183" si="95">IF(ISNUMBER(G180), (G180 - $B180) / $B180, "")</f>
        <v>-4.2976266837716486E-2</v>
      </c>
      <c r="I180" s="101">
        <f>IF(ISNUMBER(G180), $B199 * H180, "")</f>
        <v>-4297.6266837716485</v>
      </c>
      <c r="J180" s="15">
        <v>7630</v>
      </c>
      <c r="K180" s="32">
        <f t="shared" ref="K180:K183" si="96">IF(ISNUMBER(J180), (J180 - $B180) / $B180, "")</f>
        <v>-2.1167415009621552E-2</v>
      </c>
      <c r="L180" s="18">
        <f>IF(ISNUMBER(J180), $B199 * K180, "")</f>
        <v>-2116.741500962155</v>
      </c>
      <c r="M180" s="31">
        <v>7560</v>
      </c>
      <c r="N180" s="32">
        <f t="shared" ref="N180:N183" si="97">IF(ISNUMBER(M180), (M180 - $B180) / $B180, "")</f>
        <v>-3.0147530468248876E-2</v>
      </c>
      <c r="O180" s="18">
        <f>IF(ISNUMBER(M180), $B199 * N180, "")</f>
        <v>-3014.7530468248874</v>
      </c>
      <c r="Q180" s="226"/>
      <c r="R180" s="226"/>
      <c r="S180" s="226"/>
    </row>
    <row r="181" spans="1:19" ht="17.25" thickBot="1">
      <c r="A181" s="125" t="s">
        <v>267</v>
      </c>
      <c r="B181" s="126">
        <v>286</v>
      </c>
      <c r="C181" s="77">
        <v>-5.9210526300000003E-2</v>
      </c>
      <c r="D181" s="15">
        <v>287</v>
      </c>
      <c r="E181" s="32">
        <f t="shared" si="94"/>
        <v>3.4965034965034965E-3</v>
      </c>
      <c r="F181" s="18">
        <f>IF(ISNUMBER(D181), $B199 * E181, "")</f>
        <v>349.65034965034965</v>
      </c>
      <c r="G181" s="31">
        <v>296</v>
      </c>
      <c r="H181" s="32">
        <f t="shared" si="95"/>
        <v>3.4965034965034968E-2</v>
      </c>
      <c r="I181" s="101">
        <f>IF(ISNUMBER(G181), $B199 * H181, "")</f>
        <v>3496.5034965034965</v>
      </c>
      <c r="J181" s="15">
        <v>296</v>
      </c>
      <c r="K181" s="32">
        <f t="shared" si="96"/>
        <v>3.4965034965034968E-2</v>
      </c>
      <c r="L181" s="18">
        <f>IF(ISNUMBER(J181), $B199 * K181, "")</f>
        <v>3496.5034965034965</v>
      </c>
      <c r="M181" s="31">
        <v>292</v>
      </c>
      <c r="N181" s="32">
        <f t="shared" si="97"/>
        <v>2.097902097902098E-2</v>
      </c>
      <c r="O181" s="18">
        <f>IF(ISNUMBER(M181), $B199 * N181, "")</f>
        <v>2097.9020979020979</v>
      </c>
      <c r="Q181" s="216"/>
      <c r="R181" s="216"/>
      <c r="S181" s="216"/>
    </row>
    <row r="182" spans="1:19" ht="17.25" thickBot="1">
      <c r="A182" s="125" t="s">
        <v>216</v>
      </c>
      <c r="B182" s="126">
        <v>6.6</v>
      </c>
      <c r="C182" s="77">
        <v>-5.9829059800000001E-2</v>
      </c>
      <c r="D182" s="15">
        <v>8.9700000000000006</v>
      </c>
      <c r="E182" s="32">
        <f t="shared" si="94"/>
        <v>0.35909090909090924</v>
      </c>
      <c r="F182" s="18">
        <f>IF(ISNUMBER(D182), $B199 * E182, "")</f>
        <v>35909.090909090926</v>
      </c>
      <c r="G182" s="31">
        <v>7.82</v>
      </c>
      <c r="H182" s="32">
        <f t="shared" si="95"/>
        <v>0.18484848484848496</v>
      </c>
      <c r="I182" s="101">
        <f>IF(ISNUMBER(G182), $B199 * H182, "")</f>
        <v>18484.848484848495</v>
      </c>
      <c r="J182" s="15">
        <v>8.0500000000000007</v>
      </c>
      <c r="K182" s="32">
        <f t="shared" si="96"/>
        <v>0.21969696969696986</v>
      </c>
      <c r="L182" s="18">
        <f>IF(ISNUMBER(J182), $B199 * K182, "")</f>
        <v>21969.696969696986</v>
      </c>
      <c r="M182" s="31">
        <v>7.77</v>
      </c>
      <c r="N182" s="32">
        <f t="shared" si="97"/>
        <v>0.17727272727272728</v>
      </c>
      <c r="O182" s="18">
        <f>IF(ISNUMBER(M182), $B199 * N182, "")</f>
        <v>17727.272727272728</v>
      </c>
      <c r="Q182" s="216"/>
      <c r="R182" s="216"/>
      <c r="S182" s="216"/>
    </row>
    <row r="183" spans="1:19" ht="17.25" thickBot="1">
      <c r="A183" s="127" t="s">
        <v>235</v>
      </c>
      <c r="B183" s="128">
        <v>43.9</v>
      </c>
      <c r="C183" s="78">
        <v>-5.9957173400000001E-2</v>
      </c>
      <c r="D183" s="20">
        <v>50</v>
      </c>
      <c r="E183" s="21">
        <f t="shared" si="94"/>
        <v>0.13895216400911165</v>
      </c>
      <c r="F183" s="22">
        <f>IF(ISNUMBER(D183), $B199 * E183, "")</f>
        <v>13895.216400911164</v>
      </c>
      <c r="G183" s="30">
        <v>47.2</v>
      </c>
      <c r="H183" s="21">
        <f t="shared" si="95"/>
        <v>7.5170842824601472E-2</v>
      </c>
      <c r="I183" s="105">
        <f>IF(ISNUMBER(G183), $B199 * H183, "")</f>
        <v>7517.0842824601468</v>
      </c>
      <c r="J183" s="20">
        <v>49.2</v>
      </c>
      <c r="K183" s="21">
        <f t="shared" si="96"/>
        <v>0.12072892938496593</v>
      </c>
      <c r="L183" s="22">
        <f>IF(ISNUMBER(J183), $B199 * K183, "")</f>
        <v>12072.892938496594</v>
      </c>
      <c r="M183" s="30">
        <v>48.3</v>
      </c>
      <c r="N183" s="21">
        <f t="shared" si="97"/>
        <v>0.10022779043280179</v>
      </c>
      <c r="O183" s="22">
        <f>IF(ISNUMBER(M183), $B199 * N183, "")</f>
        <v>10022.779043280179</v>
      </c>
      <c r="Q183" s="216"/>
      <c r="R183" s="216"/>
      <c r="S183" s="216"/>
    </row>
    <row r="184" spans="1:19" ht="17.25" thickBot="1">
      <c r="A184" s="125" t="s">
        <v>138</v>
      </c>
      <c r="B184" s="129">
        <v>475</v>
      </c>
      <c r="C184" s="80">
        <v>-6.3116370800000002E-2</v>
      </c>
      <c r="D184" s="106">
        <v>465</v>
      </c>
      <c r="E184" s="107">
        <f>IF(ISNUMBER(D184), (D184 - $B184) / $B184, "")</f>
        <v>-2.1052631578947368E-2</v>
      </c>
      <c r="F184" s="108">
        <f>IF(ISNUMBER(D184), $B199 * E184, "")</f>
        <v>-2105.2631578947367</v>
      </c>
      <c r="G184" s="109">
        <v>441</v>
      </c>
      <c r="H184" s="107">
        <f>IF(ISNUMBER(G184), (G184 - $B184) / $B184, "")</f>
        <v>-7.1578947368421048E-2</v>
      </c>
      <c r="I184" s="110">
        <f>IF(ISNUMBER(G184), $B199 * H184, "")</f>
        <v>-7157.894736842105</v>
      </c>
      <c r="J184" s="106">
        <v>444</v>
      </c>
      <c r="K184" s="107">
        <f>IF(ISNUMBER(J184), (J184 - $B184) / $B184, "")</f>
        <v>-6.5263157894736842E-2</v>
      </c>
      <c r="L184" s="108">
        <f>IF(ISNUMBER(J184), $B199 * K184, "")</f>
        <v>-6526.3157894736842</v>
      </c>
      <c r="M184" s="109">
        <v>444</v>
      </c>
      <c r="N184" s="107">
        <f>IF(ISNUMBER(M184), (M184 - $B184) / $B184, "")</f>
        <v>-6.5263157894736842E-2</v>
      </c>
      <c r="O184" s="108">
        <f>IF(ISNUMBER(M184), $B199 * N184, "")</f>
        <v>-6526.3157894736842</v>
      </c>
      <c r="Q184" s="216"/>
      <c r="R184" s="216"/>
      <c r="S184" s="216"/>
    </row>
    <row r="185" spans="1:19" ht="17.25" thickBot="1">
      <c r="A185" s="125" t="s">
        <v>222</v>
      </c>
      <c r="B185" s="126">
        <v>77.8</v>
      </c>
      <c r="C185" s="77">
        <v>-6.4903846200000004E-2</v>
      </c>
      <c r="D185" s="15">
        <v>87.1</v>
      </c>
      <c r="E185" s="32">
        <f t="shared" ref="E185:E188" si="98">IF(ISNUMBER(D185), (D185 - $B185) / $B185, "")</f>
        <v>0.11953727506426733</v>
      </c>
      <c r="F185" s="18">
        <f>IF(ISNUMBER(D185), $B199 * E185, "")</f>
        <v>11953.727506426732</v>
      </c>
      <c r="G185" s="31">
        <v>80</v>
      </c>
      <c r="H185" s="32">
        <f t="shared" ref="H185:H188" si="99">IF(ISNUMBER(G185), (G185 - $B185) / $B185, "")</f>
        <v>2.8277634961439625E-2</v>
      </c>
      <c r="I185" s="101">
        <f>IF(ISNUMBER(G185), $B199 * H185, "")</f>
        <v>2827.7634961439626</v>
      </c>
      <c r="J185" s="15">
        <v>81.2</v>
      </c>
      <c r="K185" s="32">
        <f t="shared" ref="K185:K188" si="100">IF(ISNUMBER(J185), (J185 - $B185) / $B185, "")</f>
        <v>4.370179948586126E-2</v>
      </c>
      <c r="L185" s="18">
        <f>IF(ISNUMBER(J185), $B199 * K185, "")</f>
        <v>4370.1799485861256</v>
      </c>
      <c r="M185" s="31">
        <v>82.3</v>
      </c>
      <c r="N185" s="32">
        <f t="shared" ref="N185:N188" si="101">IF(ISNUMBER(M185), (M185 - $B185) / $B185, "")</f>
        <v>5.7840616966580979E-2</v>
      </c>
      <c r="O185" s="18">
        <f>IF(ISNUMBER(M185), $B199 * N185, "")</f>
        <v>5784.0616966580983</v>
      </c>
      <c r="Q185" s="216"/>
      <c r="R185" s="216"/>
      <c r="S185" s="216"/>
    </row>
    <row r="186" spans="1:19" ht="17.25" thickBot="1">
      <c r="A186" s="125" t="s">
        <v>241</v>
      </c>
      <c r="B186" s="126">
        <v>45.6</v>
      </c>
      <c r="C186" s="77">
        <v>-6.9387755100000004E-2</v>
      </c>
      <c r="D186" s="15">
        <v>52.7</v>
      </c>
      <c r="E186" s="32">
        <f t="shared" si="98"/>
        <v>0.15570175438596495</v>
      </c>
      <c r="F186" s="18">
        <f>IF(ISNUMBER(D186), $B199 * E186, "")</f>
        <v>15570.175438596496</v>
      </c>
      <c r="G186" s="31">
        <v>48.4</v>
      </c>
      <c r="H186" s="32">
        <f t="shared" si="99"/>
        <v>6.1403508771929759E-2</v>
      </c>
      <c r="I186" s="101">
        <f>IF(ISNUMBER(G186), $B199 * H186, "")</f>
        <v>6140.3508771929755</v>
      </c>
      <c r="J186" s="15">
        <v>50.4</v>
      </c>
      <c r="K186" s="32">
        <f t="shared" si="100"/>
        <v>0.10526315789473678</v>
      </c>
      <c r="L186" s="18">
        <f>IF(ISNUMBER(J186), $B199 * K186, "")</f>
        <v>10526.315789473678</v>
      </c>
      <c r="M186" s="31">
        <v>50.6</v>
      </c>
      <c r="N186" s="32">
        <f t="shared" si="101"/>
        <v>0.10964912280701754</v>
      </c>
      <c r="O186" s="18">
        <f>IF(ISNUMBER(M186), $B199 * N186, "")</f>
        <v>10964.912280701754</v>
      </c>
      <c r="Q186" s="216"/>
      <c r="R186" s="216"/>
      <c r="S186" s="216"/>
    </row>
    <row r="187" spans="1:19" ht="17.25" thickBot="1">
      <c r="A187" s="125" t="s">
        <v>190</v>
      </c>
      <c r="B187" s="126">
        <v>13.1</v>
      </c>
      <c r="C187" s="77">
        <v>-7.7464788699999995E-2</v>
      </c>
      <c r="D187" s="15">
        <v>14.2</v>
      </c>
      <c r="E187" s="32">
        <f t="shared" si="98"/>
        <v>8.3969465648854935E-2</v>
      </c>
      <c r="F187" s="18">
        <f>IF(ISNUMBER(D187), $B199 * E187, "")</f>
        <v>8396.946564885493</v>
      </c>
      <c r="G187" s="31">
        <v>13.3</v>
      </c>
      <c r="H187" s="32">
        <f t="shared" si="99"/>
        <v>1.5267175572519165E-2</v>
      </c>
      <c r="I187" s="101">
        <f>IF(ISNUMBER(G187), $B199 * H187, "")</f>
        <v>1526.7175572519166</v>
      </c>
      <c r="J187" s="15">
        <v>13.8</v>
      </c>
      <c r="K187" s="32">
        <f t="shared" si="100"/>
        <v>5.3435114503816876E-2</v>
      </c>
      <c r="L187" s="18">
        <f>IF(ISNUMBER(J187), $B199 * K187, "")</f>
        <v>5343.5114503816876</v>
      </c>
      <c r="M187" s="31">
        <v>13.6</v>
      </c>
      <c r="N187" s="32">
        <f t="shared" si="101"/>
        <v>3.8167938931297711E-2</v>
      </c>
      <c r="O187" s="18">
        <f>IF(ISNUMBER(M187), $B199 * N187, "")</f>
        <v>3816.7938931297713</v>
      </c>
      <c r="Q187" s="33"/>
      <c r="R187" s="33"/>
    </row>
    <row r="188" spans="1:19" ht="17.25" thickBot="1">
      <c r="A188" s="130" t="s">
        <v>166</v>
      </c>
      <c r="B188" s="131">
        <v>97.5</v>
      </c>
      <c r="C188" s="79">
        <v>-8.0188679200000001E-2</v>
      </c>
      <c r="D188" s="24">
        <v>111</v>
      </c>
      <c r="E188" s="25">
        <f t="shared" si="98"/>
        <v>0.13846153846153847</v>
      </c>
      <c r="F188" s="104">
        <f>IF(ISNUMBER(D188), $B199 * E188, "")</f>
        <v>13846.153846153848</v>
      </c>
      <c r="G188" s="102">
        <v>103</v>
      </c>
      <c r="H188" s="25">
        <f t="shared" si="99"/>
        <v>5.6410256410256411E-2</v>
      </c>
      <c r="I188" s="103">
        <f>IF(ISNUMBER(G188), $B199 * H188, "")</f>
        <v>5641.0256410256407</v>
      </c>
      <c r="J188" s="24">
        <v>105</v>
      </c>
      <c r="K188" s="25">
        <f t="shared" si="100"/>
        <v>7.6923076923076927E-2</v>
      </c>
      <c r="L188" s="104">
        <f>IF(ISNUMBER(J188), $B199 * K188, "")</f>
        <v>7692.3076923076924</v>
      </c>
      <c r="M188" s="102">
        <v>108</v>
      </c>
      <c r="N188" s="25">
        <f t="shared" si="101"/>
        <v>0.1076923076923077</v>
      </c>
      <c r="O188" s="104">
        <f>IF(ISNUMBER(M188), $B199 * N188, "")</f>
        <v>10769.23076923077</v>
      </c>
      <c r="Q188" s="217"/>
      <c r="R188" s="218"/>
      <c r="S188" s="219"/>
    </row>
    <row r="189" spans="1:19">
      <c r="A189" s="123" t="s">
        <v>150</v>
      </c>
      <c r="B189" s="124">
        <v>7.53</v>
      </c>
      <c r="C189" s="76">
        <v>-8.1707317099999996E-2</v>
      </c>
      <c r="D189" s="13">
        <v>8.81</v>
      </c>
      <c r="E189" s="14">
        <f>IF(ISNUMBER(D189), (D189 - $B189) / $B189, "")</f>
        <v>0.16998671978751662</v>
      </c>
      <c r="F189" s="16">
        <f>IF(ISNUMBER(D189), $B199 * E189, "")</f>
        <v>16998.671978751663</v>
      </c>
      <c r="G189" s="29">
        <v>7.82</v>
      </c>
      <c r="H189" s="14">
        <f>IF(ISNUMBER(G189), (G189 - $B189) / $B189, "")</f>
        <v>3.851261620185923E-2</v>
      </c>
      <c r="I189" s="100">
        <f>IF(ISNUMBER(G189), $B199 * H189, "")</f>
        <v>3851.2616201859232</v>
      </c>
      <c r="J189" s="13">
        <v>8.23</v>
      </c>
      <c r="K189" s="14">
        <f>IF(ISNUMBER(J189), (J189 - $B189) / $B189, "")</f>
        <v>9.2961487383798155E-2</v>
      </c>
      <c r="L189" s="16">
        <f>IF(ISNUMBER(J189), $B199 * K189, "")</f>
        <v>9296.1487383798158</v>
      </c>
      <c r="M189" s="29">
        <v>8.1300000000000008</v>
      </c>
      <c r="N189" s="14">
        <f>IF(ISNUMBER(M189), (M189 - $B189) / $B189, "")</f>
        <v>7.9681274900398474E-2</v>
      </c>
      <c r="O189" s="16">
        <f>IF(ISNUMBER(M189), $B199 * N189, "")</f>
        <v>7968.1274900398475</v>
      </c>
      <c r="Q189" s="220"/>
      <c r="R189" s="221"/>
      <c r="S189" s="222"/>
    </row>
    <row r="190" spans="1:19" ht="17.25" thickBot="1">
      <c r="A190" s="125" t="s">
        <v>218</v>
      </c>
      <c r="B190" s="126">
        <v>78.3</v>
      </c>
      <c r="C190" s="77">
        <v>-8.9534883699999998E-2</v>
      </c>
      <c r="D190" s="15">
        <v>88</v>
      </c>
      <c r="E190" s="32">
        <f t="shared" ref="E190:E193" si="102">IF(ISNUMBER(D190), (D190 - $B190) / $B190, "")</f>
        <v>0.12388250319284806</v>
      </c>
      <c r="F190" s="18">
        <f>IF(ISNUMBER(D190), $B199 * E190, "")</f>
        <v>12388.250319284805</v>
      </c>
      <c r="G190" s="31">
        <v>83.5</v>
      </c>
      <c r="H190" s="32">
        <f t="shared" ref="H190:H193" si="103">IF(ISNUMBER(G190), (G190 - $B190) / $B190, "")</f>
        <v>6.6411238825031971E-2</v>
      </c>
      <c r="I190" s="101">
        <f>IF(ISNUMBER(G190), $B199 * H190, "")</f>
        <v>6641.1238825031969</v>
      </c>
      <c r="J190" s="15">
        <v>85.5</v>
      </c>
      <c r="K190" s="32">
        <f t="shared" ref="K190:K193" si="104">IF(ISNUMBER(J190), (J190 - $B190) / $B190, "")</f>
        <v>9.1954022988505787E-2</v>
      </c>
      <c r="L190" s="18">
        <f>IF(ISNUMBER(J190), $B199 * K190, "")</f>
        <v>9195.4022988505785</v>
      </c>
      <c r="M190" s="31">
        <v>85.5</v>
      </c>
      <c r="N190" s="32">
        <f t="shared" ref="N190:N193" si="105">IF(ISNUMBER(M190), (M190 - $B190) / $B190, "")</f>
        <v>9.1954022988505787E-2</v>
      </c>
      <c r="O190" s="18">
        <f>IF(ISNUMBER(M190), $B199 * N190, "")</f>
        <v>9195.4022988505785</v>
      </c>
      <c r="Q190" s="223"/>
      <c r="R190" s="224"/>
      <c r="S190" s="225"/>
    </row>
    <row r="191" spans="1:19" ht="17.25" thickBot="1">
      <c r="A191" s="125" t="s">
        <v>204</v>
      </c>
      <c r="B191" s="126">
        <v>8.58</v>
      </c>
      <c r="C191" s="77">
        <v>-9.2063492100000005E-2</v>
      </c>
      <c r="D191" s="15">
        <v>9.65</v>
      </c>
      <c r="E191" s="32">
        <f t="shared" si="102"/>
        <v>0.12470862470862475</v>
      </c>
      <c r="F191" s="18">
        <f>IF(ISNUMBER(D191), $B199 * E191, "")</f>
        <v>12470.862470862474</v>
      </c>
      <c r="G191" s="31">
        <v>8.66</v>
      </c>
      <c r="H191" s="32">
        <f t="shared" si="103"/>
        <v>9.3240093240093327E-3</v>
      </c>
      <c r="I191" s="101">
        <f>IF(ISNUMBER(G191), $B199 * H191, "")</f>
        <v>932.40093240093324</v>
      </c>
      <c r="J191" s="15">
        <v>9.19</v>
      </c>
      <c r="K191" s="32">
        <f t="shared" si="104"/>
        <v>7.1095571095571033E-2</v>
      </c>
      <c r="L191" s="18">
        <f>IF(ISNUMBER(J191), $B199 * K191, "")</f>
        <v>7109.5571095571031</v>
      </c>
      <c r="M191" s="31">
        <v>9.2799999999999994</v>
      </c>
      <c r="N191" s="32">
        <f t="shared" si="105"/>
        <v>8.1585081585081501E-2</v>
      </c>
      <c r="O191" s="18">
        <f>IF(ISNUMBER(M191), $B199 * N191, "")</f>
        <v>8158.5081585081498</v>
      </c>
      <c r="Q191" s="216"/>
      <c r="R191" s="216"/>
      <c r="S191" s="216"/>
    </row>
    <row r="192" spans="1:19" ht="17.25" thickBot="1">
      <c r="A192" s="125" t="s">
        <v>110</v>
      </c>
      <c r="B192" s="126">
        <v>95.2</v>
      </c>
      <c r="C192" s="77">
        <v>-9.3333333300000001E-2</v>
      </c>
      <c r="D192" s="15">
        <v>108</v>
      </c>
      <c r="E192" s="32">
        <f t="shared" si="102"/>
        <v>0.13445378151260501</v>
      </c>
      <c r="F192" s="18">
        <f>IF(ISNUMBER(D192), $B199 * E192, "")</f>
        <v>13445.3781512605</v>
      </c>
      <c r="G192" s="31">
        <v>105</v>
      </c>
      <c r="H192" s="32">
        <f t="shared" si="103"/>
        <v>0.1029411764705882</v>
      </c>
      <c r="I192" s="101">
        <f>IF(ISNUMBER(G192), $B199 * H192, "")</f>
        <v>10294.11764705882</v>
      </c>
      <c r="J192" s="15">
        <v>106</v>
      </c>
      <c r="K192" s="32">
        <f t="shared" si="104"/>
        <v>0.11344537815126048</v>
      </c>
      <c r="L192" s="18">
        <f>IF(ISNUMBER(J192), $B199 * K192, "")</f>
        <v>11344.537815126048</v>
      </c>
      <c r="M192" s="31">
        <v>108</v>
      </c>
      <c r="N192" s="32">
        <f t="shared" si="105"/>
        <v>0.13445378151260501</v>
      </c>
      <c r="O192" s="18">
        <f>IF(ISNUMBER(M192), $B199 * N192, "")</f>
        <v>13445.3781512605</v>
      </c>
      <c r="Q192" s="226"/>
      <c r="R192" s="226"/>
      <c r="S192" s="226"/>
    </row>
    <row r="193" spans="1:19" ht="17.25" thickBot="1">
      <c r="A193" s="127" t="s">
        <v>160</v>
      </c>
      <c r="B193" s="128">
        <v>927</v>
      </c>
      <c r="C193" s="78">
        <v>-9.5609756099999998E-2</v>
      </c>
      <c r="D193" s="20">
        <v>940</v>
      </c>
      <c r="E193" s="21">
        <f t="shared" si="102"/>
        <v>1.4023732470334413E-2</v>
      </c>
      <c r="F193" s="22">
        <f>IF(ISNUMBER(D193), $B199 * E193, "")</f>
        <v>1402.3732470334412</v>
      </c>
      <c r="G193" s="30">
        <v>901</v>
      </c>
      <c r="H193" s="21">
        <f t="shared" si="103"/>
        <v>-2.8047464940668825E-2</v>
      </c>
      <c r="I193" s="105">
        <f>IF(ISNUMBER(G193), $B199 * H193, "")</f>
        <v>-2804.7464940668824</v>
      </c>
      <c r="J193" s="20">
        <v>916</v>
      </c>
      <c r="K193" s="21">
        <f t="shared" si="104"/>
        <v>-1.1866235167206042E-2</v>
      </c>
      <c r="L193" s="22">
        <f>IF(ISNUMBER(J193), $B199 * K193, "")</f>
        <v>-1186.6235167206041</v>
      </c>
      <c r="M193" s="30">
        <v>919</v>
      </c>
      <c r="N193" s="21">
        <f t="shared" si="105"/>
        <v>-8.6299892125134836E-3</v>
      </c>
      <c r="O193" s="22">
        <f>IF(ISNUMBER(M193), $B199 * N193, "")</f>
        <v>-862.99892125134841</v>
      </c>
      <c r="Q193" s="226"/>
      <c r="R193" s="226"/>
      <c r="S193" s="226"/>
    </row>
    <row r="194" spans="1:19" ht="17.25" thickBot="1">
      <c r="A194" s="125" t="s">
        <v>202</v>
      </c>
      <c r="B194" s="129">
        <v>53.8</v>
      </c>
      <c r="C194" s="80">
        <v>-0.101836394</v>
      </c>
      <c r="D194" s="106">
        <v>58.9</v>
      </c>
      <c r="E194" s="107">
        <f>IF(ISNUMBER(D194), (D194 - $B194) / $B194, "")</f>
        <v>9.4795539033457277E-2</v>
      </c>
      <c r="F194" s="108">
        <f>IF(ISNUMBER(D194), $B199 * E194, "")</f>
        <v>9479.553903345728</v>
      </c>
      <c r="G194" s="109">
        <v>54.9</v>
      </c>
      <c r="H194" s="107">
        <f>IF(ISNUMBER(G194), (G194 - $B194) / $B194, "")</f>
        <v>2.0446096654275121E-2</v>
      </c>
      <c r="I194" s="110">
        <f>IF(ISNUMBER(G194), $B199 * H194, "")</f>
        <v>2044.609665427512</v>
      </c>
      <c r="J194" s="106">
        <v>56.7</v>
      </c>
      <c r="K194" s="107">
        <f>IF(ISNUMBER(J194), (J194 - $B194) / $B194, "")</f>
        <v>5.3903345724907174E-2</v>
      </c>
      <c r="L194" s="108">
        <f>IF(ISNUMBER(J194), $B199 * K194, "")</f>
        <v>5390.3345724907176</v>
      </c>
      <c r="M194" s="109">
        <v>56.2</v>
      </c>
      <c r="N194" s="107">
        <f>IF(ISNUMBER(M194), (M194 - $B194) / $B194, "")</f>
        <v>4.4609665427509403E-2</v>
      </c>
      <c r="O194" s="108">
        <f>IF(ISNUMBER(M194), $B199 * N194, "")</f>
        <v>4460.9665427509399</v>
      </c>
      <c r="Q194" s="216"/>
      <c r="R194" s="216"/>
      <c r="S194" s="216"/>
    </row>
    <row r="195" spans="1:19" ht="17.25" thickBot="1">
      <c r="A195" s="125" t="s">
        <v>220</v>
      </c>
      <c r="B195" s="126">
        <v>103</v>
      </c>
      <c r="C195" s="77">
        <v>-0.12711864410000001</v>
      </c>
      <c r="D195" s="15">
        <v>113</v>
      </c>
      <c r="E195" s="32">
        <f t="shared" ref="E195:E198" si="106">IF(ISNUMBER(D195), (D195 - $B195) / $B195, "")</f>
        <v>9.7087378640776698E-2</v>
      </c>
      <c r="F195" s="18">
        <f>IF(ISNUMBER(D195), $B199 * E195, "")</f>
        <v>9708.7378640776697</v>
      </c>
      <c r="G195" s="31">
        <v>103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106</v>
      </c>
      <c r="K195" s="32">
        <f t="shared" ref="K195:K198" si="108">IF(ISNUMBER(J195), (J195 - $B195) / $B195, "")</f>
        <v>2.9126213592233011E-2</v>
      </c>
      <c r="L195" s="18">
        <f>IF(ISNUMBER(J195), $B199 * K195, "")</f>
        <v>2912.6213592233012</v>
      </c>
      <c r="M195" s="31">
        <v>109</v>
      </c>
      <c r="N195" s="32">
        <f t="shared" ref="N195:N198" si="109">IF(ISNUMBER(M195), (M195 - $B195) / $B195, "")</f>
        <v>5.8252427184466021E-2</v>
      </c>
      <c r="O195" s="18">
        <f>IF(ISNUMBER(M195), $B199 * N195, "")</f>
        <v>5825.2427184466023</v>
      </c>
      <c r="Q195" s="216"/>
      <c r="R195" s="216"/>
      <c r="S195" s="216"/>
    </row>
    <row r="196" spans="1:19" ht="17.25" thickBot="1">
      <c r="A196" s="125" t="s">
        <v>194</v>
      </c>
      <c r="B196" s="126">
        <v>106</v>
      </c>
      <c r="C196" s="77">
        <v>-0.152</v>
      </c>
      <c r="D196" s="15">
        <v>121</v>
      </c>
      <c r="E196" s="32">
        <f t="shared" si="106"/>
        <v>0.14150943396226415</v>
      </c>
      <c r="F196" s="18">
        <f>IF(ISNUMBER(D196), $B199 * E196, "")</f>
        <v>14150.943396226414</v>
      </c>
      <c r="G196" s="31">
        <v>122</v>
      </c>
      <c r="H196" s="32">
        <f t="shared" si="107"/>
        <v>0.15094339622641509</v>
      </c>
      <c r="I196" s="101">
        <f>IF(ISNUMBER(G196), $B199 * H196, "")</f>
        <v>15094.339622641508</v>
      </c>
      <c r="J196" s="15">
        <v>128</v>
      </c>
      <c r="K196" s="32">
        <f t="shared" si="108"/>
        <v>0.20754716981132076</v>
      </c>
      <c r="L196" s="18">
        <f>IF(ISNUMBER(J196), $B199 * K196, "")</f>
        <v>20754.716981132078</v>
      </c>
      <c r="M196" s="31">
        <v>124</v>
      </c>
      <c r="N196" s="32">
        <f t="shared" si="109"/>
        <v>0.16981132075471697</v>
      </c>
      <c r="O196" s="18">
        <f>IF(ISNUMBER(M196), $B199 * N196, "")</f>
        <v>16981.132075471698</v>
      </c>
      <c r="Q196" s="216"/>
      <c r="R196" s="216"/>
      <c r="S196" s="216"/>
    </row>
    <row r="197" spans="1:19">
      <c r="A197" s="125" t="s">
        <v>162</v>
      </c>
      <c r="B197" s="126">
        <v>86</v>
      </c>
      <c r="C197" s="77">
        <v>-0.24561403509999999</v>
      </c>
      <c r="D197" s="15">
        <v>83.8</v>
      </c>
      <c r="E197" s="32">
        <f t="shared" si="106"/>
        <v>-2.5581395348837244E-2</v>
      </c>
      <c r="F197" s="18">
        <f>IF(ISNUMBER(D197), $B199 * E197, "")</f>
        <v>-2558.1395348837245</v>
      </c>
      <c r="G197" s="31">
        <v>79.5</v>
      </c>
      <c r="H197" s="32">
        <f t="shared" si="107"/>
        <v>-7.5581395348837205E-2</v>
      </c>
      <c r="I197" s="101">
        <f>IF(ISNUMBER(G197), $B199 * H197, "")</f>
        <v>-7558.1395348837204</v>
      </c>
      <c r="J197" s="15">
        <v>82</v>
      </c>
      <c r="K197" s="32">
        <f t="shared" si="108"/>
        <v>-4.6511627906976744E-2</v>
      </c>
      <c r="L197" s="18">
        <f>IF(ISNUMBER(J197), $B199 * K197, "")</f>
        <v>-4651.1627906976746</v>
      </c>
      <c r="M197" s="31">
        <v>82.1</v>
      </c>
      <c r="N197" s="32">
        <f t="shared" si="109"/>
        <v>-4.5348837209302391E-2</v>
      </c>
      <c r="O197" s="18">
        <f>IF(ISNUMBER(M197), $B199 * N197, "")</f>
        <v>-4534.8837209302392</v>
      </c>
      <c r="Q197" s="205"/>
      <c r="R197" s="206"/>
      <c r="S197" s="207"/>
    </row>
    <row r="198" spans="1:19" ht="17.25" thickBot="1">
      <c r="A198" s="130" t="s">
        <v>229</v>
      </c>
      <c r="B198" s="131">
        <v>474</v>
      </c>
      <c r="C198" s="79">
        <v>-0.31304347830000001</v>
      </c>
      <c r="D198" s="24">
        <v>382</v>
      </c>
      <c r="E198" s="25">
        <f t="shared" si="106"/>
        <v>-0.1940928270042194</v>
      </c>
      <c r="F198" s="104">
        <f>IF(ISNUMBER(D198), $B199 * E198, "")</f>
        <v>-19409.28270042194</v>
      </c>
      <c r="G198" s="102">
        <v>390</v>
      </c>
      <c r="H198" s="25">
        <f t="shared" si="107"/>
        <v>-0.17721518987341772</v>
      </c>
      <c r="I198" s="103">
        <f>IF(ISNUMBER(G198), $B199 * H198, "")</f>
        <v>-17721.518987341773</v>
      </c>
      <c r="J198" s="24">
        <v>405</v>
      </c>
      <c r="K198" s="25">
        <f t="shared" si="108"/>
        <v>-0.14556962025316456</v>
      </c>
      <c r="L198" s="104">
        <f>IF(ISNUMBER(J198), $B199 * K198, "")</f>
        <v>-14556.962025316456</v>
      </c>
      <c r="M198" s="102">
        <v>429</v>
      </c>
      <c r="N198" s="25">
        <f t="shared" si="109"/>
        <v>-9.49367088607595E-2</v>
      </c>
      <c r="O198" s="104">
        <f>IF(ISNUMBER(M198), $B199 * N198, "")</f>
        <v>-9493.67088607595</v>
      </c>
      <c r="Q198" s="208"/>
      <c r="R198" s="209"/>
      <c r="S198" s="210"/>
    </row>
    <row r="199" spans="1:19" ht="17.25" thickBot="1">
      <c r="A199" s="132" t="s">
        <v>271</v>
      </c>
      <c r="B199" s="269">
        <f>$B$37</f>
        <v>100000</v>
      </c>
      <c r="C199" s="270"/>
      <c r="D199" s="26" t="s">
        <v>272</v>
      </c>
      <c r="E199" s="27">
        <f>IF(COUNT(E179:E198), SUM(E179:E198) / COUNT(E179:E198), 0)</f>
        <v>8.3588089617091244E-2</v>
      </c>
      <c r="F199" s="28">
        <f>SUM(F179:F198)</f>
        <v>167176.17923418249</v>
      </c>
      <c r="G199" s="26" t="s">
        <v>272</v>
      </c>
      <c r="H199" s="27">
        <f>IF(COUNT(H179:H198), SUM(H179:H198) / COUNT(H179:H198), 0)</f>
        <v>2.1720061997272423E-2</v>
      </c>
      <c r="I199" s="28">
        <f>SUM(I179:I198)</f>
        <v>43440.123994544847</v>
      </c>
      <c r="J199" s="26" t="s">
        <v>272</v>
      </c>
      <c r="K199" s="27">
        <f>IF(COUNT(K179:K198), SUM(K179:K198) / COUNT(K179:K198), 0)</f>
        <v>5.2125718833033782E-2</v>
      </c>
      <c r="L199" s="28">
        <f>SUM(L179:L198)</f>
        <v>104251.43766606758</v>
      </c>
      <c r="M199" s="26" t="s">
        <v>272</v>
      </c>
      <c r="N199" s="27">
        <f>IF(COUNT(N179:N198), SUM(N179:N198) / COUNT(N179:N198), 0)</f>
        <v>5.1694963144312503E-2</v>
      </c>
      <c r="O199" s="28">
        <f>SUM(O179:O198)</f>
        <v>103389.92628862504</v>
      </c>
      <c r="Q199" s="211"/>
      <c r="R199" s="212"/>
      <c r="S199" s="2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BB0C3-848D-44A0-8D7B-3B5BCFE4EFFD}">
  <sheetPr codeName="Sheet7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7" t="s">
        <v>0</v>
      </c>
      <c r="B1" s="228"/>
      <c r="C1" s="228"/>
      <c r="D1" s="228"/>
      <c r="E1" s="228"/>
      <c r="F1" s="229"/>
      <c r="G1" s="258">
        <v>44379</v>
      </c>
      <c r="H1" s="259"/>
      <c r="I1" s="260"/>
      <c r="J1" s="227" t="s">
        <v>1</v>
      </c>
      <c r="K1" s="228"/>
      <c r="L1" s="228"/>
      <c r="M1" s="228"/>
      <c r="N1" s="228"/>
      <c r="O1" s="229"/>
      <c r="Q1" s="227" t="s">
        <v>2</v>
      </c>
      <c r="R1" s="229"/>
    </row>
    <row r="2" spans="1:19" ht="17.25" customHeight="1">
      <c r="A2" s="117" t="s">
        <v>3</v>
      </c>
      <c r="B2" s="261" t="s">
        <v>8</v>
      </c>
      <c r="C2" s="262"/>
      <c r="D2" s="262"/>
      <c r="E2" s="262"/>
      <c r="F2" s="263"/>
      <c r="G2" s="255" t="s">
        <v>46</v>
      </c>
      <c r="H2" s="256"/>
      <c r="I2" s="257"/>
      <c r="J2" s="1" t="s">
        <v>3</v>
      </c>
      <c r="K2" s="261" t="s">
        <v>321</v>
      </c>
      <c r="L2" s="262"/>
      <c r="M2" s="262"/>
      <c r="N2" s="262"/>
      <c r="O2" s="263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329</v>
      </c>
      <c r="C3" s="253"/>
      <c r="D3" s="253"/>
      <c r="E3" s="253"/>
      <c r="F3" s="254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-79,314 KRW (-3.97%)</v>
      </c>
      <c r="H3" s="249"/>
      <c r="I3" s="250"/>
      <c r="J3" s="4" t="s">
        <v>7</v>
      </c>
      <c r="K3" s="252" t="s">
        <v>322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55" t="s">
        <v>44</v>
      </c>
      <c r="H4" s="256"/>
      <c r="I4" s="257"/>
      <c r="J4" s="4" t="s">
        <v>11</v>
      </c>
      <c r="K4" s="252" t="s">
        <v>323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320</v>
      </c>
      <c r="C5" s="253"/>
      <c r="D5" s="253"/>
      <c r="E5" s="253"/>
      <c r="F5" s="254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132,315 KRW (6.62%)</v>
      </c>
      <c r="H5" s="249"/>
      <c r="I5" s="250"/>
      <c r="J5" s="4" t="s">
        <v>15</v>
      </c>
      <c r="K5" s="252" t="s">
        <v>324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55" t="s">
        <v>45</v>
      </c>
      <c r="H6" s="256"/>
      <c r="I6" s="257"/>
      <c r="J6" s="4" t="s">
        <v>18</v>
      </c>
      <c r="K6" s="252" t="s">
        <v>325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-84,048 KRW (-4.20%)</v>
      </c>
      <c r="H7" s="249"/>
      <c r="I7" s="250"/>
      <c r="J7" s="4" t="s">
        <v>21</v>
      </c>
      <c r="K7" s="252" t="s">
        <v>326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55" t="s">
        <v>256</v>
      </c>
      <c r="H8" s="256"/>
      <c r="I8" s="257"/>
      <c r="J8" s="4" t="s">
        <v>24</v>
      </c>
      <c r="K8" s="252"/>
      <c r="L8" s="253"/>
      <c r="M8" s="253"/>
      <c r="N8" s="253"/>
      <c r="O8" s="254"/>
      <c r="Q8" s="227" t="s">
        <v>27</v>
      </c>
      <c r="R8" s="229"/>
    </row>
    <row r="9" spans="1:19" ht="17.25" thickBot="1">
      <c r="A9" s="118" t="s">
        <v>28</v>
      </c>
      <c r="B9" s="252"/>
      <c r="C9" s="253"/>
      <c r="D9" s="253"/>
      <c r="E9" s="253"/>
      <c r="F9" s="254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-94,130 KRW (-4.71%)</v>
      </c>
      <c r="H9" s="249"/>
      <c r="I9" s="250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55" t="s">
        <v>47</v>
      </c>
      <c r="H10" s="256"/>
      <c r="I10" s="257"/>
      <c r="J10" s="4" t="s">
        <v>30</v>
      </c>
      <c r="K10" s="252" t="s">
        <v>327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45" t="s">
        <v>328</v>
      </c>
      <c r="C11" s="246"/>
      <c r="D11" s="246"/>
      <c r="E11" s="246"/>
      <c r="F11" s="247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45" t="s">
        <v>319</v>
      </c>
      <c r="L11" s="246"/>
      <c r="M11" s="246"/>
      <c r="N11" s="246"/>
      <c r="O11" s="247"/>
      <c r="Q11" s="65" t="s">
        <v>33</v>
      </c>
      <c r="R11" s="8">
        <v>1000</v>
      </c>
    </row>
    <row r="12" spans="1:19" ht="17.25" thickBot="1"/>
    <row r="13" spans="1:19" ht="17.25" customHeight="1" thickBot="1">
      <c r="A13" s="227" t="s">
        <v>34</v>
      </c>
      <c r="B13" s="228"/>
      <c r="C13" s="228"/>
      <c r="D13" s="228"/>
      <c r="E13" s="228"/>
      <c r="F13" s="228"/>
      <c r="G13" s="228"/>
      <c r="H13" s="228"/>
      <c r="I13" s="228"/>
      <c r="J13" s="228"/>
      <c r="K13" s="228"/>
      <c r="L13" s="228"/>
      <c r="M13" s="228"/>
      <c r="N13" s="228"/>
      <c r="O13" s="229"/>
      <c r="Q13" s="226"/>
      <c r="R13" s="226"/>
      <c r="S13" s="226"/>
    </row>
    <row r="14" spans="1:19" ht="17.25" customHeight="1" thickBot="1">
      <c r="A14" s="161" t="s">
        <v>35</v>
      </c>
      <c r="B14" s="227" t="s">
        <v>36</v>
      </c>
      <c r="C14" s="229"/>
      <c r="D14" s="227" t="s">
        <v>37</v>
      </c>
      <c r="E14" s="228"/>
      <c r="F14" s="229"/>
      <c r="G14" s="230">
        <f>_xlfn.IFNA(VLOOKUP(B14, 현재가테이블!$B$2:$D$200, 2, FALSE), "-")</f>
        <v>39916000</v>
      </c>
      <c r="H14" s="231"/>
      <c r="I14" s="232"/>
      <c r="J14" s="227" t="s">
        <v>38</v>
      </c>
      <c r="K14" s="228"/>
      <c r="L14" s="229"/>
      <c r="M14" s="233">
        <f>_xlfn.IFNA(VLOOKUP(B14, 현재가테이블!$B$2:$D$200, 3, FALSE), "-")</f>
        <v>7.3184273000000003E-3</v>
      </c>
      <c r="N14" s="234"/>
      <c r="O14" s="235"/>
      <c r="Q14" s="226"/>
      <c r="R14" s="226"/>
      <c r="S14" s="226"/>
    </row>
    <row r="15" spans="1:19" ht="17.25" customHeight="1" thickBot="1">
      <c r="A15" s="264" t="s">
        <v>39</v>
      </c>
      <c r="B15" s="265" t="str">
        <f>TEXT($G$1, "[$-ko-KR]yyyy-mm-dd(ddd) ") &amp; "오전 00:00"</f>
        <v>2021-07-02(금) 오전 00:00</v>
      </c>
      <c r="C15" s="266"/>
      <c r="D15" s="240" t="str">
        <f>TEXT($G$1, "[$-ko-KR]yyyy-mm-dd(ddd) ") &amp; "오후 14:00"</f>
        <v>2021-07-02(금) 오후 14:00</v>
      </c>
      <c r="E15" s="241"/>
      <c r="F15" s="242"/>
      <c r="G15" s="240" t="str">
        <f>TEXT($G$1, "[$-ko-KR]yyyy-mm-dd(ddd) ") &amp; "오후 19:00"</f>
        <v>2021-07-02(금) 오후 19:00</v>
      </c>
      <c r="H15" s="241"/>
      <c r="I15" s="242"/>
      <c r="J15" s="240" t="str">
        <f>TEXT($G$1, "[$-ko-KR]yyyy-mm-dd(ddd) ") &amp; "오후 21:00"</f>
        <v>2021-07-02(금) 오후 21:00</v>
      </c>
      <c r="K15" s="241"/>
      <c r="L15" s="242"/>
      <c r="M15" s="240" t="str">
        <f>TEXT($G$1+1, "[$-ko-KR]yyyy-mm-dd(ddd) ") &amp; "오전 00:00"</f>
        <v>2021-07-03(토) 오전 00:00</v>
      </c>
      <c r="N15" s="241"/>
      <c r="O15" s="242"/>
      <c r="Q15" s="226"/>
      <c r="R15" s="226"/>
      <c r="S15" s="226"/>
    </row>
    <row r="16" spans="1:19" ht="17.25" customHeight="1" thickBot="1">
      <c r="A16" s="26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6"/>
      <c r="R16" s="216"/>
      <c r="S16" s="21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6"/>
      <c r="R19" s="216"/>
      <c r="S19" s="21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6"/>
      <c r="R20" s="216"/>
      <c r="S20" s="21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6"/>
      <c r="R21" s="216"/>
      <c r="S21" s="21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6"/>
      <c r="R22" s="216"/>
      <c r="S22" s="21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6"/>
      <c r="R23" s="216"/>
      <c r="S23" s="21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6"/>
      <c r="R24" s="216"/>
      <c r="S24" s="21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6"/>
      <c r="R29" s="216"/>
      <c r="S29" s="21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6"/>
      <c r="R32" s="216"/>
      <c r="S32" s="21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6"/>
      <c r="R33" s="216"/>
      <c r="S33" s="21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6"/>
      <c r="R34" s="216"/>
      <c r="S34" s="21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5"/>
      <c r="R35" s="206"/>
      <c r="S35" s="2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8"/>
      <c r="R36" s="209"/>
      <c r="S36" s="210"/>
    </row>
    <row r="37" spans="1:19" ht="17.25" customHeight="1" thickBot="1">
      <c r="A37" s="132" t="s">
        <v>42</v>
      </c>
      <c r="B37" s="269">
        <v>100000</v>
      </c>
      <c r="C37" s="27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1"/>
      <c r="R37" s="212"/>
      <c r="S37" s="213"/>
    </row>
    <row r="38" spans="1:19" ht="17.25" customHeight="1"/>
    <row r="39" spans="1:19" ht="17.25" customHeight="1" thickBot="1"/>
    <row r="40" spans="1:19" ht="17.25" customHeight="1" thickBot="1">
      <c r="A40" s="227" t="s">
        <v>44</v>
      </c>
      <c r="B40" s="228"/>
      <c r="C40" s="228"/>
      <c r="D40" s="228"/>
      <c r="E40" s="228"/>
      <c r="F40" s="228"/>
      <c r="G40" s="228"/>
      <c r="H40" s="228"/>
      <c r="I40" s="228"/>
      <c r="J40" s="228"/>
      <c r="K40" s="228"/>
      <c r="L40" s="228"/>
      <c r="M40" s="228"/>
      <c r="N40" s="228"/>
      <c r="O40" s="229"/>
      <c r="Q40" s="226"/>
      <c r="R40" s="226"/>
      <c r="S40" s="226"/>
    </row>
    <row r="41" spans="1:19" ht="17.25" customHeight="1" thickBot="1">
      <c r="A41" s="161" t="s">
        <v>268</v>
      </c>
      <c r="B41" s="227" t="s">
        <v>49</v>
      </c>
      <c r="C41" s="229"/>
      <c r="D41" s="227" t="s">
        <v>58</v>
      </c>
      <c r="E41" s="228"/>
      <c r="F41" s="229"/>
      <c r="G41" s="230">
        <f>_xlfn.IFNA(VLOOKUP(B41, 현재가테이블!$B$2:$D$200, 2, FALSE), "-")</f>
        <v>39916000</v>
      </c>
      <c r="H41" s="231"/>
      <c r="I41" s="232"/>
      <c r="J41" s="227" t="s">
        <v>59</v>
      </c>
      <c r="K41" s="228"/>
      <c r="L41" s="229"/>
      <c r="M41" s="233">
        <f>_xlfn.IFNA(VLOOKUP(B41, 현재가테이블!$B$2:$D$200, 3, FALSE), "-")</f>
        <v>7.3184273000000003E-3</v>
      </c>
      <c r="N41" s="234"/>
      <c r="O41" s="235"/>
      <c r="Q41" s="226"/>
      <c r="R41" s="226"/>
      <c r="S41" s="226"/>
    </row>
    <row r="42" spans="1:19" ht="17.25" customHeight="1" thickBot="1">
      <c r="A42" s="271" t="s">
        <v>55</v>
      </c>
      <c r="B42" s="267" t="str">
        <f>TEXT($G$1, "[$-ko-KR]yyyy-mm-dd(ddd) ") &amp; "오전 00:00"</f>
        <v>2021-07-02(금) 오전 00:00</v>
      </c>
      <c r="C42" s="268"/>
      <c r="D42" s="240" t="str">
        <f>TEXT($G$1, "[$-ko-KR]yyyy-mm-dd(ddd) ") &amp; "오후 14:00"</f>
        <v>2021-07-02(금) 오후 14:00</v>
      </c>
      <c r="E42" s="241"/>
      <c r="F42" s="242"/>
      <c r="G42" s="240" t="str">
        <f>TEXT($G$1, "[$-ko-KR]yyyy-mm-dd(ddd) ") &amp; "오후 19:00"</f>
        <v>2021-07-02(금) 오후 19:00</v>
      </c>
      <c r="H42" s="241"/>
      <c r="I42" s="242"/>
      <c r="J42" s="240" t="str">
        <f>TEXT($G$1, "[$-ko-KR]yyyy-mm-dd(ddd) ") &amp; "오후 21:00"</f>
        <v>2021-07-02(금) 오후 21:00</v>
      </c>
      <c r="K42" s="241"/>
      <c r="L42" s="242"/>
      <c r="M42" s="240" t="str">
        <f>TEXT($G$1+1, "[$-ko-KR]yyyy-mm-dd(ddd) ") &amp; "오전 00:00"</f>
        <v>2021-07-03(토) 오전 00:00</v>
      </c>
      <c r="N42" s="241"/>
      <c r="O42" s="242"/>
      <c r="Q42" s="226"/>
      <c r="R42" s="226"/>
      <c r="S42" s="226"/>
    </row>
    <row r="43" spans="1:19" ht="17.25" customHeight="1" thickBot="1">
      <c r="A43" s="27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2" t="s">
        <v>58</v>
      </c>
      <c r="H43" s="163" t="s">
        <v>269</v>
      </c>
      <c r="I43" s="16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6"/>
      <c r="R43" s="216"/>
      <c r="S43" s="216"/>
    </row>
    <row r="44" spans="1:19" ht="17.25" customHeight="1" thickBot="1">
      <c r="A44" s="123" t="s">
        <v>122</v>
      </c>
      <c r="B44" s="124">
        <v>24.4</v>
      </c>
      <c r="C44" s="76">
        <v>0.119266055</v>
      </c>
      <c r="D44" s="13">
        <v>25.6</v>
      </c>
      <c r="E44" s="14">
        <f>IF(ISNUMBER(D44), (D44 - $B44) / $B44, "")</f>
        <v>4.9180327868852576E-2</v>
      </c>
      <c r="F44" s="16">
        <f>IF(ISNUMBER(D44), $B64 * E44, "")</f>
        <v>4918.0327868852573</v>
      </c>
      <c r="G44" s="29">
        <v>24.9</v>
      </c>
      <c r="H44" s="14">
        <f>IF(ISNUMBER(G44), (G44 - $B44) / $B44, "")</f>
        <v>2.0491803278688527E-2</v>
      </c>
      <c r="I44" s="100">
        <f>IF(ISNUMBER(G44), $B64 * H44, "")</f>
        <v>2049.1803278688526</v>
      </c>
      <c r="J44" s="13">
        <v>25.2</v>
      </c>
      <c r="K44" s="14">
        <f>IF(ISNUMBER(J44), (J44 - $B44) / $B44, "")</f>
        <v>3.2786885245901669E-2</v>
      </c>
      <c r="L44" s="16">
        <f>IF(ISNUMBER(J44), $B64 * K44, "")</f>
        <v>3278.6885245901667</v>
      </c>
      <c r="M44" s="29">
        <v>25.3</v>
      </c>
      <c r="N44" s="14">
        <f>IF(ISNUMBER(M44), (M44 - $B44) / $B44, "")</f>
        <v>3.6885245901639434E-2</v>
      </c>
      <c r="O44" s="16">
        <f>IF(ISNUMBER(M44), $B64 * N44, "")</f>
        <v>3688.5245901639432</v>
      </c>
      <c r="Q44" s="226"/>
      <c r="R44" s="226"/>
      <c r="S44" s="226"/>
    </row>
    <row r="45" spans="1:19" ht="17.25" customHeight="1" thickBot="1">
      <c r="A45" s="125" t="s">
        <v>216</v>
      </c>
      <c r="B45" s="126">
        <v>7.77</v>
      </c>
      <c r="C45" s="77">
        <v>7.9166666699999999E-2</v>
      </c>
      <c r="D45" s="15">
        <v>7.29</v>
      </c>
      <c r="E45" s="32">
        <f t="shared" ref="E45:E48" si="14">IF(ISNUMBER(D45), (D45 - $B45) / $B45, "")</f>
        <v>-6.1776061776061722E-2</v>
      </c>
      <c r="F45" s="18">
        <f>IF(ISNUMBER(D45), $B64 * E45, "")</f>
        <v>-6177.6061776061724</v>
      </c>
      <c r="G45" s="31">
        <v>7.36</v>
      </c>
      <c r="H45" s="32">
        <f t="shared" ref="H45:H48" si="15">IF(ISNUMBER(G45), (G45 - $B45) / $B45, "")</f>
        <v>-5.2767052767052673E-2</v>
      </c>
      <c r="I45" s="101">
        <f>IF(ISNUMBER(G45), $B64 * H45, "")</f>
        <v>-5276.7052767052674</v>
      </c>
      <c r="J45" s="15">
        <v>7.68</v>
      </c>
      <c r="K45" s="32">
        <f t="shared" ref="K45:K48" si="16">IF(ISNUMBER(J45), (J45 - $B45) / $B45, "")</f>
        <v>-1.1583011583011565E-2</v>
      </c>
      <c r="L45" s="18">
        <f>IF(ISNUMBER(J45), $B64 * K45, "")</f>
        <v>-1158.3011583011564</v>
      </c>
      <c r="M45" s="31">
        <v>7.69</v>
      </c>
      <c r="N45" s="32">
        <f t="shared" ref="N45:N48" si="17">IF(ISNUMBER(M45), (M45 - $B45) / $B45, "")</f>
        <v>-1.0296010296010192E-2</v>
      </c>
      <c r="O45" s="18">
        <f>IF(ISNUMBER(M45), $B64 * N45, "")</f>
        <v>-1029.6010296010193</v>
      </c>
      <c r="Q45" s="226"/>
      <c r="R45" s="226"/>
      <c r="S45" s="226"/>
    </row>
    <row r="46" spans="1:19" ht="17.25" customHeight="1" thickBot="1">
      <c r="A46" s="125" t="s">
        <v>130</v>
      </c>
      <c r="B46" s="126">
        <v>82.2</v>
      </c>
      <c r="C46" s="77">
        <v>7.7326343399999997E-2</v>
      </c>
      <c r="D46" s="15">
        <v>75.400000000000006</v>
      </c>
      <c r="E46" s="32">
        <f t="shared" si="14"/>
        <v>-8.2725060827250577E-2</v>
      </c>
      <c r="F46" s="18">
        <f>IF(ISNUMBER(D46), $B64 * E46, "")</f>
        <v>-8272.5060827250581</v>
      </c>
      <c r="G46" s="31">
        <v>73.5</v>
      </c>
      <c r="H46" s="32">
        <f t="shared" si="15"/>
        <v>-0.1058394160583942</v>
      </c>
      <c r="I46" s="101">
        <f>IF(ISNUMBER(G46), $B64 * H46, "")</f>
        <v>-10583.94160583942</v>
      </c>
      <c r="J46" s="15">
        <v>74.3</v>
      </c>
      <c r="K46" s="32">
        <f t="shared" si="16"/>
        <v>-9.6107055961070623E-2</v>
      </c>
      <c r="L46" s="18">
        <f>IF(ISNUMBER(J46), $B64 * K46, "")</f>
        <v>-9610.7055961070619</v>
      </c>
      <c r="M46" s="31">
        <v>76</v>
      </c>
      <c r="N46" s="32">
        <f t="shared" si="17"/>
        <v>-7.542579075425794E-2</v>
      </c>
      <c r="O46" s="18">
        <f>IF(ISNUMBER(M46), $B64 * N46, "")</f>
        <v>-7542.5790754257941</v>
      </c>
      <c r="Q46" s="216"/>
      <c r="R46" s="216"/>
      <c r="S46" s="216"/>
    </row>
    <row r="47" spans="1:19" ht="17.25" customHeight="1" thickBot="1">
      <c r="A47" s="125" t="s">
        <v>188</v>
      </c>
      <c r="B47" s="126">
        <v>8.51</v>
      </c>
      <c r="C47" s="77">
        <v>3.27669903E-2</v>
      </c>
      <c r="D47" s="15">
        <v>8.23</v>
      </c>
      <c r="E47" s="32">
        <f t="shared" si="14"/>
        <v>-3.2902467685076306E-2</v>
      </c>
      <c r="F47" s="18">
        <f>IF(ISNUMBER(D47), $B64 * E47, "")</f>
        <v>-3290.2467685076308</v>
      </c>
      <c r="G47" s="31">
        <v>8.33</v>
      </c>
      <c r="H47" s="32">
        <f t="shared" si="15"/>
        <v>-2.115158636897764E-2</v>
      </c>
      <c r="I47" s="101">
        <f>IF(ISNUMBER(G47), $B64 * H47, "")</f>
        <v>-2115.1586368977642</v>
      </c>
      <c r="J47" s="15">
        <v>8.68</v>
      </c>
      <c r="K47" s="32">
        <f t="shared" si="16"/>
        <v>1.9976498237367794E-2</v>
      </c>
      <c r="L47" s="18">
        <f>IF(ISNUMBER(J47), $B64 * K47, "")</f>
        <v>1997.6498237367794</v>
      </c>
      <c r="M47" s="31">
        <v>8.76</v>
      </c>
      <c r="N47" s="32">
        <f t="shared" si="17"/>
        <v>2.9377203290246769E-2</v>
      </c>
      <c r="O47" s="18">
        <f>IF(ISNUMBER(M47), $B64 * N47, "")</f>
        <v>2937.7203290246771</v>
      </c>
      <c r="Q47" s="216"/>
      <c r="R47" s="216"/>
      <c r="S47" s="216"/>
    </row>
    <row r="48" spans="1:19" ht="17.25" customHeight="1" thickBot="1">
      <c r="A48" s="127" t="s">
        <v>200</v>
      </c>
      <c r="B48" s="128">
        <v>87.1</v>
      </c>
      <c r="C48" s="78">
        <v>2.8335301100000002E-2</v>
      </c>
      <c r="D48" s="20">
        <v>101</v>
      </c>
      <c r="E48" s="21">
        <f t="shared" si="14"/>
        <v>0.15958668197474174</v>
      </c>
      <c r="F48" s="22">
        <f>IF(ISNUMBER(D48), $B64 * E48, "")</f>
        <v>15958.668197474173</v>
      </c>
      <c r="G48" s="30">
        <v>96.5</v>
      </c>
      <c r="H48" s="21">
        <f t="shared" si="15"/>
        <v>0.10792192881745127</v>
      </c>
      <c r="I48" s="105">
        <f>IF(ISNUMBER(G48), $B64 * H48, "")</f>
        <v>10792.192881745128</v>
      </c>
      <c r="J48" s="20">
        <v>101</v>
      </c>
      <c r="K48" s="21">
        <f t="shared" si="16"/>
        <v>0.15958668197474174</v>
      </c>
      <c r="L48" s="22">
        <f>IF(ISNUMBER(J48), $B64 * K48, "")</f>
        <v>15958.668197474173</v>
      </c>
      <c r="M48" s="30">
        <v>99.8</v>
      </c>
      <c r="N48" s="21">
        <f t="shared" si="17"/>
        <v>0.14580941446613094</v>
      </c>
      <c r="O48" s="22">
        <f>IF(ISNUMBER(M48), $B64 * N48, "")</f>
        <v>14580.941446613093</v>
      </c>
      <c r="Q48" s="216"/>
      <c r="R48" s="216"/>
      <c r="S48" s="216"/>
    </row>
    <row r="49" spans="1:19" ht="17.25" customHeight="1" thickBot="1">
      <c r="A49" s="125" t="s">
        <v>241</v>
      </c>
      <c r="B49" s="129">
        <v>50.6</v>
      </c>
      <c r="C49" s="80">
        <v>7.9681274999999999E-3</v>
      </c>
      <c r="D49" s="106">
        <v>48.3</v>
      </c>
      <c r="E49" s="107">
        <f>IF(ISNUMBER(D49), (D49 - $B49) / $B49, "")</f>
        <v>-4.5454545454545539E-2</v>
      </c>
      <c r="F49" s="108">
        <f>IF(ISNUMBER(D49), $B64 * E49, "")</f>
        <v>-4545.4545454545541</v>
      </c>
      <c r="G49" s="109">
        <v>47.3</v>
      </c>
      <c r="H49" s="107">
        <f>IF(ISNUMBER(G49), (G49 - $B49) / $B49, "")</f>
        <v>-6.5217391304347908E-2</v>
      </c>
      <c r="I49" s="110">
        <f>IF(ISNUMBER(G49), $B64 * H49, "")</f>
        <v>-6521.7391304347912</v>
      </c>
      <c r="J49" s="106">
        <v>48.7</v>
      </c>
      <c r="K49" s="107">
        <f>IF(ISNUMBER(J49), (J49 - $B49) / $B49, "")</f>
        <v>-3.7549407114624477E-2</v>
      </c>
      <c r="L49" s="108">
        <f>IF(ISNUMBER(J49), $B64 * K49, "")</f>
        <v>-3754.9407114624478</v>
      </c>
      <c r="M49" s="109">
        <v>49.5</v>
      </c>
      <c r="N49" s="107">
        <f>IF(ISNUMBER(M49), (M49 - $B49) / $B49, "")</f>
        <v>-2.1739130434782636E-2</v>
      </c>
      <c r="O49" s="108">
        <f>IF(ISNUMBER(M49), $B64 * N49, "")</f>
        <v>-2173.9130434782637</v>
      </c>
      <c r="Q49" s="216"/>
      <c r="R49" s="216"/>
      <c r="S49" s="216"/>
    </row>
    <row r="50" spans="1:19" ht="17.25" customHeight="1" thickBot="1">
      <c r="A50" s="125" t="s">
        <v>208</v>
      </c>
      <c r="B50" s="126">
        <v>8.67</v>
      </c>
      <c r="C50" s="77">
        <v>6.9686410999999998E-3</v>
      </c>
      <c r="D50" s="15">
        <v>8.5500000000000007</v>
      </c>
      <c r="E50" s="32">
        <f t="shared" ref="E50:E53" si="18">IF(ISNUMBER(D50), (D50 - $B50) / $B50, "")</f>
        <v>-1.38408304498269E-2</v>
      </c>
      <c r="F50" s="18">
        <f>IF(ISNUMBER(D50), $B64 * E50, "")</f>
        <v>-1384.0830449826899</v>
      </c>
      <c r="G50" s="31">
        <v>8.77</v>
      </c>
      <c r="H50" s="32">
        <f t="shared" ref="H50:H53" si="19">IF(ISNUMBER(G50), (G50 - $B50) / $B50, "")</f>
        <v>1.1534025374855783E-2</v>
      </c>
      <c r="I50" s="101">
        <f>IF(ISNUMBER(G50), $B64 * H50, "")</f>
        <v>1153.4025374855783</v>
      </c>
      <c r="J50" s="15">
        <v>9.5399999999999991</v>
      </c>
      <c r="K50" s="32">
        <f t="shared" ref="K50:K53" si="20">IF(ISNUMBER(J50), (J50 - $B50) / $B50, "")</f>
        <v>0.10034602076124559</v>
      </c>
      <c r="L50" s="18">
        <f>IF(ISNUMBER(J50), $B64 * K50, "")</f>
        <v>10034.602076124558</v>
      </c>
      <c r="M50" s="31">
        <v>9.7100000000000009</v>
      </c>
      <c r="N50" s="32">
        <f t="shared" ref="N50:N53" si="21">IF(ISNUMBER(M50), (M50 - $B50) / $B50, "")</f>
        <v>0.11995386389850068</v>
      </c>
      <c r="O50" s="18">
        <f>IF(ISNUMBER(M50), $B64 * N50, "")</f>
        <v>11995.386389850068</v>
      </c>
      <c r="Q50" s="216"/>
      <c r="R50" s="216"/>
      <c r="S50" s="216"/>
    </row>
    <row r="51" spans="1:19" ht="17.25" customHeight="1" thickBot="1">
      <c r="A51" s="125" t="s">
        <v>204</v>
      </c>
      <c r="B51" s="126">
        <v>9.2799999999999994</v>
      </c>
      <c r="C51" s="77">
        <v>5.4171180999999999E-3</v>
      </c>
      <c r="D51" s="15">
        <v>10.1</v>
      </c>
      <c r="E51" s="32">
        <f t="shared" si="18"/>
        <v>8.8362068965517279E-2</v>
      </c>
      <c r="F51" s="18">
        <f>IF(ISNUMBER(D51), $B64 * E51, "")</f>
        <v>8836.2068965517283</v>
      </c>
      <c r="G51" s="31">
        <v>14.3</v>
      </c>
      <c r="H51" s="32">
        <f t="shared" si="19"/>
        <v>0.54094827586206917</v>
      </c>
      <c r="I51" s="101">
        <f>IF(ISNUMBER(G51), $B64 * H51, "")</f>
        <v>54094.82758620692</v>
      </c>
      <c r="J51" s="15">
        <v>12.7</v>
      </c>
      <c r="K51" s="32">
        <f t="shared" si="20"/>
        <v>0.36853448275862072</v>
      </c>
      <c r="L51" s="18">
        <f>IF(ISNUMBER(J51), $B64 * K51, "")</f>
        <v>36853.448275862072</v>
      </c>
      <c r="M51" s="31">
        <v>11.7</v>
      </c>
      <c r="N51" s="32">
        <f t="shared" si="21"/>
        <v>0.26077586206896552</v>
      </c>
      <c r="O51" s="18">
        <f>IF(ISNUMBER(M51), $B64 * N51, "")</f>
        <v>26077.586206896551</v>
      </c>
      <c r="Q51" s="216"/>
      <c r="R51" s="216"/>
      <c r="S51" s="216"/>
    </row>
    <row r="52" spans="1:19" ht="17.25" customHeight="1" thickBot="1">
      <c r="A52" s="125" t="s">
        <v>210</v>
      </c>
      <c r="B52" s="126">
        <v>8.2799999999999994</v>
      </c>
      <c r="C52" s="77">
        <v>2.4213074999999999E-3</v>
      </c>
      <c r="D52" s="15">
        <v>7.95</v>
      </c>
      <c r="E52" s="32">
        <f t="shared" si="18"/>
        <v>-3.9855072463768022E-2</v>
      </c>
      <c r="F52" s="18">
        <f>IF(ISNUMBER(D52), $B64 * E52, "")</f>
        <v>-3985.5072463768024</v>
      </c>
      <c r="G52" s="31">
        <v>8.0500000000000007</v>
      </c>
      <c r="H52" s="32">
        <f t="shared" si="19"/>
        <v>-2.7777777777777617E-2</v>
      </c>
      <c r="I52" s="101">
        <f>IF(ISNUMBER(G52), $B64 * H52, "")</f>
        <v>-2777.7777777777615</v>
      </c>
      <c r="J52" s="15">
        <v>8.5500000000000007</v>
      </c>
      <c r="K52" s="32">
        <f t="shared" si="20"/>
        <v>3.2608695652174079E-2</v>
      </c>
      <c r="L52" s="18">
        <f>IF(ISNUMBER(J52), $B64 * K52, "")</f>
        <v>3260.8695652174079</v>
      </c>
      <c r="M52" s="31">
        <v>8.6300000000000008</v>
      </c>
      <c r="N52" s="32">
        <f t="shared" si="21"/>
        <v>4.2270531400966357E-2</v>
      </c>
      <c r="O52" s="18">
        <f>IF(ISNUMBER(M52), $B64 * N52, "")</f>
        <v>4227.0531400966356</v>
      </c>
      <c r="Q52" s="33"/>
      <c r="R52" s="33"/>
    </row>
    <row r="53" spans="1:19" ht="17.25" customHeight="1" thickBot="1">
      <c r="A53" s="130" t="s">
        <v>178</v>
      </c>
      <c r="B53" s="131">
        <v>13.9</v>
      </c>
      <c r="C53" s="79">
        <v>-7.1428571000000003E-3</v>
      </c>
      <c r="D53" s="24">
        <v>14</v>
      </c>
      <c r="E53" s="25">
        <f t="shared" si="18"/>
        <v>7.1942446043165211E-3</v>
      </c>
      <c r="F53" s="104">
        <f>IF(ISNUMBER(D53), $B64 * E53, "")</f>
        <v>719.42446043165216</v>
      </c>
      <c r="G53" s="102">
        <v>14.2</v>
      </c>
      <c r="H53" s="25">
        <f t="shared" si="19"/>
        <v>2.1582733812949562E-2</v>
      </c>
      <c r="I53" s="103">
        <f>IF(ISNUMBER(G53), $B64 * H53, "")</f>
        <v>2158.2733812949564</v>
      </c>
      <c r="J53" s="24">
        <v>14.6</v>
      </c>
      <c r="K53" s="25">
        <f t="shared" si="20"/>
        <v>5.0359712230215778E-2</v>
      </c>
      <c r="L53" s="104">
        <f>IF(ISNUMBER(J53), $B64 * K53, "")</f>
        <v>5035.9712230215782</v>
      </c>
      <c r="M53" s="102">
        <v>14.8</v>
      </c>
      <c r="N53" s="25">
        <f t="shared" si="21"/>
        <v>6.4748201438848949E-2</v>
      </c>
      <c r="O53" s="104">
        <f>IF(ISNUMBER(M53), $B64 * N53, "")</f>
        <v>6474.8201438848946</v>
      </c>
      <c r="Q53" s="217"/>
      <c r="R53" s="218"/>
      <c r="S53" s="219"/>
    </row>
    <row r="54" spans="1:19" ht="17.25" customHeight="1">
      <c r="A54" s="123" t="s">
        <v>235</v>
      </c>
      <c r="B54" s="124">
        <v>48.3</v>
      </c>
      <c r="C54" s="76">
        <v>-8.2135524000000008E-3</v>
      </c>
      <c r="D54" s="13">
        <v>48.5</v>
      </c>
      <c r="E54" s="14">
        <f>IF(ISNUMBER(D54), (D54 - $B54) / $B54, "")</f>
        <v>4.1407867494824609E-3</v>
      </c>
      <c r="F54" s="16">
        <f>IF(ISNUMBER(D54), $B64 * E54, "")</f>
        <v>414.07867494824609</v>
      </c>
      <c r="G54" s="29">
        <v>48.1</v>
      </c>
      <c r="H54" s="14">
        <f>IF(ISNUMBER(G54), (G54 - $B54) / $B54, "")</f>
        <v>-4.1407867494823135E-3</v>
      </c>
      <c r="I54" s="100">
        <f>IF(ISNUMBER(G54), $B64 * H54, "")</f>
        <v>-414.07867494823137</v>
      </c>
      <c r="J54" s="13">
        <v>50.6</v>
      </c>
      <c r="K54" s="14">
        <f>IF(ISNUMBER(J54), (J54 - $B54) / $B54, "")</f>
        <v>4.7619047619047714E-2</v>
      </c>
      <c r="L54" s="16">
        <f>IF(ISNUMBER(J54), $B64 * K54, "")</f>
        <v>4761.9047619047715</v>
      </c>
      <c r="M54" s="29">
        <v>51.1</v>
      </c>
      <c r="N54" s="14">
        <f>IF(ISNUMBER(M54), (M54 - $B54) / $B54, "")</f>
        <v>5.7971014492753714E-2</v>
      </c>
      <c r="O54" s="16">
        <f>IF(ISNUMBER(M54), $B64 * N54, "")</f>
        <v>5797.1014492753711</v>
      </c>
      <c r="Q54" s="220"/>
      <c r="R54" s="221"/>
      <c r="S54" s="222"/>
    </row>
    <row r="55" spans="1:19" ht="17.25" customHeight="1" thickBot="1">
      <c r="A55" s="125" t="s">
        <v>150</v>
      </c>
      <c r="B55" s="126">
        <v>8.1300000000000008</v>
      </c>
      <c r="C55" s="77">
        <v>-1.69286578E-2</v>
      </c>
      <c r="D55" s="15">
        <v>8.15</v>
      </c>
      <c r="E55" s="32">
        <f t="shared" ref="E55:E58" si="22">IF(ISNUMBER(D55), (D55 - $B55) / $B55, "")</f>
        <v>2.4600246002459496E-3</v>
      </c>
      <c r="F55" s="18">
        <f>IF(ISNUMBER(D55), $B64 * E55, "")</f>
        <v>246.00246002459497</v>
      </c>
      <c r="G55" s="31">
        <v>8.2799999999999994</v>
      </c>
      <c r="H55" s="32">
        <f t="shared" ref="H55:H58" si="23">IF(ISNUMBER(G55), (G55 - $B55) / $B55, "")</f>
        <v>1.8450184501844841E-2</v>
      </c>
      <c r="I55" s="101">
        <f>IF(ISNUMBER(G55), $B64 * H55, "")</f>
        <v>1845.0184501844842</v>
      </c>
      <c r="J55" s="15">
        <v>8.93</v>
      </c>
      <c r="K55" s="32">
        <f t="shared" ref="K55:K58" si="24">IF(ISNUMBER(J55), (J55 - $B55) / $B55, "")</f>
        <v>9.8400984009839959E-2</v>
      </c>
      <c r="L55" s="18">
        <f>IF(ISNUMBER(J55), $B64 * K55, "")</f>
        <v>9840.0984009839958</v>
      </c>
      <c r="M55" s="31">
        <v>8.91</v>
      </c>
      <c r="N55" s="32">
        <f t="shared" ref="N55:N58" si="25">IF(ISNUMBER(M55), (M55 - $B55) / $B55, "")</f>
        <v>9.5940959409594004E-2</v>
      </c>
      <c r="O55" s="18">
        <f>IF(ISNUMBER(M55), $B64 * N55, "")</f>
        <v>9594.0959409593997</v>
      </c>
      <c r="Q55" s="223"/>
      <c r="R55" s="224"/>
      <c r="S55" s="225"/>
    </row>
    <row r="56" spans="1:19" ht="17.25" customHeight="1" thickBot="1">
      <c r="A56" s="125" t="s">
        <v>202</v>
      </c>
      <c r="B56" s="126">
        <v>56.2</v>
      </c>
      <c r="C56" s="77">
        <v>-2.4305555600000001E-2</v>
      </c>
      <c r="D56" s="15">
        <v>55.4</v>
      </c>
      <c r="E56" s="32">
        <f t="shared" si="22"/>
        <v>-1.4234875444839933E-2</v>
      </c>
      <c r="F56" s="18">
        <f>IF(ISNUMBER(D56), $B64 * E56, "")</f>
        <v>-1423.4875444839934</v>
      </c>
      <c r="G56" s="31">
        <v>55.8</v>
      </c>
      <c r="H56" s="32">
        <f t="shared" si="23"/>
        <v>-7.1174377224200299E-3</v>
      </c>
      <c r="I56" s="101">
        <f>IF(ISNUMBER(G56), $B64 * H56, "")</f>
        <v>-711.74377224200305</v>
      </c>
      <c r="J56" s="15">
        <v>55.9</v>
      </c>
      <c r="K56" s="32">
        <f t="shared" si="24"/>
        <v>-5.3380782918150222E-3</v>
      </c>
      <c r="L56" s="18">
        <f>IF(ISNUMBER(J56), $B64 * K56, "")</f>
        <v>-533.80782918150226</v>
      </c>
      <c r="M56" s="31">
        <v>56.3</v>
      </c>
      <c r="N56" s="32">
        <f t="shared" si="25"/>
        <v>1.7793594306048811E-3</v>
      </c>
      <c r="O56" s="18">
        <f>IF(ISNUMBER(M56), $B64 * N56, "")</f>
        <v>177.93594306048811</v>
      </c>
      <c r="Q56" s="216"/>
      <c r="R56" s="216"/>
      <c r="S56" s="216"/>
    </row>
    <row r="57" spans="1:19" ht="17.25" customHeight="1" thickBot="1">
      <c r="A57" s="125" t="s">
        <v>72</v>
      </c>
      <c r="B57" s="126">
        <v>16.8</v>
      </c>
      <c r="C57" s="77">
        <v>-2.89017341E-2</v>
      </c>
      <c r="D57" s="15">
        <v>26.1</v>
      </c>
      <c r="E57" s="32">
        <f t="shared" si="22"/>
        <v>0.5535714285714286</v>
      </c>
      <c r="F57" s="18">
        <f>IF(ISNUMBER(D57), $B64 * E57, "")</f>
        <v>55357.142857142862</v>
      </c>
      <c r="G57" s="31">
        <v>21</v>
      </c>
      <c r="H57" s="32">
        <f t="shared" si="23"/>
        <v>0.24999999999999994</v>
      </c>
      <c r="I57" s="101">
        <f>IF(ISNUMBER(G57), $B64 * H57, "")</f>
        <v>24999.999999999993</v>
      </c>
      <c r="J57" s="15">
        <v>20.8</v>
      </c>
      <c r="K57" s="32">
        <f t="shared" si="24"/>
        <v>0.23809523809523808</v>
      </c>
      <c r="L57" s="18">
        <f>IF(ISNUMBER(J57), $B64 * K57, "")</f>
        <v>23809.523809523809</v>
      </c>
      <c r="M57" s="31">
        <v>20.399999999999999</v>
      </c>
      <c r="N57" s="32">
        <f t="shared" si="25"/>
        <v>0.21428571428571416</v>
      </c>
      <c r="O57" s="18">
        <f>IF(ISNUMBER(M57), $B64 * N57, "")</f>
        <v>21428.571428571417</v>
      </c>
      <c r="Q57" s="226"/>
      <c r="R57" s="226"/>
      <c r="S57" s="226"/>
    </row>
    <row r="58" spans="1:19" ht="17.25" customHeight="1" thickBot="1">
      <c r="A58" s="127" t="s">
        <v>148</v>
      </c>
      <c r="B58" s="128">
        <v>15</v>
      </c>
      <c r="C58" s="78">
        <v>-3.2258064500000003E-2</v>
      </c>
      <c r="D58" s="20">
        <v>14.9</v>
      </c>
      <c r="E58" s="21">
        <f t="shared" si="22"/>
        <v>-6.6666666666666428E-3</v>
      </c>
      <c r="F58" s="22">
        <f>IF(ISNUMBER(D58), $B64 * E58, "")</f>
        <v>-666.66666666666424</v>
      </c>
      <c r="G58" s="30">
        <v>14.6</v>
      </c>
      <c r="H58" s="21">
        <f t="shared" si="23"/>
        <v>-2.6666666666666689E-2</v>
      </c>
      <c r="I58" s="105">
        <f>IF(ISNUMBER(G58), $B64 * H58, "")</f>
        <v>-2666.6666666666688</v>
      </c>
      <c r="J58" s="20">
        <v>14.6</v>
      </c>
      <c r="K58" s="21">
        <f t="shared" si="24"/>
        <v>-2.6666666666666689E-2</v>
      </c>
      <c r="L58" s="22">
        <f>IF(ISNUMBER(J58), $B64 * K58, "")</f>
        <v>-2666.6666666666688</v>
      </c>
      <c r="M58" s="30">
        <v>14.9</v>
      </c>
      <c r="N58" s="21">
        <f t="shared" si="25"/>
        <v>-6.6666666666666428E-3</v>
      </c>
      <c r="O58" s="22">
        <f>IF(ISNUMBER(M58), $B64 * N58, "")</f>
        <v>-666.66666666666424</v>
      </c>
      <c r="Q58" s="226"/>
      <c r="R58" s="226"/>
      <c r="S58" s="226"/>
    </row>
    <row r="59" spans="1:19" ht="17.25" customHeight="1" thickBot="1">
      <c r="A59" s="125" t="s">
        <v>218</v>
      </c>
      <c r="B59" s="129">
        <v>85.5</v>
      </c>
      <c r="C59" s="80">
        <v>-3.3898305099999998E-2</v>
      </c>
      <c r="D59" s="106">
        <v>86.4</v>
      </c>
      <c r="E59" s="107">
        <f>IF(ISNUMBER(D59), (D59 - $B59) / $B59, "")</f>
        <v>1.052631578947375E-2</v>
      </c>
      <c r="F59" s="108">
        <f>IF(ISNUMBER(D59), $B64 * E59, "")</f>
        <v>1052.6315789473749</v>
      </c>
      <c r="G59" s="109">
        <v>85.8</v>
      </c>
      <c r="H59" s="107">
        <f>IF(ISNUMBER(G59), (G59 - $B59) / $B59, "")</f>
        <v>3.5087719298245281E-3</v>
      </c>
      <c r="I59" s="110">
        <f>IF(ISNUMBER(G59), $B64 * H59, "")</f>
        <v>350.87719298245281</v>
      </c>
      <c r="J59" s="106">
        <v>87.1</v>
      </c>
      <c r="K59" s="107">
        <f>IF(ISNUMBER(J59), (J59 - $B59) / $B59, "")</f>
        <v>1.8713450292397595E-2</v>
      </c>
      <c r="L59" s="108">
        <f>IF(ISNUMBER(J59), $B64 * K59, "")</f>
        <v>1871.3450292397595</v>
      </c>
      <c r="M59" s="109">
        <v>91.2</v>
      </c>
      <c r="N59" s="107">
        <f>IF(ISNUMBER(M59), (M59 - $B59) / $B59, "")</f>
        <v>6.6666666666666693E-2</v>
      </c>
      <c r="O59" s="108">
        <f>IF(ISNUMBER(M59), $B64 * N59, "")</f>
        <v>6666.6666666666697</v>
      </c>
      <c r="Q59" s="216"/>
      <c r="R59" s="216"/>
      <c r="S59" s="216"/>
    </row>
    <row r="60" spans="1:19" ht="17.25" customHeight="1" thickBot="1">
      <c r="A60" s="125" t="s">
        <v>190</v>
      </c>
      <c r="B60" s="126">
        <v>13.6</v>
      </c>
      <c r="C60" s="77">
        <v>-3.5460992900000002E-2</v>
      </c>
      <c r="D60" s="15">
        <v>13.6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14.6</v>
      </c>
      <c r="H60" s="32">
        <f t="shared" ref="H60:H63" si="27">IF(ISNUMBER(G60), (G60 - $B60) / $B60, "")</f>
        <v>7.3529411764705885E-2</v>
      </c>
      <c r="I60" s="101">
        <f>IF(ISNUMBER(G60), $B64 * H60, "")</f>
        <v>7352.9411764705883</v>
      </c>
      <c r="J60" s="15">
        <v>14.9</v>
      </c>
      <c r="K60" s="32">
        <f t="shared" ref="K60:K63" si="28">IF(ISNUMBER(J60), (J60 - $B60) / $B60, "")</f>
        <v>9.5588235294117696E-2</v>
      </c>
      <c r="L60" s="18">
        <f>IF(ISNUMBER(J60), $B64 * K60, "")</f>
        <v>9558.8235294117694</v>
      </c>
      <c r="M60" s="31">
        <v>14.6</v>
      </c>
      <c r="N60" s="32">
        <f t="shared" ref="N60:N63" si="29">IF(ISNUMBER(M60), (M60 - $B60) / $B60, "")</f>
        <v>7.3529411764705885E-2</v>
      </c>
      <c r="O60" s="18">
        <f>IF(ISNUMBER(M60), $B64 * N60, "")</f>
        <v>7352.9411764705883</v>
      </c>
      <c r="Q60" s="216"/>
      <c r="R60" s="216"/>
      <c r="S60" s="216"/>
    </row>
    <row r="61" spans="1:19" ht="17.25" customHeight="1" thickBot="1">
      <c r="A61" s="125" t="s">
        <v>98</v>
      </c>
      <c r="B61" s="126">
        <v>3.12</v>
      </c>
      <c r="C61" s="77">
        <v>-3.7037037000000002E-2</v>
      </c>
      <c r="D61" s="15">
        <v>3.04</v>
      </c>
      <c r="E61" s="32">
        <f t="shared" si="26"/>
        <v>-2.5641025641025664E-2</v>
      </c>
      <c r="F61" s="18">
        <f>IF(ISNUMBER(D61), $B64 * E61, "")</f>
        <v>-2564.1025641025662</v>
      </c>
      <c r="G61" s="31">
        <v>3.01</v>
      </c>
      <c r="H61" s="32">
        <f t="shared" si="27"/>
        <v>-3.525641025641036E-2</v>
      </c>
      <c r="I61" s="101">
        <f>IF(ISNUMBER(G61), $B64 * H61, "")</f>
        <v>-3525.6410256410359</v>
      </c>
      <c r="J61" s="15">
        <v>3.03</v>
      </c>
      <c r="K61" s="32">
        <f t="shared" si="28"/>
        <v>-2.8846153846153941E-2</v>
      </c>
      <c r="L61" s="18">
        <f>IF(ISNUMBER(J61), $B64 * K61, "")</f>
        <v>-2884.6153846153943</v>
      </c>
      <c r="M61" s="31">
        <v>3.06</v>
      </c>
      <c r="N61" s="32">
        <f t="shared" si="29"/>
        <v>-1.9230769230769246E-2</v>
      </c>
      <c r="O61" s="18">
        <f>IF(ISNUMBER(M61), $B64 * N61, "")</f>
        <v>-1923.0769230769245</v>
      </c>
      <c r="Q61" s="216"/>
      <c r="R61" s="216"/>
      <c r="S61" s="216"/>
    </row>
    <row r="62" spans="1:19" ht="17.25" customHeight="1">
      <c r="A62" s="125" t="s">
        <v>152</v>
      </c>
      <c r="B62" s="126">
        <v>76</v>
      </c>
      <c r="C62" s="77">
        <v>-4.0404040400000001E-2</v>
      </c>
      <c r="D62" s="15">
        <v>74.8</v>
      </c>
      <c r="E62" s="32">
        <f t="shared" si="26"/>
        <v>-1.5789473684210565E-2</v>
      </c>
      <c r="F62" s="18">
        <f>IF(ISNUMBER(D62), $B64 * E62, "")</f>
        <v>-1578.9473684210566</v>
      </c>
      <c r="G62" s="31">
        <v>74.8</v>
      </c>
      <c r="H62" s="32">
        <f t="shared" si="27"/>
        <v>-1.5789473684210565E-2</v>
      </c>
      <c r="I62" s="101">
        <f>IF(ISNUMBER(G62), $B64 * H62, "")</f>
        <v>-1578.9473684210566</v>
      </c>
      <c r="J62" s="15">
        <v>75.3</v>
      </c>
      <c r="K62" s="32">
        <f t="shared" si="28"/>
        <v>-9.210526315789511E-3</v>
      </c>
      <c r="L62" s="18">
        <f>IF(ISNUMBER(J62), $B64 * K62, "")</f>
        <v>-921.05263157895115</v>
      </c>
      <c r="M62" s="31">
        <v>76</v>
      </c>
      <c r="N62" s="32">
        <f t="shared" si="29"/>
        <v>0</v>
      </c>
      <c r="O62" s="18">
        <f>IF(ISNUMBER(M62), $B64 * N62, "")</f>
        <v>0</v>
      </c>
      <c r="Q62" s="205"/>
      <c r="R62" s="206"/>
      <c r="S62" s="207"/>
    </row>
    <row r="63" spans="1:19" ht="17.25" customHeight="1" thickBot="1">
      <c r="A63" s="130" t="s">
        <v>239</v>
      </c>
      <c r="B63" s="131">
        <v>64.5</v>
      </c>
      <c r="C63" s="79">
        <v>-4.1604754799999998E-2</v>
      </c>
      <c r="D63" s="24">
        <v>77.900000000000006</v>
      </c>
      <c r="E63" s="25">
        <f t="shared" si="26"/>
        <v>0.2077519379844962</v>
      </c>
      <c r="F63" s="104">
        <f>IF(ISNUMBER(D63), $B64 * E63, "")</f>
        <v>20775.193798449622</v>
      </c>
      <c r="G63" s="102">
        <v>83.3</v>
      </c>
      <c r="H63" s="25">
        <f t="shared" si="27"/>
        <v>0.2914728682170542</v>
      </c>
      <c r="I63" s="103">
        <f>IF(ISNUMBER(G63), $B64 * H63, "")</f>
        <v>29147.28682170542</v>
      </c>
      <c r="J63" s="24">
        <v>91.5</v>
      </c>
      <c r="K63" s="25">
        <f t="shared" si="28"/>
        <v>0.41860465116279072</v>
      </c>
      <c r="L63" s="104">
        <f>IF(ISNUMBER(J63), $B64 * K63, "")</f>
        <v>41860.465116279069</v>
      </c>
      <c r="M63" s="102">
        <v>80.400000000000006</v>
      </c>
      <c r="N63" s="25">
        <f t="shared" si="29"/>
        <v>0.24651162790697684</v>
      </c>
      <c r="O63" s="104">
        <f>IF(ISNUMBER(M63), $B64 * N63, "")</f>
        <v>24651.162790697683</v>
      </c>
      <c r="Q63" s="208"/>
      <c r="R63" s="209"/>
      <c r="S63" s="210"/>
    </row>
    <row r="64" spans="1:19" ht="17.25" customHeight="1" thickBot="1">
      <c r="A64" s="132" t="s">
        <v>271</v>
      </c>
      <c r="B64" s="269">
        <f>$B$37</f>
        <v>100000</v>
      </c>
      <c r="C64" s="270"/>
      <c r="D64" s="26" t="s">
        <v>272</v>
      </c>
      <c r="E64" s="27">
        <f>IF(COUNT(E44:E63), SUM(E44:E63) / COUNT(E44:E63), 0)</f>
        <v>3.7194386850764163E-2</v>
      </c>
      <c r="F64" s="28">
        <f>SUM(F44:F63)</f>
        <v>74388.77370152832</v>
      </c>
      <c r="G64" s="26" t="s">
        <v>272</v>
      </c>
      <c r="H64" s="27">
        <f>IF(COUNT(H44:H63), SUM(H44:H63) / COUNT(H44:H63), 0)</f>
        <v>4.8885800210185189E-2</v>
      </c>
      <c r="I64" s="28">
        <f>SUM(I44:I63)</f>
        <v>97771.600420370392</v>
      </c>
      <c r="J64" s="26" t="s">
        <v>272</v>
      </c>
      <c r="K64" s="27">
        <f>IF(COUNT(K44:K63), SUM(K44:K63) / COUNT(K44:K63), 0)</f>
        <v>7.3295984177728354E-2</v>
      </c>
      <c r="L64" s="28">
        <f>SUM(L44:L63)</f>
        <v>146591.96835545672</v>
      </c>
      <c r="M64" s="26" t="s">
        <v>272</v>
      </c>
      <c r="N64" s="27">
        <f>IF(COUNT(N44:N63), SUM(N44:N63) / COUNT(N44:N63), 0)</f>
        <v>6.6157335451991414E-2</v>
      </c>
      <c r="O64" s="28">
        <f>SUM(O44:O63)</f>
        <v>132314.6709039828</v>
      </c>
      <c r="Q64" s="211"/>
      <c r="R64" s="212"/>
      <c r="S64" s="213"/>
    </row>
    <row r="65" spans="1:19" ht="17.25" customHeight="1"/>
    <row r="66" spans="1:19" ht="17.25" customHeight="1" thickBot="1"/>
    <row r="67" spans="1:19" ht="17.25" thickBot="1">
      <c r="A67" s="227" t="s">
        <v>45</v>
      </c>
      <c r="B67" s="228"/>
      <c r="C67" s="228"/>
      <c r="D67" s="228"/>
      <c r="E67" s="228"/>
      <c r="F67" s="228"/>
      <c r="G67" s="228"/>
      <c r="H67" s="228"/>
      <c r="I67" s="228"/>
      <c r="J67" s="228"/>
      <c r="K67" s="228"/>
      <c r="L67" s="228"/>
      <c r="M67" s="228"/>
      <c r="N67" s="228"/>
      <c r="O67" s="229"/>
      <c r="Q67" s="226"/>
      <c r="R67" s="226"/>
      <c r="S67" s="226"/>
    </row>
    <row r="68" spans="1:19" ht="17.25" thickBot="1">
      <c r="A68" s="161" t="s">
        <v>268</v>
      </c>
      <c r="B68" s="227" t="s">
        <v>49</v>
      </c>
      <c r="C68" s="229"/>
      <c r="D68" s="227" t="s">
        <v>58</v>
      </c>
      <c r="E68" s="228"/>
      <c r="F68" s="229"/>
      <c r="G68" s="230">
        <f>_xlfn.IFNA(VLOOKUP(B68, 현재가테이블!$B$2:$D$200, 2, FALSE), "-")</f>
        <v>39916000</v>
      </c>
      <c r="H68" s="231"/>
      <c r="I68" s="232"/>
      <c r="J68" s="227" t="s">
        <v>59</v>
      </c>
      <c r="K68" s="228"/>
      <c r="L68" s="229"/>
      <c r="M68" s="233">
        <f>_xlfn.IFNA(VLOOKUP(B68, 현재가테이블!$B$2:$D$200, 3, FALSE), "-")</f>
        <v>7.3184273000000003E-3</v>
      </c>
      <c r="N68" s="234"/>
      <c r="O68" s="235"/>
      <c r="Q68" s="226"/>
      <c r="R68" s="226"/>
      <c r="S68" s="226"/>
    </row>
    <row r="69" spans="1:19" ht="17.25" thickBot="1">
      <c r="A69" s="271" t="s">
        <v>55</v>
      </c>
      <c r="B69" s="267" t="str">
        <f>TEXT($G$1, "[$-ko-KR]yyyy-mm-dd(ddd) ") &amp; "오전 00:00"</f>
        <v>2021-07-02(금) 오전 00:00</v>
      </c>
      <c r="C69" s="268"/>
      <c r="D69" s="240" t="str">
        <f>TEXT($G$1, "[$-ko-KR]yyyy-mm-dd(ddd) ") &amp; "오후 14:00"</f>
        <v>2021-07-02(금) 오후 14:00</v>
      </c>
      <c r="E69" s="241"/>
      <c r="F69" s="242"/>
      <c r="G69" s="240" t="str">
        <f>TEXT($G$1, "[$-ko-KR]yyyy-mm-dd(ddd) ") &amp; "오후 19:00"</f>
        <v>2021-07-02(금) 오후 19:00</v>
      </c>
      <c r="H69" s="241"/>
      <c r="I69" s="242"/>
      <c r="J69" s="240" t="str">
        <f>TEXT($G$1, "[$-ko-KR]yyyy-mm-dd(ddd) ") &amp; "오후 21:00"</f>
        <v>2021-07-02(금) 오후 21:00</v>
      </c>
      <c r="K69" s="241"/>
      <c r="L69" s="242"/>
      <c r="M69" s="240" t="str">
        <f>TEXT($G$1+1, "[$-ko-KR]yyyy-mm-dd(ddd) ") &amp; "오전 00:00"</f>
        <v>2021-07-03(토) 오전 00:00</v>
      </c>
      <c r="N69" s="241"/>
      <c r="O69" s="242"/>
      <c r="Q69" s="226"/>
      <c r="R69" s="226"/>
      <c r="S69" s="226"/>
    </row>
    <row r="70" spans="1:19" ht="17.25" thickBot="1">
      <c r="A70" s="27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2" t="s">
        <v>58</v>
      </c>
      <c r="H70" s="163" t="s">
        <v>269</v>
      </c>
      <c r="I70" s="16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6"/>
      <c r="R70" s="216"/>
      <c r="S70" s="216"/>
    </row>
    <row r="71" spans="1:19" ht="17.25" thickBot="1">
      <c r="A71" s="123" t="s">
        <v>192</v>
      </c>
      <c r="B71" s="124">
        <v>266</v>
      </c>
      <c r="C71" s="76">
        <v>0.59281437130000003</v>
      </c>
      <c r="D71" s="13">
        <v>179</v>
      </c>
      <c r="E71" s="14">
        <f>IF(ISNUMBER(D71), (D71 - $B71) / $B71, "")</f>
        <v>-0.32706766917293234</v>
      </c>
      <c r="F71" s="16">
        <f>IF(ISNUMBER(D71), $B91 * E71, "")</f>
        <v>-32706.766917293233</v>
      </c>
      <c r="G71" s="29">
        <v>172</v>
      </c>
      <c r="H71" s="14">
        <f>IF(ISNUMBER(G71), (G71 - $B71) / $B71, "")</f>
        <v>-0.35338345864661652</v>
      </c>
      <c r="I71" s="100">
        <f>IF(ISNUMBER(G71), $B91 * H71, "")</f>
        <v>-35338.345864661649</v>
      </c>
      <c r="J71" s="13">
        <v>177</v>
      </c>
      <c r="K71" s="14">
        <f>IF(ISNUMBER(J71), (J71 - $B71) / $B71, "")</f>
        <v>-0.33458646616541354</v>
      </c>
      <c r="L71" s="16">
        <f>IF(ISNUMBER(J71), $B91 * K71, "")</f>
        <v>-33458.646616541351</v>
      </c>
      <c r="M71" s="29">
        <v>179</v>
      </c>
      <c r="N71" s="14">
        <f>IF(ISNUMBER(M71), (M71 - $B71) / $B71, "")</f>
        <v>-0.32706766917293234</v>
      </c>
      <c r="O71" s="16">
        <f>IF(ISNUMBER(M71), $B91 * N71, "")</f>
        <v>-32706.766917293233</v>
      </c>
      <c r="Q71" s="226"/>
      <c r="R71" s="226"/>
      <c r="S71" s="226"/>
    </row>
    <row r="72" spans="1:19" ht="17.25" thickBot="1">
      <c r="A72" s="125" t="s">
        <v>164</v>
      </c>
      <c r="B72" s="126">
        <v>309</v>
      </c>
      <c r="C72" s="77">
        <v>0.3434782609</v>
      </c>
      <c r="D72" s="15">
        <v>228</v>
      </c>
      <c r="E72" s="32">
        <f t="shared" ref="E72:E75" si="30">IF(ISNUMBER(D72), (D72 - $B72) / $B72, "")</f>
        <v>-0.26213592233009708</v>
      </c>
      <c r="F72" s="18">
        <f>IF(ISNUMBER(D72), $B91 * E72, "")</f>
        <v>-26213.592233009709</v>
      </c>
      <c r="G72" s="31">
        <v>222</v>
      </c>
      <c r="H72" s="32">
        <f t="shared" ref="H72:H75" si="31">IF(ISNUMBER(G72), (G72 - $B72) / $B72, "")</f>
        <v>-0.28155339805825241</v>
      </c>
      <c r="I72" s="101">
        <f>IF(ISNUMBER(G72), $B91 * H72, "")</f>
        <v>-28155.339805825242</v>
      </c>
      <c r="J72" s="15">
        <v>224</v>
      </c>
      <c r="K72" s="32">
        <f t="shared" ref="K72:K75" si="32">IF(ISNUMBER(J72), (J72 - $B72) / $B72, "")</f>
        <v>-0.27508090614886732</v>
      </c>
      <c r="L72" s="18">
        <f>IF(ISNUMBER(J72), $B91 * K72, "")</f>
        <v>-27508.090614886733</v>
      </c>
      <c r="M72" s="31">
        <v>229</v>
      </c>
      <c r="N72" s="32">
        <f t="shared" ref="N72:N75" si="33">IF(ISNUMBER(M72), (M72 - $B72) / $B72, "")</f>
        <v>-0.25889967637540451</v>
      </c>
      <c r="O72" s="18">
        <f>IF(ISNUMBER(M72), $B91 * N72, "")</f>
        <v>-25889.967637540452</v>
      </c>
      <c r="Q72" s="226"/>
      <c r="R72" s="226"/>
      <c r="S72" s="226"/>
    </row>
    <row r="73" spans="1:19" ht="17.25" thickBot="1">
      <c r="A73" s="125" t="s">
        <v>255</v>
      </c>
      <c r="B73" s="126">
        <v>206</v>
      </c>
      <c r="C73" s="77">
        <v>0.13186813189999999</v>
      </c>
      <c r="D73" s="15">
        <v>183</v>
      </c>
      <c r="E73" s="32">
        <f t="shared" si="30"/>
        <v>-0.11165048543689321</v>
      </c>
      <c r="F73" s="18">
        <f>IF(ISNUMBER(D73), $B91 * E73, "")</f>
        <v>-11165.048543689321</v>
      </c>
      <c r="G73" s="31">
        <v>180</v>
      </c>
      <c r="H73" s="32">
        <f t="shared" si="31"/>
        <v>-0.12621359223300971</v>
      </c>
      <c r="I73" s="101">
        <f>IF(ISNUMBER(G73), $B91 * H73, "")</f>
        <v>-12621.359223300971</v>
      </c>
      <c r="J73" s="15">
        <v>183</v>
      </c>
      <c r="K73" s="32">
        <f t="shared" si="32"/>
        <v>-0.11165048543689321</v>
      </c>
      <c r="L73" s="18">
        <f>IF(ISNUMBER(J73), $B91 * K73, "")</f>
        <v>-11165.048543689321</v>
      </c>
      <c r="M73" s="31">
        <v>188</v>
      </c>
      <c r="N73" s="32">
        <f t="shared" si="33"/>
        <v>-8.7378640776699032E-2</v>
      </c>
      <c r="O73" s="18">
        <f>IF(ISNUMBER(M73), $B91 * N73, "")</f>
        <v>-8737.8640776699031</v>
      </c>
      <c r="Q73" s="216"/>
      <c r="R73" s="216"/>
      <c r="S73" s="216"/>
    </row>
    <row r="74" spans="1:19" ht="17.25" thickBot="1">
      <c r="A74" s="125" t="s">
        <v>194</v>
      </c>
      <c r="B74" s="126">
        <v>124</v>
      </c>
      <c r="C74" s="77">
        <v>9.7345132700000003E-2</v>
      </c>
      <c r="D74" s="15">
        <v>119</v>
      </c>
      <c r="E74" s="32">
        <f t="shared" si="30"/>
        <v>-4.0322580645161289E-2</v>
      </c>
      <c r="F74" s="18">
        <f>IF(ISNUMBER(D74), $B91 * E74, "")</f>
        <v>-4032.2580645161288</v>
      </c>
      <c r="G74" s="31">
        <v>115</v>
      </c>
      <c r="H74" s="32">
        <f t="shared" si="31"/>
        <v>-7.2580645161290328E-2</v>
      </c>
      <c r="I74" s="101">
        <f>IF(ISNUMBER(G74), $B91 * H74, "")</f>
        <v>-7258.0645161290331</v>
      </c>
      <c r="J74" s="15">
        <v>117</v>
      </c>
      <c r="K74" s="32">
        <f t="shared" si="32"/>
        <v>-5.6451612903225805E-2</v>
      </c>
      <c r="L74" s="18">
        <f>IF(ISNUMBER(J74), $B91 * K74, "")</f>
        <v>-5645.1612903225805</v>
      </c>
      <c r="M74" s="31">
        <v>119</v>
      </c>
      <c r="N74" s="32">
        <f t="shared" si="33"/>
        <v>-4.0322580645161289E-2</v>
      </c>
      <c r="O74" s="18">
        <f>IF(ISNUMBER(M74), $B91 * N74, "")</f>
        <v>-4032.2580645161288</v>
      </c>
      <c r="Q74" s="216"/>
      <c r="R74" s="216"/>
      <c r="S74" s="216"/>
    </row>
    <row r="75" spans="1:19" ht="17.25" thickBot="1">
      <c r="A75" s="127" t="s">
        <v>110</v>
      </c>
      <c r="B75" s="128">
        <v>108</v>
      </c>
      <c r="C75" s="78">
        <v>4.8543689299999998E-2</v>
      </c>
      <c r="D75" s="20">
        <v>101</v>
      </c>
      <c r="E75" s="21">
        <f t="shared" si="30"/>
        <v>-6.4814814814814811E-2</v>
      </c>
      <c r="F75" s="22">
        <f>IF(ISNUMBER(D75), $B91 * E75, "")</f>
        <v>-6481.4814814814808</v>
      </c>
      <c r="G75" s="30">
        <v>102</v>
      </c>
      <c r="H75" s="21">
        <f t="shared" si="31"/>
        <v>-5.5555555555555552E-2</v>
      </c>
      <c r="I75" s="105">
        <f>IF(ISNUMBER(G75), $B91 * H75, "")</f>
        <v>-5555.5555555555557</v>
      </c>
      <c r="J75" s="20">
        <v>101</v>
      </c>
      <c r="K75" s="21">
        <f t="shared" si="32"/>
        <v>-6.4814814814814811E-2</v>
      </c>
      <c r="L75" s="22">
        <f>IF(ISNUMBER(J75), $B91 * K75, "")</f>
        <v>-6481.4814814814808</v>
      </c>
      <c r="M75" s="30">
        <v>103</v>
      </c>
      <c r="N75" s="21">
        <f t="shared" si="33"/>
        <v>-4.6296296296296294E-2</v>
      </c>
      <c r="O75" s="22">
        <f>IF(ISNUMBER(M75), $B91 * N75, "")</f>
        <v>-4629.6296296296296</v>
      </c>
      <c r="Q75" s="216"/>
      <c r="R75" s="216"/>
      <c r="S75" s="216"/>
    </row>
    <row r="76" spans="1:19" ht="17.25" thickBot="1">
      <c r="A76" s="125" t="s">
        <v>54</v>
      </c>
      <c r="B76" s="129">
        <v>237</v>
      </c>
      <c r="C76" s="80">
        <v>3.9473684199999998E-2</v>
      </c>
      <c r="D76" s="106">
        <v>227</v>
      </c>
      <c r="E76" s="107">
        <f>IF(ISNUMBER(D76), (D76 - $B76) / $B76, "")</f>
        <v>-4.2194092827004218E-2</v>
      </c>
      <c r="F76" s="108">
        <f>IF(ISNUMBER(D76), $B91 * E76, "")</f>
        <v>-4219.4092827004215</v>
      </c>
      <c r="G76" s="109">
        <v>220</v>
      </c>
      <c r="H76" s="107">
        <f>IF(ISNUMBER(G76), (G76 - $B76) / $B76, "")</f>
        <v>-7.1729957805907171E-2</v>
      </c>
      <c r="I76" s="110">
        <f>IF(ISNUMBER(G76), $B91 * H76, "")</f>
        <v>-7172.995780590717</v>
      </c>
      <c r="J76" s="106">
        <v>224</v>
      </c>
      <c r="K76" s="107">
        <f>IF(ISNUMBER(J76), (J76 - $B76) / $B76, "")</f>
        <v>-5.4852320675105488E-2</v>
      </c>
      <c r="L76" s="108">
        <f>IF(ISNUMBER(J76), $B91 * K76, "")</f>
        <v>-5485.2320675105484</v>
      </c>
      <c r="M76" s="109">
        <v>225</v>
      </c>
      <c r="N76" s="107">
        <f>IF(ISNUMBER(M76), (M76 - $B76) / $B76, "")</f>
        <v>-5.0632911392405063E-2</v>
      </c>
      <c r="O76" s="108">
        <f>IF(ISNUMBER(M76), $B91 * N76, "")</f>
        <v>-5063.2911392405058</v>
      </c>
      <c r="Q76" s="216"/>
      <c r="R76" s="216"/>
      <c r="S76" s="216"/>
    </row>
    <row r="77" spans="1:19" ht="17.25" thickBot="1">
      <c r="A77" s="125" t="s">
        <v>166</v>
      </c>
      <c r="B77" s="126">
        <v>108</v>
      </c>
      <c r="C77" s="77">
        <v>3.8461538500000003E-2</v>
      </c>
      <c r="D77" s="15">
        <v>104</v>
      </c>
      <c r="E77" s="32">
        <f t="shared" ref="E77:E80" si="34">IF(ISNUMBER(D77), (D77 - $B77) / $B77, "")</f>
        <v>-3.7037037037037035E-2</v>
      </c>
      <c r="F77" s="18">
        <f>IF(ISNUMBER(D77), $B91 * E77, "")</f>
        <v>-3703.7037037037035</v>
      </c>
      <c r="G77" s="31">
        <v>105</v>
      </c>
      <c r="H77" s="32">
        <f t="shared" ref="H77:H80" si="35">IF(ISNUMBER(G77), (G77 - $B77) / $B77, "")</f>
        <v>-2.7777777777777776E-2</v>
      </c>
      <c r="I77" s="101">
        <f>IF(ISNUMBER(G77), $B91 * H77, "")</f>
        <v>-2777.7777777777778</v>
      </c>
      <c r="J77" s="15">
        <v>105</v>
      </c>
      <c r="K77" s="32">
        <f t="shared" ref="K77:K80" si="36">IF(ISNUMBER(J77), (J77 - $B77) / $B77, "")</f>
        <v>-2.7777777777777776E-2</v>
      </c>
      <c r="L77" s="18">
        <f>IF(ISNUMBER(J77), $B91 * K77, "")</f>
        <v>-2777.7777777777778</v>
      </c>
      <c r="M77" s="31">
        <v>109</v>
      </c>
      <c r="N77" s="32">
        <f t="shared" ref="N77:N80" si="37">IF(ISNUMBER(M77), (M77 - $B77) / $B77, "")</f>
        <v>9.2592592592592587E-3</v>
      </c>
      <c r="O77" s="18">
        <f>IF(ISNUMBER(M77), $B91 * N77, "")</f>
        <v>925.92592592592587</v>
      </c>
      <c r="Q77" s="216"/>
      <c r="R77" s="216"/>
      <c r="S77" s="216"/>
    </row>
    <row r="78" spans="1:19" ht="17.25" thickBot="1">
      <c r="A78" s="125" t="s">
        <v>206</v>
      </c>
      <c r="B78" s="126">
        <v>217</v>
      </c>
      <c r="C78" s="77">
        <v>3.3333333299999997E-2</v>
      </c>
      <c r="D78" s="15">
        <v>209</v>
      </c>
      <c r="E78" s="32">
        <f t="shared" si="34"/>
        <v>-3.6866359447004608E-2</v>
      </c>
      <c r="F78" s="18">
        <f>IF(ISNUMBER(D78), $B91 * E78, "")</f>
        <v>-3686.6359447004606</v>
      </c>
      <c r="G78" s="31">
        <v>202</v>
      </c>
      <c r="H78" s="32">
        <f t="shared" si="35"/>
        <v>-6.9124423963133647E-2</v>
      </c>
      <c r="I78" s="101">
        <f>IF(ISNUMBER(G78), $B91 * H78, "")</f>
        <v>-6912.442396313365</v>
      </c>
      <c r="J78" s="15">
        <v>204</v>
      </c>
      <c r="K78" s="32">
        <f t="shared" si="36"/>
        <v>-5.9907834101382486E-2</v>
      </c>
      <c r="L78" s="18">
        <f>IF(ISNUMBER(J78), $B91 * K78, "")</f>
        <v>-5990.7834101382487</v>
      </c>
      <c r="M78" s="31">
        <v>211</v>
      </c>
      <c r="N78" s="32">
        <f t="shared" si="37"/>
        <v>-2.7649769585253458E-2</v>
      </c>
      <c r="O78" s="18">
        <f>IF(ISNUMBER(M78), $B91 * N78, "")</f>
        <v>-2764.9769585253457</v>
      </c>
      <c r="Q78" s="216"/>
      <c r="R78" s="216"/>
      <c r="S78" s="216"/>
    </row>
    <row r="79" spans="1:19" ht="17.25" thickBot="1">
      <c r="A79" s="125" t="s">
        <v>243</v>
      </c>
      <c r="B79" s="126">
        <v>359</v>
      </c>
      <c r="C79" s="77">
        <v>2.86532951E-2</v>
      </c>
      <c r="D79" s="15">
        <v>322</v>
      </c>
      <c r="E79" s="32">
        <f t="shared" si="34"/>
        <v>-0.10306406685236769</v>
      </c>
      <c r="F79" s="18">
        <f>IF(ISNUMBER(D79), $B91 * E79, "")</f>
        <v>-10306.406685236769</v>
      </c>
      <c r="G79" s="31">
        <v>321</v>
      </c>
      <c r="H79" s="32">
        <f t="shared" si="35"/>
        <v>-0.10584958217270195</v>
      </c>
      <c r="I79" s="101">
        <f>IF(ISNUMBER(G79), $B91 * H79, "")</f>
        <v>-10584.958217270194</v>
      </c>
      <c r="J79" s="15">
        <v>323</v>
      </c>
      <c r="K79" s="32">
        <f t="shared" si="36"/>
        <v>-0.10027855153203342</v>
      </c>
      <c r="L79" s="18">
        <f>IF(ISNUMBER(J79), $B91 * K79, "")</f>
        <v>-10027.855153203342</v>
      </c>
      <c r="M79" s="31">
        <v>332</v>
      </c>
      <c r="N79" s="32">
        <f t="shared" si="37"/>
        <v>-7.5208913649025072E-2</v>
      </c>
      <c r="O79" s="18">
        <f>IF(ISNUMBER(M79), $B91 * N79, "")</f>
        <v>-7520.8913649025071</v>
      </c>
      <c r="Q79" s="33"/>
      <c r="R79" s="33"/>
    </row>
    <row r="80" spans="1:19" ht="17.25" thickBot="1">
      <c r="A80" s="130" t="s">
        <v>114</v>
      </c>
      <c r="B80" s="131">
        <v>290</v>
      </c>
      <c r="C80" s="79">
        <v>2.1126760599999999E-2</v>
      </c>
      <c r="D80" s="24">
        <v>267</v>
      </c>
      <c r="E80" s="25">
        <f t="shared" si="34"/>
        <v>-7.9310344827586213E-2</v>
      </c>
      <c r="F80" s="104">
        <f>IF(ISNUMBER(D80), $B91 * E80, "")</f>
        <v>-7931.0344827586214</v>
      </c>
      <c r="G80" s="102">
        <v>263</v>
      </c>
      <c r="H80" s="25">
        <f t="shared" si="35"/>
        <v>-9.3103448275862075E-2</v>
      </c>
      <c r="I80" s="103">
        <f>IF(ISNUMBER(G80), $B91 * H80, "")</f>
        <v>-9310.3448275862083</v>
      </c>
      <c r="J80" s="24">
        <v>264</v>
      </c>
      <c r="K80" s="25">
        <f t="shared" si="36"/>
        <v>-8.9655172413793102E-2</v>
      </c>
      <c r="L80" s="104">
        <f>IF(ISNUMBER(J80), $B91 * K80, "")</f>
        <v>-8965.5172413793098</v>
      </c>
      <c r="M80" s="102">
        <v>270</v>
      </c>
      <c r="N80" s="25">
        <f t="shared" si="37"/>
        <v>-6.8965517241379309E-2</v>
      </c>
      <c r="O80" s="104">
        <f>IF(ISNUMBER(M80), $B91 * N80, "")</f>
        <v>-6896.5517241379312</v>
      </c>
      <c r="Q80" s="217"/>
      <c r="R80" s="218"/>
      <c r="S80" s="219"/>
    </row>
    <row r="81" spans="1:19">
      <c r="A81" s="123" t="s">
        <v>212</v>
      </c>
      <c r="B81" s="124">
        <v>949</v>
      </c>
      <c r="C81" s="76">
        <v>1.6059957199999999E-2</v>
      </c>
      <c r="D81" s="13">
        <v>921</v>
      </c>
      <c r="E81" s="14">
        <f>IF(ISNUMBER(D81), (D81 - $B81) / $B81, "")</f>
        <v>-2.9504741833508957E-2</v>
      </c>
      <c r="F81" s="16">
        <f>IF(ISNUMBER(D81), $B91 * E81, "")</f>
        <v>-2950.4741833508956</v>
      </c>
      <c r="G81" s="29">
        <v>911</v>
      </c>
      <c r="H81" s="14">
        <f>IF(ISNUMBER(G81), (G81 - $B81) / $B81, "")</f>
        <v>-4.0042149631190724E-2</v>
      </c>
      <c r="I81" s="100">
        <f>IF(ISNUMBER(G81), $B91 * H81, "")</f>
        <v>-4004.2149631190723</v>
      </c>
      <c r="J81" s="13">
        <v>917</v>
      </c>
      <c r="K81" s="14">
        <f>IF(ISNUMBER(J81), (J81 - $B81) / $B81, "")</f>
        <v>-3.3719704952581663E-2</v>
      </c>
      <c r="L81" s="16">
        <f>IF(ISNUMBER(J81), $B91 * K81, "")</f>
        <v>-3371.9704952581665</v>
      </c>
      <c r="M81" s="29">
        <v>924</v>
      </c>
      <c r="N81" s="14">
        <f>IF(ISNUMBER(M81), (M81 - $B81) / $B81, "")</f>
        <v>-2.6343519494204427E-2</v>
      </c>
      <c r="O81" s="16">
        <f>IF(ISNUMBER(M81), $B91 * N81, "")</f>
        <v>-2634.3519494204425</v>
      </c>
      <c r="Q81" s="220"/>
      <c r="R81" s="221"/>
      <c r="S81" s="222"/>
    </row>
    <row r="82" spans="1:19" ht="17.25" thickBot="1">
      <c r="A82" s="125" t="s">
        <v>174</v>
      </c>
      <c r="B82" s="126">
        <v>214</v>
      </c>
      <c r="C82" s="77">
        <v>1.42180095E-2</v>
      </c>
      <c r="D82" s="15">
        <v>242</v>
      </c>
      <c r="E82" s="32">
        <f t="shared" ref="E82:E85" si="38">IF(ISNUMBER(D82), (D82 - $B82) / $B82, "")</f>
        <v>0.13084112149532709</v>
      </c>
      <c r="F82" s="18">
        <f>IF(ISNUMBER(D82), $B91 * E82, "")</f>
        <v>13084.11214953271</v>
      </c>
      <c r="G82" s="31">
        <v>235</v>
      </c>
      <c r="H82" s="32">
        <f t="shared" ref="H82:H85" si="39">IF(ISNUMBER(G82), (G82 - $B82) / $B82, "")</f>
        <v>9.8130841121495324E-2</v>
      </c>
      <c r="I82" s="101">
        <f>IF(ISNUMBER(G82), $B91 * H82, "")</f>
        <v>9813.0841121495323</v>
      </c>
      <c r="J82" s="15">
        <v>237</v>
      </c>
      <c r="K82" s="32">
        <f t="shared" ref="K82:K85" si="40">IF(ISNUMBER(J82), (J82 - $B82) / $B82, "")</f>
        <v>0.10747663551401869</v>
      </c>
      <c r="L82" s="18">
        <f>IF(ISNUMBER(J82), $B91 * K82, "")</f>
        <v>10747.663551401869</v>
      </c>
      <c r="M82" s="31">
        <v>240</v>
      </c>
      <c r="N82" s="32">
        <f t="shared" ref="N82:N85" si="41">IF(ISNUMBER(M82), (M82 - $B82) / $B82, "")</f>
        <v>0.12149532710280374</v>
      </c>
      <c r="O82" s="18">
        <f>IF(ISNUMBER(M82), $B91 * N82, "")</f>
        <v>12149.532710280373</v>
      </c>
      <c r="Q82" s="223"/>
      <c r="R82" s="224"/>
      <c r="S82" s="225"/>
    </row>
    <row r="83" spans="1:19" ht="17.25" thickBot="1">
      <c r="A83" s="125" t="s">
        <v>267</v>
      </c>
      <c r="B83" s="126">
        <v>292</v>
      </c>
      <c r="C83" s="77">
        <v>-6.8027210999999999E-3</v>
      </c>
      <c r="D83" s="15">
        <v>283</v>
      </c>
      <c r="E83" s="32">
        <f t="shared" si="38"/>
        <v>-3.0821917808219176E-2</v>
      </c>
      <c r="F83" s="18">
        <f>IF(ISNUMBER(D83), $B91 * E83, "")</f>
        <v>-3082.1917808219177</v>
      </c>
      <c r="G83" s="31">
        <v>281</v>
      </c>
      <c r="H83" s="32">
        <f t="shared" si="39"/>
        <v>-3.7671232876712327E-2</v>
      </c>
      <c r="I83" s="101">
        <f>IF(ISNUMBER(G83), $B91 * H83, "")</f>
        <v>-3767.1232876712324</v>
      </c>
      <c r="J83" s="15">
        <v>282</v>
      </c>
      <c r="K83" s="32">
        <f t="shared" si="40"/>
        <v>-3.4246575342465752E-2</v>
      </c>
      <c r="L83" s="18">
        <f>IF(ISNUMBER(J83), $B91 * K83, "")</f>
        <v>-3424.6575342465753</v>
      </c>
      <c r="M83" s="31">
        <v>286</v>
      </c>
      <c r="N83" s="32">
        <f t="shared" si="41"/>
        <v>-2.0547945205479451E-2</v>
      </c>
      <c r="O83" s="18">
        <f>IF(ISNUMBER(M83), $B91 * N83, "")</f>
        <v>-2054.794520547945</v>
      </c>
      <c r="Q83" s="216"/>
      <c r="R83" s="216"/>
      <c r="S83" s="216"/>
    </row>
    <row r="84" spans="1:19" ht="17.25" thickBot="1">
      <c r="A84" s="125" t="s">
        <v>220</v>
      </c>
      <c r="B84" s="126">
        <v>109</v>
      </c>
      <c r="C84" s="77">
        <v>-9.0909091000000008E-3</v>
      </c>
      <c r="D84" s="15">
        <v>111</v>
      </c>
      <c r="E84" s="32">
        <f t="shared" si="38"/>
        <v>1.834862385321101E-2</v>
      </c>
      <c r="F84" s="18">
        <f>IF(ISNUMBER(D84), $B91 * E84, "")</f>
        <v>1834.8623853211011</v>
      </c>
      <c r="G84" s="31">
        <v>110</v>
      </c>
      <c r="H84" s="32">
        <f t="shared" si="39"/>
        <v>9.1743119266055051E-3</v>
      </c>
      <c r="I84" s="101">
        <f>IF(ISNUMBER(G84), $B91 * H84, "")</f>
        <v>917.43119266055055</v>
      </c>
      <c r="J84" s="15">
        <v>113</v>
      </c>
      <c r="K84" s="32">
        <f t="shared" si="40"/>
        <v>3.669724770642202E-2</v>
      </c>
      <c r="L84" s="18">
        <f>IF(ISNUMBER(J84), $B91 * K84, "")</f>
        <v>3669.7247706422022</v>
      </c>
      <c r="M84" s="31">
        <v>118</v>
      </c>
      <c r="N84" s="32">
        <f t="shared" si="41"/>
        <v>8.2568807339449546E-2</v>
      </c>
      <c r="O84" s="18">
        <f>IF(ISNUMBER(M84), $B91 * N84, "")</f>
        <v>8256.880733944954</v>
      </c>
      <c r="Q84" s="226"/>
      <c r="R84" s="226"/>
      <c r="S84" s="226"/>
    </row>
    <row r="85" spans="1:19" ht="17.25" thickBot="1">
      <c r="A85" s="127" t="s">
        <v>118</v>
      </c>
      <c r="B85" s="128">
        <v>133</v>
      </c>
      <c r="C85" s="78">
        <v>-1.4814814799999999E-2</v>
      </c>
      <c r="D85" s="20">
        <v>128</v>
      </c>
      <c r="E85" s="21">
        <f t="shared" si="38"/>
        <v>-3.7593984962406013E-2</v>
      </c>
      <c r="F85" s="22">
        <f>IF(ISNUMBER(D85), $B91 * E85, "")</f>
        <v>-3759.3984962406012</v>
      </c>
      <c r="G85" s="30">
        <v>128</v>
      </c>
      <c r="H85" s="21">
        <f t="shared" si="39"/>
        <v>-3.7593984962406013E-2</v>
      </c>
      <c r="I85" s="105">
        <f>IF(ISNUMBER(G85), $B91 * H85, "")</f>
        <v>-3759.3984962406012</v>
      </c>
      <c r="J85" s="20">
        <v>128</v>
      </c>
      <c r="K85" s="21">
        <f t="shared" si="40"/>
        <v>-3.7593984962406013E-2</v>
      </c>
      <c r="L85" s="22">
        <f>IF(ISNUMBER(J85), $B91 * K85, "")</f>
        <v>-3759.3984962406012</v>
      </c>
      <c r="M85" s="30">
        <v>131</v>
      </c>
      <c r="N85" s="21">
        <f t="shared" si="41"/>
        <v>-1.5037593984962405E-2</v>
      </c>
      <c r="O85" s="22">
        <f>IF(ISNUMBER(M85), $B91 * N85, "")</f>
        <v>-1503.7593984962405</v>
      </c>
      <c r="Q85" s="226"/>
      <c r="R85" s="226"/>
      <c r="S85" s="226"/>
    </row>
    <row r="86" spans="1:19" ht="17.25" thickBot="1">
      <c r="A86" s="125" t="s">
        <v>231</v>
      </c>
      <c r="B86" s="129">
        <v>133</v>
      </c>
      <c r="C86" s="80">
        <v>-3.62318841E-2</v>
      </c>
      <c r="D86" s="106">
        <v>132</v>
      </c>
      <c r="E86" s="107">
        <f>IF(ISNUMBER(D86), (D86 - $B86) / $B86, "")</f>
        <v>-7.5187969924812026E-3</v>
      </c>
      <c r="F86" s="108">
        <f>IF(ISNUMBER(D86), $B91 * E86, "")</f>
        <v>-751.87969924812023</v>
      </c>
      <c r="G86" s="109">
        <v>129</v>
      </c>
      <c r="H86" s="107">
        <f>IF(ISNUMBER(G86), (G86 - $B86) / $B86, "")</f>
        <v>-3.007518796992481E-2</v>
      </c>
      <c r="I86" s="110">
        <f>IF(ISNUMBER(G86), $B91 * H86, "")</f>
        <v>-3007.5187969924809</v>
      </c>
      <c r="J86" s="106">
        <v>130</v>
      </c>
      <c r="K86" s="107">
        <f>IF(ISNUMBER(J86), (J86 - $B86) / $B86, "")</f>
        <v>-2.2556390977443608E-2</v>
      </c>
      <c r="L86" s="108">
        <f>IF(ISNUMBER(J86), $B91 * K86, "")</f>
        <v>-2255.6390977443607</v>
      </c>
      <c r="M86" s="109">
        <v>132</v>
      </c>
      <c r="N86" s="107">
        <f>IF(ISNUMBER(M86), (M86 - $B86) / $B86, "")</f>
        <v>-7.5187969924812026E-3</v>
      </c>
      <c r="O86" s="108">
        <f>IF(ISNUMBER(M86), $B91 * N86, "")</f>
        <v>-751.87969924812023</v>
      </c>
      <c r="Q86" s="216"/>
      <c r="R86" s="216"/>
      <c r="S86" s="216"/>
    </row>
    <row r="87" spans="1:19" ht="17.25" thickBot="1">
      <c r="A87" s="125" t="s">
        <v>57</v>
      </c>
      <c r="B87" s="126">
        <v>151</v>
      </c>
      <c r="C87" s="77">
        <v>-3.8216560500000003E-2</v>
      </c>
      <c r="D87" s="15">
        <v>146</v>
      </c>
      <c r="E87" s="32">
        <f t="shared" ref="E87:E90" si="42">IF(ISNUMBER(D87), (D87 - $B87) / $B87, "")</f>
        <v>-3.3112582781456956E-2</v>
      </c>
      <c r="F87" s="18">
        <f>IF(ISNUMBER(D87), $B91 * E87, "")</f>
        <v>-3311.2582781456958</v>
      </c>
      <c r="G87" s="31">
        <v>146</v>
      </c>
      <c r="H87" s="32">
        <f t="shared" ref="H87:H90" si="43">IF(ISNUMBER(G87), (G87 - $B87) / $B87, "")</f>
        <v>-3.3112582781456956E-2</v>
      </c>
      <c r="I87" s="101">
        <f>IF(ISNUMBER(G87), $B91 * H87, "")</f>
        <v>-3311.2582781456958</v>
      </c>
      <c r="J87" s="15">
        <v>147</v>
      </c>
      <c r="K87" s="32">
        <f t="shared" ref="K87:K90" si="44">IF(ISNUMBER(J87), (J87 - $B87) / $B87, "")</f>
        <v>-2.6490066225165563E-2</v>
      </c>
      <c r="L87" s="18">
        <f>IF(ISNUMBER(J87), $B91 * K87, "")</f>
        <v>-2649.0066225165565</v>
      </c>
      <c r="M87" s="31">
        <v>149</v>
      </c>
      <c r="N87" s="32">
        <f t="shared" ref="N87:N90" si="45">IF(ISNUMBER(M87), (M87 - $B87) / $B87, "")</f>
        <v>-1.3245033112582781E-2</v>
      </c>
      <c r="O87" s="18">
        <f>IF(ISNUMBER(M87), $B91 * N87, "")</f>
        <v>-1324.5033112582782</v>
      </c>
      <c r="Q87" s="216"/>
      <c r="R87" s="216"/>
      <c r="S87" s="216"/>
    </row>
    <row r="88" spans="1:19" ht="17.25" thickBot="1">
      <c r="A88" s="125" t="s">
        <v>108</v>
      </c>
      <c r="B88" s="126">
        <v>937</v>
      </c>
      <c r="C88" s="77">
        <v>-3.8974359E-2</v>
      </c>
      <c r="D88" s="15">
        <v>906</v>
      </c>
      <c r="E88" s="32">
        <f t="shared" si="42"/>
        <v>-3.3084311632870865E-2</v>
      </c>
      <c r="F88" s="18">
        <f>IF(ISNUMBER(D88), $B91 * E88, "")</f>
        <v>-3308.4311632870863</v>
      </c>
      <c r="G88" s="31">
        <v>892</v>
      </c>
      <c r="H88" s="32">
        <f t="shared" si="43"/>
        <v>-4.8025613660618999E-2</v>
      </c>
      <c r="I88" s="101">
        <f>IF(ISNUMBER(G88), $B91 * H88, "")</f>
        <v>-4802.5613660619001</v>
      </c>
      <c r="J88" s="15">
        <v>900</v>
      </c>
      <c r="K88" s="32">
        <f t="shared" si="44"/>
        <v>-3.9487726787620067E-2</v>
      </c>
      <c r="L88" s="18">
        <f>IF(ISNUMBER(J88), $B91 * K88, "")</f>
        <v>-3948.7726787620068</v>
      </c>
      <c r="M88" s="31">
        <v>918</v>
      </c>
      <c r="N88" s="32">
        <f t="shared" si="45"/>
        <v>-2.0277481323372464E-2</v>
      </c>
      <c r="O88" s="18">
        <f>IF(ISNUMBER(M88), $B91 * N88, "")</f>
        <v>-2027.7481323372465</v>
      </c>
      <c r="Q88" s="216"/>
      <c r="R88" s="216"/>
      <c r="S88" s="216"/>
    </row>
    <row r="89" spans="1:19">
      <c r="A89" s="125" t="s">
        <v>168</v>
      </c>
      <c r="B89" s="126">
        <v>889</v>
      </c>
      <c r="C89" s="77">
        <v>-4.4086021500000003E-2</v>
      </c>
      <c r="D89" s="15">
        <v>939</v>
      </c>
      <c r="E89" s="32">
        <f t="shared" si="42"/>
        <v>5.6242969628796401E-2</v>
      </c>
      <c r="F89" s="18">
        <f>IF(ISNUMBER(D89), $B91 * E89, "")</f>
        <v>5624.29696287964</v>
      </c>
      <c r="G89" s="31">
        <v>920</v>
      </c>
      <c r="H89" s="32">
        <f t="shared" si="43"/>
        <v>3.4870641169853771E-2</v>
      </c>
      <c r="I89" s="101">
        <f>IF(ISNUMBER(G89), $B91 * H89, "")</f>
        <v>3487.064116985377</v>
      </c>
      <c r="J89" s="15">
        <v>935</v>
      </c>
      <c r="K89" s="32">
        <f t="shared" si="44"/>
        <v>5.1743532058492692E-2</v>
      </c>
      <c r="L89" s="18">
        <f>IF(ISNUMBER(J89), $B91 * K89, "")</f>
        <v>5174.3532058492692</v>
      </c>
      <c r="M89" s="31">
        <v>936</v>
      </c>
      <c r="N89" s="32">
        <f t="shared" si="45"/>
        <v>5.2868391451068614E-2</v>
      </c>
      <c r="O89" s="18">
        <f>IF(ISNUMBER(M89), $B91 * N89, "")</f>
        <v>5286.839145106861</v>
      </c>
      <c r="Q89" s="205"/>
      <c r="R89" s="206"/>
      <c r="S89" s="207"/>
    </row>
    <row r="90" spans="1:19" ht="17.25" thickBot="1">
      <c r="A90" s="130" t="s">
        <v>86</v>
      </c>
      <c r="B90" s="131">
        <v>282</v>
      </c>
      <c r="C90" s="79">
        <v>-4.7297297299999999E-2</v>
      </c>
      <c r="D90" s="24">
        <v>276</v>
      </c>
      <c r="E90" s="25">
        <f t="shared" si="42"/>
        <v>-2.1276595744680851E-2</v>
      </c>
      <c r="F90" s="104">
        <f>IF(ISNUMBER(D90), $B91 * E90, "")</f>
        <v>-2127.6595744680849</v>
      </c>
      <c r="G90" s="102">
        <v>272</v>
      </c>
      <c r="H90" s="25">
        <f t="shared" si="43"/>
        <v>-3.5460992907801421E-2</v>
      </c>
      <c r="I90" s="103">
        <f>IF(ISNUMBER(G90), $B91 * H90, "")</f>
        <v>-3546.0992907801419</v>
      </c>
      <c r="J90" s="24">
        <v>273</v>
      </c>
      <c r="K90" s="25">
        <f t="shared" si="44"/>
        <v>-3.1914893617021274E-2</v>
      </c>
      <c r="L90" s="104">
        <f>IF(ISNUMBER(J90), $B91 * K90, "")</f>
        <v>-3191.4893617021276</v>
      </c>
      <c r="M90" s="102">
        <v>276</v>
      </c>
      <c r="N90" s="25">
        <f t="shared" si="45"/>
        <v>-2.1276595744680851E-2</v>
      </c>
      <c r="O90" s="104">
        <f>IF(ISNUMBER(M90), $B91 * N90, "")</f>
        <v>-2127.6595744680849</v>
      </c>
      <c r="Q90" s="208"/>
      <c r="R90" s="209"/>
      <c r="S90" s="210"/>
    </row>
    <row r="91" spans="1:19" ht="17.25" thickBot="1">
      <c r="A91" s="132" t="s">
        <v>271</v>
      </c>
      <c r="B91" s="269">
        <f>$B$37</f>
        <v>100000</v>
      </c>
      <c r="C91" s="270"/>
      <c r="D91" s="26" t="s">
        <v>272</v>
      </c>
      <c r="E91" s="27">
        <f>IF(COUNT(E71:E90), SUM(E71:E90) / COUNT(E71:E90), 0)</f>
        <v>-5.4597179508459402E-2</v>
      </c>
      <c r="F91" s="28">
        <f>SUM(F71:F90)</f>
        <v>-109194.3590169188</v>
      </c>
      <c r="G91" s="26" t="s">
        <v>272</v>
      </c>
      <c r="H91" s="27">
        <f>IF(COUNT(H71:H90), SUM(H71:H90) / COUNT(H71:H90), 0)</f>
        <v>-6.8833889511113189E-2</v>
      </c>
      <c r="I91" s="28">
        <f>SUM(I71:I90)</f>
        <v>-137667.7790222264</v>
      </c>
      <c r="J91" s="26" t="s">
        <v>272</v>
      </c>
      <c r="K91" s="27">
        <f>IF(COUNT(K71:K90), SUM(K71:K90) / COUNT(K71:K90), 0)</f>
        <v>-6.0257393477753864E-2</v>
      </c>
      <c r="L91" s="28">
        <f>SUM(L71:L90)</f>
        <v>-120514.78695550772</v>
      </c>
      <c r="M91" s="26" t="s">
        <v>272</v>
      </c>
      <c r="N91" s="27">
        <f>IF(COUNT(N71:N90), SUM(N71:N90) / COUNT(N71:N90), 0)</f>
        <v>-4.2023857791986932E-2</v>
      </c>
      <c r="O91" s="28">
        <f>SUM(O71:O90)</f>
        <v>-84047.715583973884</v>
      </c>
      <c r="Q91" s="211"/>
      <c r="R91" s="212"/>
      <c r="S91" s="213"/>
    </row>
    <row r="93" spans="1:19" ht="17.25" thickBot="1"/>
    <row r="94" spans="1:19" ht="17.25" thickBot="1">
      <c r="A94" s="227" t="s">
        <v>46</v>
      </c>
      <c r="B94" s="228"/>
      <c r="C94" s="228"/>
      <c r="D94" s="228"/>
      <c r="E94" s="228"/>
      <c r="F94" s="228"/>
      <c r="G94" s="228"/>
      <c r="H94" s="228"/>
      <c r="I94" s="228"/>
      <c r="J94" s="228"/>
      <c r="K94" s="228"/>
      <c r="L94" s="228"/>
      <c r="M94" s="228"/>
      <c r="N94" s="228"/>
      <c r="O94" s="229"/>
      <c r="Q94" s="226"/>
      <c r="R94" s="226"/>
      <c r="S94" s="226"/>
    </row>
    <row r="95" spans="1:19" ht="17.25" thickBot="1">
      <c r="A95" s="161" t="s">
        <v>268</v>
      </c>
      <c r="B95" s="227" t="s">
        <v>49</v>
      </c>
      <c r="C95" s="229"/>
      <c r="D95" s="227" t="s">
        <v>58</v>
      </c>
      <c r="E95" s="228"/>
      <c r="F95" s="229"/>
      <c r="G95" s="230">
        <f>_xlfn.IFNA(VLOOKUP(B95, 현재가테이블!$B$2:$D$200, 2, FALSE), "-")</f>
        <v>39916000</v>
      </c>
      <c r="H95" s="231"/>
      <c r="I95" s="232"/>
      <c r="J95" s="227" t="s">
        <v>59</v>
      </c>
      <c r="K95" s="228"/>
      <c r="L95" s="229"/>
      <c r="M95" s="233">
        <f>_xlfn.IFNA(VLOOKUP(B95, 현재가테이블!$B$2:$D$200, 3, FALSE), "-")</f>
        <v>7.3184273000000003E-3</v>
      </c>
      <c r="N95" s="234"/>
      <c r="O95" s="235"/>
      <c r="Q95" s="226"/>
      <c r="R95" s="226"/>
      <c r="S95" s="226"/>
    </row>
    <row r="96" spans="1:19" ht="17.25" thickBot="1">
      <c r="A96" s="271" t="s">
        <v>55</v>
      </c>
      <c r="B96" s="267" t="str">
        <f>TEXT($G$1, "[$-ko-KR]yyyy-mm-dd(ddd) ") &amp; "오전 00:00"</f>
        <v>2021-07-02(금) 오전 00:00</v>
      </c>
      <c r="C96" s="268"/>
      <c r="D96" s="240" t="str">
        <f>TEXT($G$1, "[$-ko-KR]yyyy-mm-dd(ddd) ") &amp; "오후 14:00"</f>
        <v>2021-07-02(금) 오후 14:00</v>
      </c>
      <c r="E96" s="241"/>
      <c r="F96" s="242"/>
      <c r="G96" s="240" t="str">
        <f>TEXT($G$1, "[$-ko-KR]yyyy-mm-dd(ddd) ") &amp; "오후 19:00"</f>
        <v>2021-07-02(금) 오후 19:00</v>
      </c>
      <c r="H96" s="241"/>
      <c r="I96" s="242"/>
      <c r="J96" s="240" t="str">
        <f>TEXT($G$1, "[$-ko-KR]yyyy-mm-dd(ddd) ") &amp; "오후 21:00"</f>
        <v>2021-07-02(금) 오후 21:00</v>
      </c>
      <c r="K96" s="241"/>
      <c r="L96" s="242"/>
      <c r="M96" s="240" t="str">
        <f>TEXT($G$1+1, "[$-ko-KR]yyyy-mm-dd(ddd) ") &amp; "오전 00:00"</f>
        <v>2021-07-03(토) 오전 00:00</v>
      </c>
      <c r="N96" s="241"/>
      <c r="O96" s="242"/>
      <c r="Q96" s="226"/>
      <c r="R96" s="226"/>
      <c r="S96" s="226"/>
    </row>
    <row r="97" spans="1:19" ht="17.25" thickBot="1">
      <c r="A97" s="27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2" t="s">
        <v>58</v>
      </c>
      <c r="H97" s="163" t="s">
        <v>269</v>
      </c>
      <c r="I97" s="16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6"/>
      <c r="R97" s="216"/>
      <c r="S97" s="216"/>
    </row>
    <row r="98" spans="1:19" ht="17.25" thickBot="1">
      <c r="A98" s="123" t="s">
        <v>192</v>
      </c>
      <c r="B98" s="124">
        <v>266</v>
      </c>
      <c r="C98" s="76">
        <v>0.59281437130000003</v>
      </c>
      <c r="D98" s="13">
        <v>179</v>
      </c>
      <c r="E98" s="14">
        <f>IF(ISNUMBER(D98), (D98 - $B98) / $B98, "")</f>
        <v>-0.32706766917293234</v>
      </c>
      <c r="F98" s="16">
        <f>IF(ISNUMBER(D98), $B118 * E98, "")</f>
        <v>-32706.766917293233</v>
      </c>
      <c r="G98" s="29">
        <v>172</v>
      </c>
      <c r="H98" s="14">
        <f>IF(ISNUMBER(G98), (G98 - $B98) / $B98, "")</f>
        <v>-0.35338345864661652</v>
      </c>
      <c r="I98" s="100">
        <f>IF(ISNUMBER(G98), $B118 * H98, "")</f>
        <v>-35338.345864661649</v>
      </c>
      <c r="J98" s="13">
        <v>177</v>
      </c>
      <c r="K98" s="14">
        <f>IF(ISNUMBER(J98), (J98 - $B98) / $B98, "")</f>
        <v>-0.33458646616541354</v>
      </c>
      <c r="L98" s="16">
        <f>IF(ISNUMBER(J98), $B118 * K98, "")</f>
        <v>-33458.646616541351</v>
      </c>
      <c r="M98" s="29">
        <v>179</v>
      </c>
      <c r="N98" s="14">
        <f>IF(ISNUMBER(M98), (M98 - $B98) / $B98, "")</f>
        <v>-0.32706766917293234</v>
      </c>
      <c r="O98" s="16">
        <f>IF(ISNUMBER(M98), $B118 * N98, "")</f>
        <v>-32706.766917293233</v>
      </c>
      <c r="Q98" s="226"/>
      <c r="R98" s="226"/>
      <c r="S98" s="226"/>
    </row>
    <row r="99" spans="1:19" ht="17.25" thickBot="1">
      <c r="A99" s="125" t="s">
        <v>164</v>
      </c>
      <c r="B99" s="126">
        <v>309</v>
      </c>
      <c r="C99" s="77">
        <v>0.3434782609</v>
      </c>
      <c r="D99" s="15">
        <v>228</v>
      </c>
      <c r="E99" s="32">
        <f t="shared" ref="E99:E102" si="46">IF(ISNUMBER(D99), (D99 - $B99) / $B99, "")</f>
        <v>-0.26213592233009708</v>
      </c>
      <c r="F99" s="18">
        <f>IF(ISNUMBER(D99), $B118 * E99, "")</f>
        <v>-26213.592233009709</v>
      </c>
      <c r="G99" s="31">
        <v>222</v>
      </c>
      <c r="H99" s="32">
        <f t="shared" ref="H99:H102" si="47">IF(ISNUMBER(G99), (G99 - $B99) / $B99, "")</f>
        <v>-0.28155339805825241</v>
      </c>
      <c r="I99" s="101">
        <f>IF(ISNUMBER(G99), $B118 * H99, "")</f>
        <v>-28155.339805825242</v>
      </c>
      <c r="J99" s="15">
        <v>224</v>
      </c>
      <c r="K99" s="32">
        <f t="shared" ref="K99:K102" si="48">IF(ISNUMBER(J99), (J99 - $B99) / $B99, "")</f>
        <v>-0.27508090614886732</v>
      </c>
      <c r="L99" s="18">
        <f>IF(ISNUMBER(J99), $B118 * K99, "")</f>
        <v>-27508.090614886733</v>
      </c>
      <c r="M99" s="31">
        <v>229</v>
      </c>
      <c r="N99" s="32">
        <f t="shared" ref="N99:N102" si="49">IF(ISNUMBER(M99), (M99 - $B99) / $B99, "")</f>
        <v>-0.25889967637540451</v>
      </c>
      <c r="O99" s="18">
        <f>IF(ISNUMBER(M99), $B118 * N99, "")</f>
        <v>-25889.967637540452</v>
      </c>
      <c r="Q99" s="226"/>
      <c r="R99" s="226"/>
      <c r="S99" s="226"/>
    </row>
    <row r="100" spans="1:19" ht="17.25" thickBot="1">
      <c r="A100" s="125" t="s">
        <v>255</v>
      </c>
      <c r="B100" s="126">
        <v>206</v>
      </c>
      <c r="C100" s="77">
        <v>0.13186813189999999</v>
      </c>
      <c r="D100" s="15">
        <v>183</v>
      </c>
      <c r="E100" s="32">
        <f t="shared" si="46"/>
        <v>-0.11165048543689321</v>
      </c>
      <c r="F100" s="18">
        <f>IF(ISNUMBER(D100), $B118 * E100, "")</f>
        <v>-11165.048543689321</v>
      </c>
      <c r="G100" s="31">
        <v>180</v>
      </c>
      <c r="H100" s="32">
        <f t="shared" si="47"/>
        <v>-0.12621359223300971</v>
      </c>
      <c r="I100" s="101">
        <f>IF(ISNUMBER(G100), $B118 * H100, "")</f>
        <v>-12621.359223300971</v>
      </c>
      <c r="J100" s="15">
        <v>183</v>
      </c>
      <c r="K100" s="32">
        <f t="shared" si="48"/>
        <v>-0.11165048543689321</v>
      </c>
      <c r="L100" s="18">
        <f>IF(ISNUMBER(J100), $B118 * K100, "")</f>
        <v>-11165.048543689321</v>
      </c>
      <c r="M100" s="31">
        <v>188</v>
      </c>
      <c r="N100" s="32">
        <f t="shared" si="49"/>
        <v>-8.7378640776699032E-2</v>
      </c>
      <c r="O100" s="18">
        <f>IF(ISNUMBER(M100), $B118 * N100, "")</f>
        <v>-8737.8640776699031</v>
      </c>
      <c r="Q100" s="216"/>
      <c r="R100" s="216"/>
      <c r="S100" s="216"/>
    </row>
    <row r="101" spans="1:19" ht="17.25" thickBot="1">
      <c r="A101" s="125" t="s">
        <v>122</v>
      </c>
      <c r="B101" s="126">
        <v>24.4</v>
      </c>
      <c r="C101" s="77">
        <v>0.119266055</v>
      </c>
      <c r="D101" s="15">
        <v>25.6</v>
      </c>
      <c r="E101" s="32">
        <f t="shared" si="46"/>
        <v>4.9180327868852576E-2</v>
      </c>
      <c r="F101" s="18">
        <f>IF(ISNUMBER(D101), $B118 * E101, "")</f>
        <v>4918.0327868852573</v>
      </c>
      <c r="G101" s="31">
        <v>24.9</v>
      </c>
      <c r="H101" s="32">
        <f t="shared" si="47"/>
        <v>2.0491803278688527E-2</v>
      </c>
      <c r="I101" s="101">
        <f>IF(ISNUMBER(G101), $B118 * H101, "")</f>
        <v>2049.1803278688526</v>
      </c>
      <c r="J101" s="15">
        <v>25.2</v>
      </c>
      <c r="K101" s="32">
        <f t="shared" si="48"/>
        <v>3.2786885245901669E-2</v>
      </c>
      <c r="L101" s="18">
        <f>IF(ISNUMBER(J101), $B118 * K101, "")</f>
        <v>3278.6885245901667</v>
      </c>
      <c r="M101" s="31">
        <v>25.3</v>
      </c>
      <c r="N101" s="32">
        <f t="shared" si="49"/>
        <v>3.6885245901639434E-2</v>
      </c>
      <c r="O101" s="18">
        <f>IF(ISNUMBER(M101), $B118 * N101, "")</f>
        <v>3688.5245901639432</v>
      </c>
      <c r="Q101" s="216"/>
      <c r="R101" s="216"/>
      <c r="S101" s="216"/>
    </row>
    <row r="102" spans="1:19" ht="17.25" thickBot="1">
      <c r="A102" s="127" t="s">
        <v>194</v>
      </c>
      <c r="B102" s="128">
        <v>124</v>
      </c>
      <c r="C102" s="78">
        <v>9.7345132700000003E-2</v>
      </c>
      <c r="D102" s="20">
        <v>119</v>
      </c>
      <c r="E102" s="21">
        <f t="shared" si="46"/>
        <v>-4.0322580645161289E-2</v>
      </c>
      <c r="F102" s="22">
        <f>IF(ISNUMBER(D102), $B118 * E102, "")</f>
        <v>-4032.2580645161288</v>
      </c>
      <c r="G102" s="30">
        <v>115</v>
      </c>
      <c r="H102" s="21">
        <f t="shared" si="47"/>
        <v>-7.2580645161290328E-2</v>
      </c>
      <c r="I102" s="105">
        <f>IF(ISNUMBER(G102), $B118 * H102, "")</f>
        <v>-7258.0645161290331</v>
      </c>
      <c r="J102" s="20">
        <v>117</v>
      </c>
      <c r="K102" s="21">
        <f t="shared" si="48"/>
        <v>-5.6451612903225805E-2</v>
      </c>
      <c r="L102" s="22">
        <f>IF(ISNUMBER(J102), $B118 * K102, "")</f>
        <v>-5645.1612903225805</v>
      </c>
      <c r="M102" s="30">
        <v>119</v>
      </c>
      <c r="N102" s="21">
        <f t="shared" si="49"/>
        <v>-4.0322580645161289E-2</v>
      </c>
      <c r="O102" s="22">
        <f>IF(ISNUMBER(M102), $B118 * N102, "")</f>
        <v>-4032.2580645161288</v>
      </c>
      <c r="Q102" s="216"/>
      <c r="R102" s="216"/>
      <c r="S102" s="216"/>
    </row>
    <row r="103" spans="1:19" ht="17.25" thickBot="1">
      <c r="A103" s="125" t="s">
        <v>216</v>
      </c>
      <c r="B103" s="129">
        <v>7.77</v>
      </c>
      <c r="C103" s="80">
        <v>7.9166666699999999E-2</v>
      </c>
      <c r="D103" s="106">
        <v>7.29</v>
      </c>
      <c r="E103" s="107">
        <f>IF(ISNUMBER(D103), (D103 - $B103) / $B103, "")</f>
        <v>-6.1776061776061722E-2</v>
      </c>
      <c r="F103" s="108">
        <f>IF(ISNUMBER(D103), $B118 * E103, "")</f>
        <v>-6177.6061776061724</v>
      </c>
      <c r="G103" s="109">
        <v>7.36</v>
      </c>
      <c r="H103" s="107">
        <f>IF(ISNUMBER(G103), (G103 - $B103) / $B103, "")</f>
        <v>-5.2767052767052673E-2</v>
      </c>
      <c r="I103" s="110">
        <f>IF(ISNUMBER(G103), $B118 * H103, "")</f>
        <v>-5276.7052767052674</v>
      </c>
      <c r="J103" s="106">
        <v>7.68</v>
      </c>
      <c r="K103" s="107">
        <f>IF(ISNUMBER(J103), (J103 - $B103) / $B103, "")</f>
        <v>-1.1583011583011565E-2</v>
      </c>
      <c r="L103" s="108">
        <f>IF(ISNUMBER(J103), $B118 * K103, "")</f>
        <v>-1158.3011583011564</v>
      </c>
      <c r="M103" s="109">
        <v>7.69</v>
      </c>
      <c r="N103" s="107">
        <f>IF(ISNUMBER(M103), (M103 - $B103) / $B103, "")</f>
        <v>-1.0296010296010192E-2</v>
      </c>
      <c r="O103" s="108">
        <f>IF(ISNUMBER(M103), $B118 * N103, "")</f>
        <v>-1029.6010296010193</v>
      </c>
      <c r="Q103" s="216"/>
      <c r="R103" s="216"/>
      <c r="S103" s="216"/>
    </row>
    <row r="104" spans="1:19" ht="17.25" thickBot="1">
      <c r="A104" s="125" t="s">
        <v>130</v>
      </c>
      <c r="B104" s="126">
        <v>82.2</v>
      </c>
      <c r="C104" s="77">
        <v>7.7326343399999997E-2</v>
      </c>
      <c r="D104" s="15">
        <v>75.400000000000006</v>
      </c>
      <c r="E104" s="32">
        <f t="shared" ref="E104:E107" si="50">IF(ISNUMBER(D104), (D104 - $B104) / $B104, "")</f>
        <v>-8.2725060827250577E-2</v>
      </c>
      <c r="F104" s="18">
        <f>IF(ISNUMBER(D104), $B118 * E104, "")</f>
        <v>-8272.5060827250581</v>
      </c>
      <c r="G104" s="31">
        <v>73.5</v>
      </c>
      <c r="H104" s="32">
        <f t="shared" ref="H104:H107" si="51">IF(ISNUMBER(G104), (G104 - $B104) / $B104, "")</f>
        <v>-0.1058394160583942</v>
      </c>
      <c r="I104" s="101">
        <f>IF(ISNUMBER(G104), $B118 * H104, "")</f>
        <v>-10583.94160583942</v>
      </c>
      <c r="J104" s="15">
        <v>74.3</v>
      </c>
      <c r="K104" s="32">
        <f t="shared" ref="K104:K107" si="52">IF(ISNUMBER(J104), (J104 - $B104) / $B104, "")</f>
        <v>-9.6107055961070623E-2</v>
      </c>
      <c r="L104" s="18">
        <f>IF(ISNUMBER(J104), $B118 * K104, "")</f>
        <v>-9610.7055961070619</v>
      </c>
      <c r="M104" s="31">
        <v>76</v>
      </c>
      <c r="N104" s="32">
        <f t="shared" ref="N104:N107" si="53">IF(ISNUMBER(M104), (M104 - $B104) / $B104, "")</f>
        <v>-7.542579075425794E-2</v>
      </c>
      <c r="O104" s="18">
        <f>IF(ISNUMBER(M104), $B118 * N104, "")</f>
        <v>-7542.5790754257941</v>
      </c>
      <c r="Q104" s="216"/>
      <c r="R104" s="216"/>
      <c r="S104" s="216"/>
    </row>
    <row r="105" spans="1:19" ht="17.25" thickBot="1">
      <c r="A105" s="125" t="s">
        <v>110</v>
      </c>
      <c r="B105" s="126">
        <v>108</v>
      </c>
      <c r="C105" s="77">
        <v>4.8543689299999998E-2</v>
      </c>
      <c r="D105" s="15">
        <v>101</v>
      </c>
      <c r="E105" s="32">
        <f t="shared" si="50"/>
        <v>-6.4814814814814811E-2</v>
      </c>
      <c r="F105" s="18">
        <f>IF(ISNUMBER(D105), $B118 * E105, "")</f>
        <v>-6481.4814814814808</v>
      </c>
      <c r="G105" s="31">
        <v>102</v>
      </c>
      <c r="H105" s="32">
        <f t="shared" si="51"/>
        <v>-5.5555555555555552E-2</v>
      </c>
      <c r="I105" s="101">
        <f>IF(ISNUMBER(G105), $B118 * H105, "")</f>
        <v>-5555.5555555555557</v>
      </c>
      <c r="J105" s="15">
        <v>101</v>
      </c>
      <c r="K105" s="32">
        <f t="shared" si="52"/>
        <v>-6.4814814814814811E-2</v>
      </c>
      <c r="L105" s="18">
        <f>IF(ISNUMBER(J105), $B118 * K105, "")</f>
        <v>-6481.4814814814808</v>
      </c>
      <c r="M105" s="31">
        <v>103</v>
      </c>
      <c r="N105" s="32">
        <f t="shared" si="53"/>
        <v>-4.6296296296296294E-2</v>
      </c>
      <c r="O105" s="18">
        <f>IF(ISNUMBER(M105), $B118 * N105, "")</f>
        <v>-4629.6296296296296</v>
      </c>
      <c r="Q105" s="216"/>
      <c r="R105" s="216"/>
      <c r="S105" s="216"/>
    </row>
    <row r="106" spans="1:19" ht="17.25" thickBot="1">
      <c r="A106" s="125" t="s">
        <v>54</v>
      </c>
      <c r="B106" s="126">
        <v>237</v>
      </c>
      <c r="C106" s="77">
        <v>3.9473684199999998E-2</v>
      </c>
      <c r="D106" s="15">
        <v>227</v>
      </c>
      <c r="E106" s="32">
        <f t="shared" si="50"/>
        <v>-4.2194092827004218E-2</v>
      </c>
      <c r="F106" s="18">
        <f>IF(ISNUMBER(D106), $B118 * E106, "")</f>
        <v>-4219.4092827004215</v>
      </c>
      <c r="G106" s="31">
        <v>220</v>
      </c>
      <c r="H106" s="32">
        <f t="shared" si="51"/>
        <v>-7.1729957805907171E-2</v>
      </c>
      <c r="I106" s="101">
        <f>IF(ISNUMBER(G106), $B118 * H106, "")</f>
        <v>-7172.995780590717</v>
      </c>
      <c r="J106" s="15">
        <v>224</v>
      </c>
      <c r="K106" s="32">
        <f t="shared" si="52"/>
        <v>-5.4852320675105488E-2</v>
      </c>
      <c r="L106" s="18">
        <f>IF(ISNUMBER(J106), $B118 * K106, "")</f>
        <v>-5485.2320675105484</v>
      </c>
      <c r="M106" s="31">
        <v>225</v>
      </c>
      <c r="N106" s="32">
        <f t="shared" si="53"/>
        <v>-5.0632911392405063E-2</v>
      </c>
      <c r="O106" s="18">
        <f>IF(ISNUMBER(M106), $B118 * N106, "")</f>
        <v>-5063.2911392405058</v>
      </c>
      <c r="Q106" s="33"/>
      <c r="R106" s="33"/>
    </row>
    <row r="107" spans="1:19" ht="17.25" thickBot="1">
      <c r="A107" s="130" t="s">
        <v>166</v>
      </c>
      <c r="B107" s="131">
        <v>108</v>
      </c>
      <c r="C107" s="79">
        <v>3.8461538500000003E-2</v>
      </c>
      <c r="D107" s="24">
        <v>104</v>
      </c>
      <c r="E107" s="25">
        <f t="shared" si="50"/>
        <v>-3.7037037037037035E-2</v>
      </c>
      <c r="F107" s="104">
        <f>IF(ISNUMBER(D107), $B118 * E107, "")</f>
        <v>-3703.7037037037035</v>
      </c>
      <c r="G107" s="102">
        <v>105</v>
      </c>
      <c r="H107" s="25">
        <f t="shared" si="51"/>
        <v>-2.7777777777777776E-2</v>
      </c>
      <c r="I107" s="103">
        <f>IF(ISNUMBER(G107), $B118 * H107, "")</f>
        <v>-2777.7777777777778</v>
      </c>
      <c r="J107" s="24">
        <v>105</v>
      </c>
      <c r="K107" s="25">
        <f t="shared" si="52"/>
        <v>-2.7777777777777776E-2</v>
      </c>
      <c r="L107" s="104">
        <f>IF(ISNUMBER(J107), $B118 * K107, "")</f>
        <v>-2777.7777777777778</v>
      </c>
      <c r="M107" s="102">
        <v>109</v>
      </c>
      <c r="N107" s="25">
        <f t="shared" si="53"/>
        <v>9.2592592592592587E-3</v>
      </c>
      <c r="O107" s="104">
        <f>IF(ISNUMBER(M107), $B118 * N107, "")</f>
        <v>925.92592592592587</v>
      </c>
      <c r="Q107" s="217"/>
      <c r="R107" s="218"/>
      <c r="S107" s="219"/>
    </row>
    <row r="108" spans="1:19">
      <c r="A108" s="123" t="s">
        <v>106</v>
      </c>
      <c r="B108" s="124">
        <v>41740</v>
      </c>
      <c r="C108" s="76">
        <v>3.6761053199999998E-2</v>
      </c>
      <c r="D108" s="13">
        <v>38760</v>
      </c>
      <c r="E108" s="14">
        <f>IF(ISNUMBER(D108), (D108 - $B108) / $B108, "")</f>
        <v>-7.1394345951126023E-2</v>
      </c>
      <c r="F108" s="16">
        <f>IF(ISNUMBER(D108), $B118 * E108, "")</f>
        <v>-7139.4345951126024</v>
      </c>
      <c r="G108" s="29">
        <v>38190</v>
      </c>
      <c r="H108" s="14">
        <f>IF(ISNUMBER(G108), (G108 - $B108) / $B108, "")</f>
        <v>-8.5050311451844759E-2</v>
      </c>
      <c r="I108" s="100">
        <f>IF(ISNUMBER(G108), $B118 * H108, "")</f>
        <v>-8505.0311451844755</v>
      </c>
      <c r="J108" s="13">
        <v>37690</v>
      </c>
      <c r="K108" s="14">
        <f>IF(ISNUMBER(J108), (J108 - $B108) / $B108, "")</f>
        <v>-9.7029228557738378E-2</v>
      </c>
      <c r="L108" s="16">
        <f>IF(ISNUMBER(J108), $B118 * K108, "")</f>
        <v>-9702.922855773837</v>
      </c>
      <c r="M108" s="29">
        <v>38150</v>
      </c>
      <c r="N108" s="14">
        <f>IF(ISNUMBER(M108), (M108 - $B108) / $B108, "")</f>
        <v>-8.6008624820316237E-2</v>
      </c>
      <c r="O108" s="16">
        <f>IF(ISNUMBER(M108), $B118 * N108, "")</f>
        <v>-8600.8624820316236</v>
      </c>
      <c r="Q108" s="220"/>
      <c r="R108" s="221"/>
      <c r="S108" s="222"/>
    </row>
    <row r="109" spans="1:19" ht="17.25" thickBot="1">
      <c r="A109" s="125" t="s">
        <v>206</v>
      </c>
      <c r="B109" s="126">
        <v>217</v>
      </c>
      <c r="C109" s="77">
        <v>3.3333333299999997E-2</v>
      </c>
      <c r="D109" s="15">
        <v>209</v>
      </c>
      <c r="E109" s="32">
        <f t="shared" ref="E109:E112" si="54">IF(ISNUMBER(D109), (D109 - $B109) / $B109, "")</f>
        <v>-3.6866359447004608E-2</v>
      </c>
      <c r="F109" s="18">
        <f>IF(ISNUMBER(D109), $B118 * E109, "")</f>
        <v>-3686.6359447004606</v>
      </c>
      <c r="G109" s="31">
        <v>202</v>
      </c>
      <c r="H109" s="32">
        <f t="shared" ref="H109:H112" si="55">IF(ISNUMBER(G109), (G109 - $B109) / $B109, "")</f>
        <v>-6.9124423963133647E-2</v>
      </c>
      <c r="I109" s="101">
        <f>IF(ISNUMBER(G109), $B118 * H109, "")</f>
        <v>-6912.442396313365</v>
      </c>
      <c r="J109" s="15">
        <v>204</v>
      </c>
      <c r="K109" s="32">
        <f t="shared" ref="K109:K112" si="56">IF(ISNUMBER(J109), (J109 - $B109) / $B109, "")</f>
        <v>-5.9907834101382486E-2</v>
      </c>
      <c r="L109" s="18">
        <f>IF(ISNUMBER(J109), $B118 * K109, "")</f>
        <v>-5990.7834101382487</v>
      </c>
      <c r="M109" s="31">
        <v>211</v>
      </c>
      <c r="N109" s="32">
        <f t="shared" ref="N109:N112" si="57">IF(ISNUMBER(M109), (M109 - $B109) / $B109, "")</f>
        <v>-2.7649769585253458E-2</v>
      </c>
      <c r="O109" s="18">
        <f>IF(ISNUMBER(M109), $B118 * N109, "")</f>
        <v>-2764.9769585253457</v>
      </c>
      <c r="Q109" s="223"/>
      <c r="R109" s="224"/>
      <c r="S109" s="225"/>
    </row>
    <row r="110" spans="1:19" ht="17.25" thickBot="1">
      <c r="A110" s="125" t="s">
        <v>188</v>
      </c>
      <c r="B110" s="126">
        <v>8.51</v>
      </c>
      <c r="C110" s="77">
        <v>3.27669903E-2</v>
      </c>
      <c r="D110" s="15">
        <v>8.23</v>
      </c>
      <c r="E110" s="32">
        <f t="shared" si="54"/>
        <v>-3.2902467685076306E-2</v>
      </c>
      <c r="F110" s="18">
        <f>IF(ISNUMBER(D110), $B118 * E110, "")</f>
        <v>-3290.2467685076308</v>
      </c>
      <c r="G110" s="31">
        <v>8.33</v>
      </c>
      <c r="H110" s="32">
        <f t="shared" si="55"/>
        <v>-2.115158636897764E-2</v>
      </c>
      <c r="I110" s="101">
        <f>IF(ISNUMBER(G110), $B118 * H110, "")</f>
        <v>-2115.1586368977642</v>
      </c>
      <c r="J110" s="15">
        <v>8.68</v>
      </c>
      <c r="K110" s="32">
        <f t="shared" si="56"/>
        <v>1.9976498237367794E-2</v>
      </c>
      <c r="L110" s="18">
        <f>IF(ISNUMBER(J110), $B118 * K110, "")</f>
        <v>1997.6498237367794</v>
      </c>
      <c r="M110" s="31">
        <v>8.76</v>
      </c>
      <c r="N110" s="32">
        <f t="shared" si="57"/>
        <v>2.9377203290246769E-2</v>
      </c>
      <c r="O110" s="18">
        <f>IF(ISNUMBER(M110), $B118 * N110, "")</f>
        <v>2937.7203290246771</v>
      </c>
      <c r="Q110" s="216"/>
      <c r="R110" s="216"/>
      <c r="S110" s="216"/>
    </row>
    <row r="111" spans="1:19" ht="17.25" thickBot="1">
      <c r="A111" s="125" t="s">
        <v>243</v>
      </c>
      <c r="B111" s="126">
        <v>359</v>
      </c>
      <c r="C111" s="77">
        <v>2.86532951E-2</v>
      </c>
      <c r="D111" s="15">
        <v>322</v>
      </c>
      <c r="E111" s="32">
        <f t="shared" si="54"/>
        <v>-0.10306406685236769</v>
      </c>
      <c r="F111" s="18">
        <f>IF(ISNUMBER(D111), $B118 * E111, "")</f>
        <v>-10306.406685236769</v>
      </c>
      <c r="G111" s="31">
        <v>321</v>
      </c>
      <c r="H111" s="32">
        <f t="shared" si="55"/>
        <v>-0.10584958217270195</v>
      </c>
      <c r="I111" s="101">
        <f>IF(ISNUMBER(G111), $B118 * H111, "")</f>
        <v>-10584.958217270194</v>
      </c>
      <c r="J111" s="15">
        <v>323</v>
      </c>
      <c r="K111" s="32">
        <f t="shared" si="56"/>
        <v>-0.10027855153203342</v>
      </c>
      <c r="L111" s="18">
        <f>IF(ISNUMBER(J111), $B118 * K111, "")</f>
        <v>-10027.855153203342</v>
      </c>
      <c r="M111" s="31">
        <v>332</v>
      </c>
      <c r="N111" s="32">
        <f t="shared" si="57"/>
        <v>-7.5208913649025072E-2</v>
      </c>
      <c r="O111" s="18">
        <f>IF(ISNUMBER(M111), $B118 * N111, "")</f>
        <v>-7520.8913649025071</v>
      </c>
      <c r="Q111" s="226"/>
      <c r="R111" s="226"/>
      <c r="S111" s="226"/>
    </row>
    <row r="112" spans="1:19" ht="17.25" thickBot="1">
      <c r="A112" s="127" t="s">
        <v>200</v>
      </c>
      <c r="B112" s="128">
        <v>87.1</v>
      </c>
      <c r="C112" s="78">
        <v>2.8335301100000002E-2</v>
      </c>
      <c r="D112" s="20">
        <v>101</v>
      </c>
      <c r="E112" s="21">
        <f t="shared" si="54"/>
        <v>0.15958668197474174</v>
      </c>
      <c r="F112" s="22">
        <f>IF(ISNUMBER(D112), $B118 * E112, "")</f>
        <v>15958.668197474173</v>
      </c>
      <c r="G112" s="30">
        <v>96.5</v>
      </c>
      <c r="H112" s="21">
        <f t="shared" si="55"/>
        <v>0.10792192881745127</v>
      </c>
      <c r="I112" s="105">
        <f>IF(ISNUMBER(G112), $B118 * H112, "")</f>
        <v>10792.192881745128</v>
      </c>
      <c r="J112" s="20">
        <v>101</v>
      </c>
      <c r="K112" s="21">
        <f t="shared" si="56"/>
        <v>0.15958668197474174</v>
      </c>
      <c r="L112" s="22">
        <f>IF(ISNUMBER(J112), $B118 * K112, "")</f>
        <v>15958.668197474173</v>
      </c>
      <c r="M112" s="30">
        <v>99.8</v>
      </c>
      <c r="N112" s="21">
        <f t="shared" si="57"/>
        <v>0.14580941446613094</v>
      </c>
      <c r="O112" s="22">
        <f>IF(ISNUMBER(M112), $B118 * N112, "")</f>
        <v>14580.941446613093</v>
      </c>
      <c r="Q112" s="226"/>
      <c r="R112" s="226"/>
      <c r="S112" s="226"/>
    </row>
    <row r="113" spans="1:19" ht="17.25" thickBot="1">
      <c r="A113" s="125" t="s">
        <v>154</v>
      </c>
      <c r="B113" s="129">
        <v>6715</v>
      </c>
      <c r="C113" s="80">
        <v>2.1292775699999999E-2</v>
      </c>
      <c r="D113" s="106">
        <v>7115</v>
      </c>
      <c r="E113" s="107">
        <f>IF(ISNUMBER(D113), (D113 - $B113) / $B113, "")</f>
        <v>5.9568131049888312E-2</v>
      </c>
      <c r="F113" s="108">
        <f>IF(ISNUMBER(D113), $B118 * E113, "")</f>
        <v>5956.8131049888316</v>
      </c>
      <c r="G113" s="109">
        <v>7145</v>
      </c>
      <c r="H113" s="107">
        <f>IF(ISNUMBER(G113), (G113 - $B113) / $B113, "")</f>
        <v>6.4035740878629926E-2</v>
      </c>
      <c r="I113" s="110">
        <f>IF(ISNUMBER(G113), $B118 * H113, "")</f>
        <v>6403.5740878629922</v>
      </c>
      <c r="J113" s="106">
        <v>7340</v>
      </c>
      <c r="K113" s="107">
        <f>IF(ISNUMBER(J113), (J113 - $B113) / $B113, "")</f>
        <v>9.3075204765450489E-2</v>
      </c>
      <c r="L113" s="108">
        <f>IF(ISNUMBER(J113), $B118 * K113, "")</f>
        <v>9307.520476545049</v>
      </c>
      <c r="M113" s="109">
        <v>7160</v>
      </c>
      <c r="N113" s="107">
        <f>IF(ISNUMBER(M113), (M113 - $B113) / $B113, "")</f>
        <v>6.6269545793000748E-2</v>
      </c>
      <c r="O113" s="108">
        <f>IF(ISNUMBER(M113), $B118 * N113, "")</f>
        <v>6626.9545793000743</v>
      </c>
      <c r="Q113" s="216"/>
      <c r="R113" s="216"/>
      <c r="S113" s="216"/>
    </row>
    <row r="114" spans="1:19" ht="17.25" thickBot="1">
      <c r="A114" s="125" t="s">
        <v>114</v>
      </c>
      <c r="B114" s="126">
        <v>290</v>
      </c>
      <c r="C114" s="77">
        <v>2.1126760599999999E-2</v>
      </c>
      <c r="D114" s="15">
        <v>267</v>
      </c>
      <c r="E114" s="32">
        <f t="shared" ref="E114:E117" si="58">IF(ISNUMBER(D114), (D114 - $B114) / $B114, "")</f>
        <v>-7.9310344827586213E-2</v>
      </c>
      <c r="F114" s="18">
        <f>IF(ISNUMBER(D114), $B118 * E114, "")</f>
        <v>-7931.0344827586214</v>
      </c>
      <c r="G114" s="31">
        <v>263</v>
      </c>
      <c r="H114" s="32">
        <f t="shared" ref="H114:H117" si="59">IF(ISNUMBER(G114), (G114 - $B114) / $B114, "")</f>
        <v>-9.3103448275862075E-2</v>
      </c>
      <c r="I114" s="101">
        <f>IF(ISNUMBER(G114), $B118 * H114, "")</f>
        <v>-9310.3448275862083</v>
      </c>
      <c r="J114" s="15">
        <v>264</v>
      </c>
      <c r="K114" s="32">
        <f t="shared" ref="K114:K117" si="60">IF(ISNUMBER(J114), (J114 - $B114) / $B114, "")</f>
        <v>-8.9655172413793102E-2</v>
      </c>
      <c r="L114" s="18">
        <f>IF(ISNUMBER(J114), $B118 * K114, "")</f>
        <v>-8965.5172413793098</v>
      </c>
      <c r="M114" s="31">
        <v>270</v>
      </c>
      <c r="N114" s="32">
        <f t="shared" ref="N114:N117" si="61">IF(ISNUMBER(M114), (M114 - $B114) / $B114, "")</f>
        <v>-6.8965517241379309E-2</v>
      </c>
      <c r="O114" s="18">
        <f>IF(ISNUMBER(M114), $B118 * N114, "")</f>
        <v>-6896.5517241379312</v>
      </c>
      <c r="Q114" s="216"/>
      <c r="R114" s="216"/>
      <c r="S114" s="216"/>
    </row>
    <row r="115" spans="1:19" ht="17.25" thickBot="1">
      <c r="A115" s="125" t="s">
        <v>212</v>
      </c>
      <c r="B115" s="126">
        <v>949</v>
      </c>
      <c r="C115" s="77">
        <v>1.6059957199999999E-2</v>
      </c>
      <c r="D115" s="15">
        <v>921</v>
      </c>
      <c r="E115" s="32">
        <f t="shared" si="58"/>
        <v>-2.9504741833508957E-2</v>
      </c>
      <c r="F115" s="18">
        <f>IF(ISNUMBER(D115), $B118 * E115, "")</f>
        <v>-2950.4741833508956</v>
      </c>
      <c r="G115" s="31">
        <v>911</v>
      </c>
      <c r="H115" s="32">
        <f t="shared" si="59"/>
        <v>-4.0042149631190724E-2</v>
      </c>
      <c r="I115" s="101">
        <f>IF(ISNUMBER(G115), $B118 * H115, "")</f>
        <v>-4004.2149631190723</v>
      </c>
      <c r="J115" s="15">
        <v>917</v>
      </c>
      <c r="K115" s="32">
        <f t="shared" si="60"/>
        <v>-3.3719704952581663E-2</v>
      </c>
      <c r="L115" s="18">
        <f>IF(ISNUMBER(J115), $B118 * K115, "")</f>
        <v>-3371.9704952581665</v>
      </c>
      <c r="M115" s="31">
        <v>924</v>
      </c>
      <c r="N115" s="32">
        <f t="shared" si="61"/>
        <v>-2.6343519494204427E-2</v>
      </c>
      <c r="O115" s="18">
        <f>IF(ISNUMBER(M115), $B118 * N115, "")</f>
        <v>-2634.3519494204425</v>
      </c>
      <c r="Q115" s="216"/>
      <c r="R115" s="216"/>
      <c r="S115" s="216"/>
    </row>
    <row r="116" spans="1:19">
      <c r="A116" s="125" t="s">
        <v>174</v>
      </c>
      <c r="B116" s="126">
        <v>214</v>
      </c>
      <c r="C116" s="77">
        <v>1.42180095E-2</v>
      </c>
      <c r="D116" s="15">
        <v>242</v>
      </c>
      <c r="E116" s="32">
        <f t="shared" si="58"/>
        <v>0.13084112149532709</v>
      </c>
      <c r="F116" s="18">
        <f>IF(ISNUMBER(D116), $B118 * E116, "")</f>
        <v>13084.11214953271</v>
      </c>
      <c r="G116" s="31">
        <v>235</v>
      </c>
      <c r="H116" s="32">
        <f t="shared" si="59"/>
        <v>9.8130841121495324E-2</v>
      </c>
      <c r="I116" s="101">
        <f>IF(ISNUMBER(G116), $B118 * H116, "")</f>
        <v>9813.0841121495323</v>
      </c>
      <c r="J116" s="15">
        <v>237</v>
      </c>
      <c r="K116" s="32">
        <f t="shared" si="60"/>
        <v>0.10747663551401869</v>
      </c>
      <c r="L116" s="18">
        <f>IF(ISNUMBER(J116), $B118 * K116, "")</f>
        <v>10747.663551401869</v>
      </c>
      <c r="M116" s="31">
        <v>240</v>
      </c>
      <c r="N116" s="32">
        <f t="shared" si="61"/>
        <v>0.12149532710280374</v>
      </c>
      <c r="O116" s="18">
        <f>IF(ISNUMBER(M116), $B118 * N116, "")</f>
        <v>12149.532710280373</v>
      </c>
      <c r="Q116" s="205"/>
      <c r="R116" s="206"/>
      <c r="S116" s="207"/>
    </row>
    <row r="117" spans="1:19" ht="17.25" thickBot="1">
      <c r="A117" s="130" t="s">
        <v>241</v>
      </c>
      <c r="B117" s="131">
        <v>50.6</v>
      </c>
      <c r="C117" s="79">
        <v>7.9681274999999999E-3</v>
      </c>
      <c r="D117" s="24">
        <v>48.3</v>
      </c>
      <c r="E117" s="25">
        <f t="shared" si="58"/>
        <v>-4.5454545454545539E-2</v>
      </c>
      <c r="F117" s="104">
        <f>IF(ISNUMBER(D117), $B118 * E117, "")</f>
        <v>-4545.4545454545541</v>
      </c>
      <c r="G117" s="102">
        <v>47.3</v>
      </c>
      <c r="H117" s="25">
        <f t="shared" si="59"/>
        <v>-6.5217391304347908E-2</v>
      </c>
      <c r="I117" s="103">
        <f>IF(ISNUMBER(G117), $B118 * H117, "")</f>
        <v>-6521.7391304347912</v>
      </c>
      <c r="J117" s="24">
        <v>48.7</v>
      </c>
      <c r="K117" s="25">
        <f t="shared" si="60"/>
        <v>-3.7549407114624477E-2</v>
      </c>
      <c r="L117" s="104">
        <f>IF(ISNUMBER(J117), $B118 * K117, "")</f>
        <v>-3754.9407114624478</v>
      </c>
      <c r="M117" s="102">
        <v>49.5</v>
      </c>
      <c r="N117" s="25">
        <f t="shared" si="61"/>
        <v>-2.1739130434782636E-2</v>
      </c>
      <c r="O117" s="104">
        <f>IF(ISNUMBER(M117), $B118 * N117, "")</f>
        <v>-2173.9130434782637</v>
      </c>
      <c r="Q117" s="208"/>
      <c r="R117" s="209"/>
      <c r="S117" s="210"/>
    </row>
    <row r="118" spans="1:19" ht="17.25" thickBot="1">
      <c r="A118" s="132" t="s">
        <v>271</v>
      </c>
      <c r="B118" s="269">
        <f>$B$37</f>
        <v>100000</v>
      </c>
      <c r="C118" s="270"/>
      <c r="D118" s="26" t="s">
        <v>272</v>
      </c>
      <c r="E118" s="27">
        <f>IF(COUNT(E98:E117), SUM(E98:E117) / COUNT(E98:E117), 0)</f>
        <v>-5.145221672648289E-2</v>
      </c>
      <c r="F118" s="28">
        <f>SUM(F98:F117)</f>
        <v>-102904.43345296579</v>
      </c>
      <c r="G118" s="26" t="s">
        <v>272</v>
      </c>
      <c r="H118" s="27">
        <f>IF(COUNT(H98:H117), SUM(H98:H117) / COUNT(H98:H117), 0)</f>
        <v>-6.6817971656782507E-2</v>
      </c>
      <c r="I118" s="28">
        <f>SUM(I98:I117)</f>
        <v>-133635.94331356502</v>
      </c>
      <c r="J118" s="26" t="s">
        <v>272</v>
      </c>
      <c r="K118" s="27">
        <f>IF(COUNT(K98:K117), SUM(K98:K117) / COUNT(K98:K117), 0)</f>
        <v>-5.1907122220042665E-2</v>
      </c>
      <c r="L118" s="28">
        <f>SUM(L98:L117)</f>
        <v>-103814.24444008531</v>
      </c>
      <c r="M118" s="26" t="s">
        <v>272</v>
      </c>
      <c r="N118" s="27">
        <f>IF(COUNT(N98:N117), SUM(N98:N117) / COUNT(N98:N117), 0)</f>
        <v>-3.9656952756052348E-2</v>
      </c>
      <c r="O118" s="28">
        <f>SUM(O98:O117)</f>
        <v>-79313.905512104684</v>
      </c>
      <c r="Q118" s="211"/>
      <c r="R118" s="212"/>
      <c r="S118" s="213"/>
    </row>
    <row r="120" spans="1:19" ht="17.25" thickBot="1"/>
    <row r="121" spans="1:19" ht="17.25" thickBot="1">
      <c r="A121" s="227" t="s">
        <v>259</v>
      </c>
      <c r="B121" s="228"/>
      <c r="C121" s="228"/>
      <c r="D121" s="228"/>
      <c r="E121" s="228"/>
      <c r="F121" s="228"/>
      <c r="G121" s="228"/>
      <c r="H121" s="228"/>
      <c r="I121" s="228"/>
      <c r="J121" s="228"/>
      <c r="K121" s="228"/>
      <c r="L121" s="228"/>
      <c r="M121" s="228"/>
      <c r="N121" s="228"/>
      <c r="O121" s="229"/>
      <c r="Q121" s="226"/>
      <c r="R121" s="226"/>
      <c r="S121" s="226"/>
    </row>
    <row r="122" spans="1:19" ht="17.25" thickBot="1">
      <c r="A122" s="161" t="s">
        <v>268</v>
      </c>
      <c r="B122" s="227" t="s">
        <v>49</v>
      </c>
      <c r="C122" s="229"/>
      <c r="D122" s="227" t="s">
        <v>58</v>
      </c>
      <c r="E122" s="228"/>
      <c r="F122" s="229"/>
      <c r="G122" s="230">
        <f>_xlfn.IFNA(VLOOKUP(B122, 현재가테이블!$B$2:$D$200, 2, FALSE), "-")</f>
        <v>39916000</v>
      </c>
      <c r="H122" s="231"/>
      <c r="I122" s="232"/>
      <c r="J122" s="227" t="s">
        <v>59</v>
      </c>
      <c r="K122" s="228"/>
      <c r="L122" s="229"/>
      <c r="M122" s="233">
        <f>_xlfn.IFNA(VLOOKUP(B122, 현재가테이블!$B$2:$D$200, 3, FALSE), "-")</f>
        <v>7.3184273000000003E-3</v>
      </c>
      <c r="N122" s="234"/>
      <c r="O122" s="235"/>
      <c r="Q122" s="226"/>
      <c r="R122" s="226"/>
      <c r="S122" s="226"/>
    </row>
    <row r="123" spans="1:19" ht="17.25" thickBot="1">
      <c r="A123" s="271" t="s">
        <v>55</v>
      </c>
      <c r="B123" s="267" t="str">
        <f>TEXT($G$1, "[$-ko-KR]yyyy-mm-dd(ddd) ") &amp; "오전 00:00"</f>
        <v>2021-07-02(금) 오전 00:00</v>
      </c>
      <c r="C123" s="268"/>
      <c r="D123" s="240" t="str">
        <f>TEXT($G$1, "[$-ko-KR]yyyy-mm-dd(ddd) ") &amp; "오후 14:00"</f>
        <v>2021-07-02(금) 오후 14:00</v>
      </c>
      <c r="E123" s="241"/>
      <c r="F123" s="242"/>
      <c r="G123" s="240" t="str">
        <f>TEXT($G$1, "[$-ko-KR]yyyy-mm-dd(ddd) ") &amp; "오후 19:00"</f>
        <v>2021-07-02(금) 오후 19:00</v>
      </c>
      <c r="H123" s="241"/>
      <c r="I123" s="242"/>
      <c r="J123" s="240" t="str">
        <f>TEXT($G$1, "[$-ko-KR]yyyy-mm-dd(ddd) ") &amp; "오후 21:00"</f>
        <v>2021-07-02(금) 오후 21:00</v>
      </c>
      <c r="K123" s="241"/>
      <c r="L123" s="242"/>
      <c r="M123" s="240" t="str">
        <f>TEXT($G$1+1, "[$-ko-KR]yyyy-mm-dd(ddd) ") &amp; "오전 00:00"</f>
        <v>2021-07-03(토) 오전 00:00</v>
      </c>
      <c r="N123" s="241"/>
      <c r="O123" s="242"/>
      <c r="Q123" s="226"/>
      <c r="R123" s="226"/>
      <c r="S123" s="226"/>
    </row>
    <row r="124" spans="1:19" ht="17.25" thickBot="1">
      <c r="A124" s="27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2" t="s">
        <v>58</v>
      </c>
      <c r="H124" s="163" t="s">
        <v>269</v>
      </c>
      <c r="I124" s="16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6"/>
      <c r="R124" s="216"/>
      <c r="S124" s="216"/>
    </row>
    <row r="125" spans="1:19" ht="17.25" thickBot="1">
      <c r="A125" s="123" t="s">
        <v>204</v>
      </c>
      <c r="B125" s="124">
        <v>9.2799999999999994</v>
      </c>
      <c r="C125" s="76">
        <v>5.4171180999999999E-3</v>
      </c>
      <c r="D125" s="13">
        <v>10.1</v>
      </c>
      <c r="E125" s="14">
        <f>IF(ISNUMBER(D125), (D125 - $B125) / $B125, "")</f>
        <v>8.8362068965517279E-2</v>
      </c>
      <c r="F125" s="16">
        <f>IF(ISNUMBER(D125), $B145 * E125, "")</f>
        <v>8836.2068965517283</v>
      </c>
      <c r="G125" s="29">
        <v>14.3</v>
      </c>
      <c r="H125" s="14">
        <f>IF(ISNUMBER(G125), (G125 - $B125) / $B125, "")</f>
        <v>0.54094827586206917</v>
      </c>
      <c r="I125" s="100">
        <f>IF(ISNUMBER(G125), $B145 * H125, "")</f>
        <v>54094.82758620692</v>
      </c>
      <c r="J125" s="13">
        <v>12.7</v>
      </c>
      <c r="K125" s="14">
        <f>IF(ISNUMBER(J125), (J125 - $B125) / $B125, "")</f>
        <v>0.36853448275862072</v>
      </c>
      <c r="L125" s="16">
        <f>IF(ISNUMBER(J125), $B145 * K125, "")</f>
        <v>36853.448275862072</v>
      </c>
      <c r="M125" s="29">
        <v>11.7</v>
      </c>
      <c r="N125" s="14">
        <f>IF(ISNUMBER(M125), (M125 - $B125) / $B125, "")</f>
        <v>0.26077586206896552</v>
      </c>
      <c r="O125" s="16">
        <f>IF(ISNUMBER(M125), $B145 * N125, "")</f>
        <v>26077.586206896551</v>
      </c>
      <c r="Q125" s="226"/>
      <c r="R125" s="226"/>
      <c r="S125" s="226"/>
    </row>
    <row r="126" spans="1:19" ht="17.25" thickBot="1">
      <c r="A126" s="125" t="s">
        <v>210</v>
      </c>
      <c r="B126" s="126">
        <v>8.2799999999999994</v>
      </c>
      <c r="C126" s="77">
        <v>2.4213074999999999E-3</v>
      </c>
      <c r="D126" s="15">
        <v>7.95</v>
      </c>
      <c r="E126" s="32">
        <f t="shared" ref="E126:E129" si="62">IF(ISNUMBER(D126), (D126 - $B126) / $B126, "")</f>
        <v>-3.9855072463768022E-2</v>
      </c>
      <c r="F126" s="18">
        <f>IF(ISNUMBER(D126), $B145 * E126, "")</f>
        <v>-3985.5072463768024</v>
      </c>
      <c r="G126" s="31">
        <v>8.0500000000000007</v>
      </c>
      <c r="H126" s="32">
        <f t="shared" ref="H126:H129" si="63">IF(ISNUMBER(G126), (G126 - $B126) / $B126, "")</f>
        <v>-2.7777777777777617E-2</v>
      </c>
      <c r="I126" s="101">
        <f>IF(ISNUMBER(G126), $B145 * H126, "")</f>
        <v>-2777.7777777777615</v>
      </c>
      <c r="J126" s="15">
        <v>8.5500000000000007</v>
      </c>
      <c r="K126" s="32">
        <f t="shared" ref="K126:K129" si="64">IF(ISNUMBER(J126), (J126 - $B126) / $B126, "")</f>
        <v>3.2608695652174079E-2</v>
      </c>
      <c r="L126" s="18">
        <f>IF(ISNUMBER(J126), $B145 * K126, "")</f>
        <v>3260.8695652174079</v>
      </c>
      <c r="M126" s="31">
        <v>8.6300000000000008</v>
      </c>
      <c r="N126" s="32">
        <f t="shared" ref="N126:N129" si="65">IF(ISNUMBER(M126), (M126 - $B126) / $B126, "")</f>
        <v>4.2270531400966357E-2</v>
      </c>
      <c r="O126" s="18">
        <f>IF(ISNUMBER(M126), $B145 * N126, "")</f>
        <v>4227.0531400966356</v>
      </c>
      <c r="Q126" s="226"/>
      <c r="R126" s="226"/>
      <c r="S126" s="226"/>
    </row>
    <row r="127" spans="1:19" ht="17.25" thickBot="1">
      <c r="A127" s="125" t="s">
        <v>178</v>
      </c>
      <c r="B127" s="126">
        <v>13.9</v>
      </c>
      <c r="C127" s="77">
        <v>-7.1428571000000003E-3</v>
      </c>
      <c r="D127" s="15">
        <v>14</v>
      </c>
      <c r="E127" s="32">
        <f t="shared" si="62"/>
        <v>7.1942446043165211E-3</v>
      </c>
      <c r="F127" s="18">
        <f>IF(ISNUMBER(D127), $B145 * E127, "")</f>
        <v>719.42446043165216</v>
      </c>
      <c r="G127" s="31">
        <v>14.2</v>
      </c>
      <c r="H127" s="32">
        <f t="shared" si="63"/>
        <v>2.1582733812949562E-2</v>
      </c>
      <c r="I127" s="101">
        <f>IF(ISNUMBER(G127), $B145 * H127, "")</f>
        <v>2158.2733812949564</v>
      </c>
      <c r="J127" s="15">
        <v>14.6</v>
      </c>
      <c r="K127" s="32">
        <f t="shared" si="64"/>
        <v>5.0359712230215778E-2</v>
      </c>
      <c r="L127" s="18">
        <f>IF(ISNUMBER(J127), $B145 * K127, "")</f>
        <v>5035.9712230215782</v>
      </c>
      <c r="M127" s="31">
        <v>14.8</v>
      </c>
      <c r="N127" s="32">
        <f t="shared" si="65"/>
        <v>6.4748201438848949E-2</v>
      </c>
      <c r="O127" s="18">
        <f>IF(ISNUMBER(M127), $B145 * N127, "")</f>
        <v>6474.8201438848946</v>
      </c>
      <c r="Q127" s="216"/>
      <c r="R127" s="216"/>
      <c r="S127" s="216"/>
    </row>
    <row r="128" spans="1:19" ht="17.25" thickBot="1">
      <c r="A128" s="125" t="s">
        <v>235</v>
      </c>
      <c r="B128" s="126">
        <v>48.3</v>
      </c>
      <c r="C128" s="77">
        <v>-8.2135524000000008E-3</v>
      </c>
      <c r="D128" s="15">
        <v>48.5</v>
      </c>
      <c r="E128" s="32">
        <f t="shared" si="62"/>
        <v>4.1407867494824609E-3</v>
      </c>
      <c r="F128" s="18">
        <f>IF(ISNUMBER(D128), $B145 * E128, "")</f>
        <v>414.07867494824609</v>
      </c>
      <c r="G128" s="31">
        <v>48.1</v>
      </c>
      <c r="H128" s="32">
        <f t="shared" si="63"/>
        <v>-4.1407867494823135E-3</v>
      </c>
      <c r="I128" s="101">
        <f>IF(ISNUMBER(G128), $B145 * H128, "")</f>
        <v>-414.07867494823137</v>
      </c>
      <c r="J128" s="15">
        <v>50.6</v>
      </c>
      <c r="K128" s="32">
        <f t="shared" si="64"/>
        <v>4.7619047619047714E-2</v>
      </c>
      <c r="L128" s="18">
        <f>IF(ISNUMBER(J128), $B145 * K128, "")</f>
        <v>4761.9047619047715</v>
      </c>
      <c r="M128" s="31">
        <v>51.1</v>
      </c>
      <c r="N128" s="32">
        <f t="shared" si="65"/>
        <v>5.7971014492753714E-2</v>
      </c>
      <c r="O128" s="18">
        <f>IF(ISNUMBER(M128), $B145 * N128, "")</f>
        <v>5797.1014492753711</v>
      </c>
      <c r="Q128" s="216"/>
      <c r="R128" s="216"/>
      <c r="S128" s="216"/>
    </row>
    <row r="129" spans="1:19" ht="17.25" thickBot="1">
      <c r="A129" s="127" t="s">
        <v>150</v>
      </c>
      <c r="B129" s="128">
        <v>8.1300000000000008</v>
      </c>
      <c r="C129" s="78">
        <v>-1.69286578E-2</v>
      </c>
      <c r="D129" s="20">
        <v>8.15</v>
      </c>
      <c r="E129" s="21">
        <f t="shared" si="62"/>
        <v>2.4600246002459496E-3</v>
      </c>
      <c r="F129" s="22">
        <f>IF(ISNUMBER(D129), $B145 * E129, "")</f>
        <v>246.00246002459497</v>
      </c>
      <c r="G129" s="30">
        <v>8.2799999999999994</v>
      </c>
      <c r="H129" s="21">
        <f t="shared" si="63"/>
        <v>1.8450184501844841E-2</v>
      </c>
      <c r="I129" s="105">
        <f>IF(ISNUMBER(G129), $B145 * H129, "")</f>
        <v>1845.0184501844842</v>
      </c>
      <c r="J129" s="20">
        <v>8.93</v>
      </c>
      <c r="K129" s="21">
        <f t="shared" si="64"/>
        <v>9.8400984009839959E-2</v>
      </c>
      <c r="L129" s="22">
        <f>IF(ISNUMBER(J129), $B145 * K129, "")</f>
        <v>9840.0984009839958</v>
      </c>
      <c r="M129" s="30">
        <v>8.91</v>
      </c>
      <c r="N129" s="21">
        <f t="shared" si="65"/>
        <v>9.5940959409594004E-2</v>
      </c>
      <c r="O129" s="22">
        <f>IF(ISNUMBER(M129), $B145 * N129, "")</f>
        <v>9594.0959409593997</v>
      </c>
      <c r="Q129" s="216"/>
      <c r="R129" s="216"/>
      <c r="S129" s="216"/>
    </row>
    <row r="130" spans="1:19" ht="17.25" thickBot="1">
      <c r="A130" s="125" t="s">
        <v>202</v>
      </c>
      <c r="B130" s="129">
        <v>56.2</v>
      </c>
      <c r="C130" s="80">
        <v>-2.4305555600000001E-2</v>
      </c>
      <c r="D130" s="106">
        <v>55.4</v>
      </c>
      <c r="E130" s="107">
        <f>IF(ISNUMBER(D130), (D130 - $B130) / $B130, "")</f>
        <v>-1.4234875444839933E-2</v>
      </c>
      <c r="F130" s="108">
        <f>IF(ISNUMBER(D130), $B145 * E130, "")</f>
        <v>-1423.4875444839934</v>
      </c>
      <c r="G130" s="109">
        <v>55.8</v>
      </c>
      <c r="H130" s="107">
        <f>IF(ISNUMBER(G130), (G130 - $B130) / $B130, "")</f>
        <v>-7.1174377224200299E-3</v>
      </c>
      <c r="I130" s="110">
        <f>IF(ISNUMBER(G130), $B145 * H130, "")</f>
        <v>-711.74377224200305</v>
      </c>
      <c r="J130" s="106">
        <v>55.9</v>
      </c>
      <c r="K130" s="107">
        <f>IF(ISNUMBER(J130), (J130 - $B130) / $B130, "")</f>
        <v>-5.3380782918150222E-3</v>
      </c>
      <c r="L130" s="108">
        <f>IF(ISNUMBER(J130), $B145 * K130, "")</f>
        <v>-533.80782918150226</v>
      </c>
      <c r="M130" s="109">
        <v>56.3</v>
      </c>
      <c r="N130" s="107">
        <f>IF(ISNUMBER(M130), (M130 - $B130) / $B130, "")</f>
        <v>1.7793594306048811E-3</v>
      </c>
      <c r="O130" s="108">
        <f>IF(ISNUMBER(M130), $B145 * N130, "")</f>
        <v>177.93594306048811</v>
      </c>
      <c r="Q130" s="216"/>
      <c r="R130" s="216"/>
      <c r="S130" s="216"/>
    </row>
    <row r="131" spans="1:19" ht="17.25" thickBot="1">
      <c r="A131" s="125" t="s">
        <v>72</v>
      </c>
      <c r="B131" s="126">
        <v>16.8</v>
      </c>
      <c r="C131" s="77">
        <v>-2.89017341E-2</v>
      </c>
      <c r="D131" s="15">
        <v>26.1</v>
      </c>
      <c r="E131" s="32">
        <f t="shared" ref="E131:E134" si="66">IF(ISNUMBER(D131), (D131 - $B131) / $B131, "")</f>
        <v>0.5535714285714286</v>
      </c>
      <c r="F131" s="18">
        <f>IF(ISNUMBER(D131), $B145 * E131, "")</f>
        <v>55357.142857142862</v>
      </c>
      <c r="G131" s="31">
        <v>21</v>
      </c>
      <c r="H131" s="32">
        <f t="shared" ref="H131:H134" si="67">IF(ISNUMBER(G131), (G131 - $B131) / $B131, "")</f>
        <v>0.24999999999999994</v>
      </c>
      <c r="I131" s="101">
        <f>IF(ISNUMBER(G131), $B145 * H131, "")</f>
        <v>24999.999999999993</v>
      </c>
      <c r="J131" s="15">
        <v>20.8</v>
      </c>
      <c r="K131" s="32">
        <f t="shared" ref="K131:K134" si="68">IF(ISNUMBER(J131), (J131 - $B131) / $B131, "")</f>
        <v>0.23809523809523808</v>
      </c>
      <c r="L131" s="18">
        <f>IF(ISNUMBER(J131), $B145 * K131, "")</f>
        <v>23809.523809523809</v>
      </c>
      <c r="M131" s="31">
        <v>20.399999999999999</v>
      </c>
      <c r="N131" s="32">
        <f t="shared" ref="N131:N134" si="69">IF(ISNUMBER(M131), (M131 - $B131) / $B131, "")</f>
        <v>0.21428571428571416</v>
      </c>
      <c r="O131" s="18">
        <f>IF(ISNUMBER(M131), $B145 * N131, "")</f>
        <v>21428.571428571417</v>
      </c>
      <c r="Q131" s="216"/>
      <c r="R131" s="216"/>
      <c r="S131" s="216"/>
    </row>
    <row r="132" spans="1:19" ht="17.25" thickBot="1">
      <c r="A132" s="125" t="s">
        <v>148</v>
      </c>
      <c r="B132" s="126">
        <v>15</v>
      </c>
      <c r="C132" s="77">
        <v>-3.2258064500000003E-2</v>
      </c>
      <c r="D132" s="15">
        <v>14.9</v>
      </c>
      <c r="E132" s="32">
        <f t="shared" si="66"/>
        <v>-6.6666666666666428E-3</v>
      </c>
      <c r="F132" s="18">
        <f>IF(ISNUMBER(D132), $B145 * E132, "")</f>
        <v>-666.66666666666424</v>
      </c>
      <c r="G132" s="31">
        <v>14.6</v>
      </c>
      <c r="H132" s="32">
        <f t="shared" si="67"/>
        <v>-2.6666666666666689E-2</v>
      </c>
      <c r="I132" s="101">
        <f>IF(ISNUMBER(G132), $B145 * H132, "")</f>
        <v>-2666.6666666666688</v>
      </c>
      <c r="J132" s="15">
        <v>14.6</v>
      </c>
      <c r="K132" s="32">
        <f t="shared" si="68"/>
        <v>-2.6666666666666689E-2</v>
      </c>
      <c r="L132" s="18">
        <f>IF(ISNUMBER(J132), $B145 * K132, "")</f>
        <v>-2666.6666666666688</v>
      </c>
      <c r="M132" s="31">
        <v>14.9</v>
      </c>
      <c r="N132" s="32">
        <f t="shared" si="69"/>
        <v>-6.6666666666666428E-3</v>
      </c>
      <c r="O132" s="18">
        <f>IF(ISNUMBER(M132), $B145 * N132, "")</f>
        <v>-666.66666666666424</v>
      </c>
      <c r="Q132" s="216"/>
      <c r="R132" s="216"/>
      <c r="S132" s="216"/>
    </row>
    <row r="133" spans="1:19" ht="17.25" thickBot="1">
      <c r="A133" s="125" t="s">
        <v>218</v>
      </c>
      <c r="B133" s="126">
        <v>85.5</v>
      </c>
      <c r="C133" s="77">
        <v>-3.3898305099999998E-2</v>
      </c>
      <c r="D133" s="15">
        <v>86.4</v>
      </c>
      <c r="E133" s="32">
        <f t="shared" si="66"/>
        <v>1.052631578947375E-2</v>
      </c>
      <c r="F133" s="18">
        <f>IF(ISNUMBER(D133), $B145 * E133, "")</f>
        <v>1052.6315789473749</v>
      </c>
      <c r="G133" s="31">
        <v>85.8</v>
      </c>
      <c r="H133" s="32">
        <f t="shared" si="67"/>
        <v>3.5087719298245281E-3</v>
      </c>
      <c r="I133" s="101">
        <f>IF(ISNUMBER(G133), $B145 * H133, "")</f>
        <v>350.87719298245281</v>
      </c>
      <c r="J133" s="15">
        <v>87.1</v>
      </c>
      <c r="K133" s="32">
        <f t="shared" si="68"/>
        <v>1.8713450292397595E-2</v>
      </c>
      <c r="L133" s="18">
        <f>IF(ISNUMBER(J133), $B145 * K133, "")</f>
        <v>1871.3450292397595</v>
      </c>
      <c r="M133" s="31">
        <v>91.2</v>
      </c>
      <c r="N133" s="32">
        <f t="shared" si="69"/>
        <v>6.6666666666666693E-2</v>
      </c>
      <c r="O133" s="18">
        <f>IF(ISNUMBER(M133), $B145 * N133, "")</f>
        <v>6666.6666666666697</v>
      </c>
      <c r="Q133" s="33"/>
      <c r="R133" s="33"/>
    </row>
    <row r="134" spans="1:19" ht="17.25" thickBot="1">
      <c r="A134" s="130" t="s">
        <v>190</v>
      </c>
      <c r="B134" s="131">
        <v>13.6</v>
      </c>
      <c r="C134" s="79">
        <v>-3.5460992900000002E-2</v>
      </c>
      <c r="D134" s="24">
        <v>13.6</v>
      </c>
      <c r="E134" s="25">
        <f t="shared" si="66"/>
        <v>0</v>
      </c>
      <c r="F134" s="104">
        <f>IF(ISNUMBER(D134), $B145 * E134, "")</f>
        <v>0</v>
      </c>
      <c r="G134" s="102">
        <v>14.6</v>
      </c>
      <c r="H134" s="25">
        <f t="shared" si="67"/>
        <v>7.3529411764705885E-2</v>
      </c>
      <c r="I134" s="103">
        <f>IF(ISNUMBER(G134), $B145 * H134, "")</f>
        <v>7352.9411764705883</v>
      </c>
      <c r="J134" s="24">
        <v>14.9</v>
      </c>
      <c r="K134" s="25">
        <f t="shared" si="68"/>
        <v>9.5588235294117696E-2</v>
      </c>
      <c r="L134" s="104">
        <f>IF(ISNUMBER(J134), $B145 * K134, "")</f>
        <v>9558.8235294117694</v>
      </c>
      <c r="M134" s="102">
        <v>14.6</v>
      </c>
      <c r="N134" s="25">
        <f t="shared" si="69"/>
        <v>7.3529411764705885E-2</v>
      </c>
      <c r="O134" s="104">
        <f>IF(ISNUMBER(M134), $B145 * N134, "")</f>
        <v>7352.9411764705883</v>
      </c>
      <c r="Q134" s="217"/>
      <c r="R134" s="218"/>
      <c r="S134" s="219"/>
    </row>
    <row r="135" spans="1:19">
      <c r="A135" s="123" t="s">
        <v>98</v>
      </c>
      <c r="B135" s="124">
        <v>3.12</v>
      </c>
      <c r="C135" s="76">
        <v>-3.7037037000000002E-2</v>
      </c>
      <c r="D135" s="13">
        <v>3.04</v>
      </c>
      <c r="E135" s="14">
        <f>IF(ISNUMBER(D135), (D135 - $B135) / $B135, "")</f>
        <v>-2.5641025641025664E-2</v>
      </c>
      <c r="F135" s="16">
        <f>IF(ISNUMBER(D135), $B145 * E135, "")</f>
        <v>-2564.1025641025662</v>
      </c>
      <c r="G135" s="29">
        <v>3.01</v>
      </c>
      <c r="H135" s="14">
        <f>IF(ISNUMBER(G135), (G135 - $B135) / $B135, "")</f>
        <v>-3.525641025641036E-2</v>
      </c>
      <c r="I135" s="100">
        <f>IF(ISNUMBER(G135), $B145 * H135, "")</f>
        <v>-3525.6410256410359</v>
      </c>
      <c r="J135" s="13">
        <v>3.03</v>
      </c>
      <c r="K135" s="14">
        <f>IF(ISNUMBER(J135), (J135 - $B135) / $B135, "")</f>
        <v>-2.8846153846153941E-2</v>
      </c>
      <c r="L135" s="16">
        <f>IF(ISNUMBER(J135), $B145 * K135, "")</f>
        <v>-2884.6153846153943</v>
      </c>
      <c r="M135" s="29">
        <v>3.06</v>
      </c>
      <c r="N135" s="14">
        <f>IF(ISNUMBER(M135), (M135 - $B135) / $B135, "")</f>
        <v>-1.9230769230769246E-2</v>
      </c>
      <c r="O135" s="16">
        <f>IF(ISNUMBER(M135), $B145 * N135, "")</f>
        <v>-1923.0769230769245</v>
      </c>
      <c r="Q135" s="220"/>
      <c r="R135" s="221"/>
      <c r="S135" s="222"/>
    </row>
    <row r="136" spans="1:19" ht="17.25" thickBot="1">
      <c r="A136" s="125" t="s">
        <v>152</v>
      </c>
      <c r="B136" s="126">
        <v>76</v>
      </c>
      <c r="C136" s="77">
        <v>-4.0404040400000001E-2</v>
      </c>
      <c r="D136" s="15">
        <v>74.8</v>
      </c>
      <c r="E136" s="32">
        <f t="shared" ref="E136:E139" si="70">IF(ISNUMBER(D136), (D136 - $B136) / $B136, "")</f>
        <v>-1.5789473684210565E-2</v>
      </c>
      <c r="F136" s="18">
        <f>IF(ISNUMBER(D136), $B145 * E136, "")</f>
        <v>-1578.9473684210566</v>
      </c>
      <c r="G136" s="31">
        <v>74.8</v>
      </c>
      <c r="H136" s="32">
        <f t="shared" ref="H136:H139" si="71">IF(ISNUMBER(G136), (G136 - $B136) / $B136, "")</f>
        <v>-1.5789473684210565E-2</v>
      </c>
      <c r="I136" s="101">
        <f>IF(ISNUMBER(G136), $B145 * H136, "")</f>
        <v>-1578.9473684210566</v>
      </c>
      <c r="J136" s="15">
        <v>75.3</v>
      </c>
      <c r="K136" s="32">
        <f t="shared" ref="K136:K139" si="72">IF(ISNUMBER(J136), (J136 - $B136) / $B136, "")</f>
        <v>-9.210526315789511E-3</v>
      </c>
      <c r="L136" s="18">
        <f>IF(ISNUMBER(J136), $B145 * K136, "")</f>
        <v>-921.05263157895115</v>
      </c>
      <c r="M136" s="31">
        <v>76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23"/>
      <c r="R136" s="224"/>
      <c r="S136" s="225"/>
    </row>
    <row r="137" spans="1:19" ht="17.25" thickBot="1">
      <c r="A137" s="125" t="s">
        <v>239</v>
      </c>
      <c r="B137" s="126">
        <v>64.5</v>
      </c>
      <c r="C137" s="77">
        <v>-4.1604754799999998E-2</v>
      </c>
      <c r="D137" s="15">
        <v>77.900000000000006</v>
      </c>
      <c r="E137" s="32">
        <f t="shared" si="70"/>
        <v>0.2077519379844962</v>
      </c>
      <c r="F137" s="18">
        <f>IF(ISNUMBER(D137), $B145 * E137, "")</f>
        <v>20775.193798449622</v>
      </c>
      <c r="G137" s="31">
        <v>83.3</v>
      </c>
      <c r="H137" s="32">
        <f t="shared" si="71"/>
        <v>0.2914728682170542</v>
      </c>
      <c r="I137" s="101">
        <f>IF(ISNUMBER(G137), $B145 * H137, "")</f>
        <v>29147.28682170542</v>
      </c>
      <c r="J137" s="15">
        <v>91.5</v>
      </c>
      <c r="K137" s="32">
        <f t="shared" si="72"/>
        <v>0.41860465116279072</v>
      </c>
      <c r="L137" s="18">
        <f>IF(ISNUMBER(J137), $B145 * K137, "")</f>
        <v>41860.465116279069</v>
      </c>
      <c r="M137" s="31">
        <v>80.400000000000006</v>
      </c>
      <c r="N137" s="32">
        <f t="shared" si="73"/>
        <v>0.24651162790697684</v>
      </c>
      <c r="O137" s="18">
        <f>IF(ISNUMBER(M137), $B145 * N137, "")</f>
        <v>24651.162790697683</v>
      </c>
      <c r="Q137" s="216"/>
      <c r="R137" s="216"/>
      <c r="S137" s="216"/>
    </row>
    <row r="138" spans="1:19" ht="17.25" thickBot="1">
      <c r="A138" s="125" t="s">
        <v>222</v>
      </c>
      <c r="B138" s="126">
        <v>82.3</v>
      </c>
      <c r="C138" s="77">
        <v>-4.7453703700000002E-2</v>
      </c>
      <c r="D138" s="15">
        <v>86.8</v>
      </c>
      <c r="E138" s="32">
        <f t="shared" si="70"/>
        <v>5.4678007290400975E-2</v>
      </c>
      <c r="F138" s="18">
        <f>IF(ISNUMBER(D138), $B145 * E138, "")</f>
        <v>5467.8007290400974</v>
      </c>
      <c r="G138" s="31">
        <v>83.8</v>
      </c>
      <c r="H138" s="32">
        <f t="shared" si="71"/>
        <v>1.8226002430133659E-2</v>
      </c>
      <c r="I138" s="101">
        <f>IF(ISNUMBER(G138), $B145 * H138, "")</f>
        <v>1822.600243013366</v>
      </c>
      <c r="J138" s="15">
        <v>91.7</v>
      </c>
      <c r="K138" s="32">
        <f t="shared" si="72"/>
        <v>0.11421628189550433</v>
      </c>
      <c r="L138" s="18">
        <f>IF(ISNUMBER(J138), $B145 * K138, "")</f>
        <v>11421.628189550433</v>
      </c>
      <c r="M138" s="31">
        <v>92.7</v>
      </c>
      <c r="N138" s="32">
        <f t="shared" si="73"/>
        <v>0.1263669501822601</v>
      </c>
      <c r="O138" s="18">
        <f>IF(ISNUMBER(M138), $B145 * N138, "")</f>
        <v>12636.69501822601</v>
      </c>
      <c r="Q138" s="226"/>
      <c r="R138" s="226"/>
      <c r="S138" s="226"/>
    </row>
    <row r="139" spans="1:19" ht="17.25" thickBot="1">
      <c r="A139" s="127" t="s">
        <v>65</v>
      </c>
      <c r="B139" s="128">
        <v>24.9</v>
      </c>
      <c r="C139" s="78">
        <v>-4.9618320600000002E-2</v>
      </c>
      <c r="D139" s="20">
        <v>26</v>
      </c>
      <c r="E139" s="21">
        <f t="shared" si="70"/>
        <v>4.4176706827309294E-2</v>
      </c>
      <c r="F139" s="22">
        <f>IF(ISNUMBER(D139), $B145 * E139, "")</f>
        <v>4417.670682730929</v>
      </c>
      <c r="G139" s="30">
        <v>25.7</v>
      </c>
      <c r="H139" s="21">
        <f t="shared" si="71"/>
        <v>3.2128514056224931E-2</v>
      </c>
      <c r="I139" s="105">
        <f>IF(ISNUMBER(G139), $B145 * H139, "")</f>
        <v>3212.8514056224931</v>
      </c>
      <c r="J139" s="20">
        <v>26</v>
      </c>
      <c r="K139" s="21">
        <f t="shared" si="72"/>
        <v>4.4176706827309294E-2</v>
      </c>
      <c r="L139" s="22">
        <f>IF(ISNUMBER(J139), $B145 * K139, "")</f>
        <v>4417.670682730929</v>
      </c>
      <c r="M139" s="30">
        <v>27</v>
      </c>
      <c r="N139" s="21">
        <f t="shared" si="73"/>
        <v>8.4337349397590425E-2</v>
      </c>
      <c r="O139" s="22">
        <f>IF(ISNUMBER(M139), $B145 * N139, "")</f>
        <v>8433.7349397590424</v>
      </c>
      <c r="Q139" s="226"/>
      <c r="R139" s="226"/>
      <c r="S139" s="226"/>
    </row>
    <row r="140" spans="1:19" ht="17.25" thickBot="1">
      <c r="A140" s="125" t="s">
        <v>132</v>
      </c>
      <c r="B140" s="129">
        <v>96.8</v>
      </c>
      <c r="C140" s="80">
        <v>-5.0980392200000002E-2</v>
      </c>
      <c r="D140" s="106">
        <v>92.4</v>
      </c>
      <c r="E140" s="107">
        <f>IF(ISNUMBER(D140), (D140 - $B140) / $B140, "")</f>
        <v>-4.5454545454545366E-2</v>
      </c>
      <c r="F140" s="108">
        <f>IF(ISNUMBER(D140), $B145 * E140, "")</f>
        <v>-4545.4545454545369</v>
      </c>
      <c r="G140" s="109">
        <v>91.3</v>
      </c>
      <c r="H140" s="107">
        <f>IF(ISNUMBER(G140), (G140 - $B140) / $B140, "")</f>
        <v>-5.6818181818181823E-2</v>
      </c>
      <c r="I140" s="110">
        <f>IF(ISNUMBER(G140), $B145 * H140, "")</f>
        <v>-5681.818181818182</v>
      </c>
      <c r="J140" s="106">
        <v>91.6</v>
      </c>
      <c r="K140" s="107">
        <f>IF(ISNUMBER(J140), (J140 - $B140) / $B140, "")</f>
        <v>-5.3719008264462839E-2</v>
      </c>
      <c r="L140" s="108">
        <f>IF(ISNUMBER(J140), $B145 * K140, "")</f>
        <v>-5371.9008264462836</v>
      </c>
      <c r="M140" s="109">
        <v>92.9</v>
      </c>
      <c r="N140" s="107">
        <f>IF(ISNUMBER(M140), (M140 - $B140) / $B140, "")</f>
        <v>-4.0289256198347022E-2</v>
      </c>
      <c r="O140" s="108">
        <f>IF(ISNUMBER(M140), $B145 * N140, "")</f>
        <v>-4028.925619834702</v>
      </c>
      <c r="Q140" s="216"/>
      <c r="R140" s="216"/>
      <c r="S140" s="216"/>
    </row>
    <row r="141" spans="1:19" ht="17.25" thickBot="1">
      <c r="A141" s="125" t="s">
        <v>251</v>
      </c>
      <c r="B141" s="126">
        <v>57.7</v>
      </c>
      <c r="C141" s="77">
        <v>-5.56464812E-2</v>
      </c>
      <c r="D141" s="15">
        <v>57.4</v>
      </c>
      <c r="E141" s="32">
        <f t="shared" ref="E141:E144" si="74">IF(ISNUMBER(D141), (D141 - $B141) / $B141, "")</f>
        <v>-5.1993067590988601E-3</v>
      </c>
      <c r="F141" s="18">
        <f>IF(ISNUMBER(D141), $B145 * E141, "")</f>
        <v>-519.93067590988596</v>
      </c>
      <c r="G141" s="31">
        <v>57</v>
      </c>
      <c r="H141" s="32">
        <f t="shared" ref="H141:H144" si="75">IF(ISNUMBER(G141), (G141 - $B141) / $B141, "")</f>
        <v>-1.2131715771230551E-2</v>
      </c>
      <c r="I141" s="101">
        <f>IF(ISNUMBER(G141), $B145 * H141, "")</f>
        <v>-1213.1715771230552</v>
      </c>
      <c r="J141" s="15">
        <v>57.5</v>
      </c>
      <c r="K141" s="32">
        <f t="shared" ref="K141:K144" si="76">IF(ISNUMBER(J141), (J141 - $B141) / $B141, "")</f>
        <v>-3.4662045060659071E-3</v>
      </c>
      <c r="L141" s="18">
        <f>IF(ISNUMBER(J141), $B145 * K141, "")</f>
        <v>-346.62045060659074</v>
      </c>
      <c r="M141" s="31">
        <v>58.4</v>
      </c>
      <c r="N141" s="32">
        <f t="shared" ref="N141:N144" si="77">IF(ISNUMBER(M141), (M141 - $B141) / $B141, "")</f>
        <v>1.2131715771230428E-2</v>
      </c>
      <c r="O141" s="18">
        <f>IF(ISNUMBER(M141), $B145 * N141, "")</f>
        <v>1213.1715771230429</v>
      </c>
      <c r="Q141" s="216"/>
      <c r="R141" s="216"/>
      <c r="S141" s="216"/>
    </row>
    <row r="142" spans="1:19" ht="17.25" thickBot="1">
      <c r="A142" s="125" t="s">
        <v>144</v>
      </c>
      <c r="B142" s="126">
        <v>87.2</v>
      </c>
      <c r="C142" s="77">
        <v>-5.6277056300000003E-2</v>
      </c>
      <c r="D142" s="15">
        <v>84.7</v>
      </c>
      <c r="E142" s="32">
        <f t="shared" si="74"/>
        <v>-2.86697247706422E-2</v>
      </c>
      <c r="F142" s="18">
        <f>IF(ISNUMBER(D142), $B145 * E142, "")</f>
        <v>-2866.9724770642201</v>
      </c>
      <c r="G142" s="31">
        <v>82.9</v>
      </c>
      <c r="H142" s="32">
        <f t="shared" si="75"/>
        <v>-4.9311926605504555E-2</v>
      </c>
      <c r="I142" s="101">
        <f>IF(ISNUMBER(G142), $B145 * H142, "")</f>
        <v>-4931.1926605504559</v>
      </c>
      <c r="J142" s="15">
        <v>83.4</v>
      </c>
      <c r="K142" s="32">
        <f t="shared" si="76"/>
        <v>-4.3577981651376115E-2</v>
      </c>
      <c r="L142" s="18">
        <f>IF(ISNUMBER(J142), $B145 * K142, "")</f>
        <v>-4357.7981651376112</v>
      </c>
      <c r="M142" s="31">
        <v>86</v>
      </c>
      <c r="N142" s="32">
        <f t="shared" si="77"/>
        <v>-1.3761467889908289E-2</v>
      </c>
      <c r="O142" s="18">
        <f>IF(ISNUMBER(M142), $B145 * N142, "")</f>
        <v>-1376.1467889908288</v>
      </c>
      <c r="Q142" s="216"/>
      <c r="R142" s="216"/>
      <c r="S142" s="216"/>
    </row>
    <row r="143" spans="1:19">
      <c r="A143" s="125" t="s">
        <v>128</v>
      </c>
      <c r="B143" s="126">
        <v>99.8</v>
      </c>
      <c r="C143" s="77">
        <v>-5.8490566000000001E-2</v>
      </c>
      <c r="D143" s="15">
        <v>98.3</v>
      </c>
      <c r="E143" s="32">
        <f t="shared" si="74"/>
        <v>-1.5030060120240482E-2</v>
      </c>
      <c r="F143" s="18">
        <f>IF(ISNUMBER(D143), $B145 * E143, "")</f>
        <v>-1503.0060120240482</v>
      </c>
      <c r="G143" s="31">
        <v>96.8</v>
      </c>
      <c r="H143" s="32">
        <f t="shared" si="75"/>
        <v>-3.0060120240480964E-2</v>
      </c>
      <c r="I143" s="101">
        <f>IF(ISNUMBER(G143), $B145 * H143, "")</f>
        <v>-3006.0120240480965</v>
      </c>
      <c r="J143" s="15">
        <v>97.6</v>
      </c>
      <c r="K143" s="32">
        <f t="shared" si="76"/>
        <v>-2.2044088176352734E-2</v>
      </c>
      <c r="L143" s="18">
        <f>IF(ISNUMBER(J143), $B145 * K143, "")</f>
        <v>-2204.4088176352734</v>
      </c>
      <c r="M143" s="31">
        <v>99.7</v>
      </c>
      <c r="N143" s="32">
        <f t="shared" si="77"/>
        <v>-1.0020040080159752E-3</v>
      </c>
      <c r="O143" s="18">
        <f>IF(ISNUMBER(M143), $B145 * N143, "")</f>
        <v>-100.20040080159751</v>
      </c>
      <c r="Q143" s="205"/>
      <c r="R143" s="206"/>
      <c r="S143" s="207"/>
    </row>
    <row r="144" spans="1:19" ht="17.25" thickBot="1">
      <c r="A144" s="130" t="s">
        <v>162</v>
      </c>
      <c r="B144" s="131">
        <v>82.1</v>
      </c>
      <c r="C144" s="79">
        <v>-0.12192513369999999</v>
      </c>
      <c r="D144" s="24">
        <v>76.099999999999994</v>
      </c>
      <c r="E144" s="25">
        <f t="shared" si="74"/>
        <v>-7.3081607795371498E-2</v>
      </c>
      <c r="F144" s="104">
        <f>IF(ISNUMBER(D144), $B145 * E144, "")</f>
        <v>-7308.1607795371501</v>
      </c>
      <c r="G144" s="102">
        <v>76</v>
      </c>
      <c r="H144" s="25">
        <f t="shared" si="75"/>
        <v>-7.4299634591960956E-2</v>
      </c>
      <c r="I144" s="103">
        <f>IF(ISNUMBER(G144), $B145 * H144, "")</f>
        <v>-7429.9634591960958</v>
      </c>
      <c r="J144" s="24">
        <v>76.8</v>
      </c>
      <c r="K144" s="25">
        <f t="shared" si="76"/>
        <v>-6.4555420219244791E-2</v>
      </c>
      <c r="L144" s="104">
        <f>IF(ISNUMBER(J144), $B145 * K144, "")</f>
        <v>-6455.5420219244788</v>
      </c>
      <c r="M144" s="102">
        <v>78.400000000000006</v>
      </c>
      <c r="N144" s="25">
        <f t="shared" si="77"/>
        <v>-4.5066991473812289E-2</v>
      </c>
      <c r="O144" s="104">
        <f>IF(ISNUMBER(M144), $B145 * N144, "")</f>
        <v>-4506.6991473812286</v>
      </c>
      <c r="Q144" s="208"/>
      <c r="R144" s="209"/>
      <c r="S144" s="210"/>
    </row>
    <row r="145" spans="1:19" ht="17.25" thickBot="1">
      <c r="A145" s="132" t="s">
        <v>271</v>
      </c>
      <c r="B145" s="269">
        <f>$B$37</f>
        <v>100000</v>
      </c>
      <c r="C145" s="270"/>
      <c r="D145" s="26" t="s">
        <v>272</v>
      </c>
      <c r="E145" s="27">
        <f>IF(COUNT(E125:E144), SUM(E125:E144) / COUNT(E125:E144), 0)</f>
        <v>3.5161958129113088E-2</v>
      </c>
      <c r="F145" s="28">
        <f>SUM(F125:F144)</f>
        <v>70323.916258226163</v>
      </c>
      <c r="G145" s="26" t="s">
        <v>272</v>
      </c>
      <c r="H145" s="27">
        <f>IF(COUNT(H125:H144), SUM(H125:H144) / COUNT(H125:H144), 0)</f>
        <v>4.5523831534524016E-2</v>
      </c>
      <c r="I145" s="28">
        <f>SUM(I125:I144)</f>
        <v>91047.663069048082</v>
      </c>
      <c r="J145" s="26" t="s">
        <v>272</v>
      </c>
      <c r="K145" s="27">
        <f>IF(COUNT(K125:K144), SUM(K125:K144) / COUNT(K125:K144), 0)</f>
        <v>6.3474667894966419E-2</v>
      </c>
      <c r="L145" s="28">
        <f>SUM(L125:L144)</f>
        <v>126949.33578993287</v>
      </c>
      <c r="M145" s="26" t="s">
        <v>272</v>
      </c>
      <c r="N145" s="27">
        <f>IF(COUNT(N125:N144), SUM(N125:N144) / COUNT(N125:N144), 0)</f>
        <v>6.1064910437467944E-2</v>
      </c>
      <c r="O145" s="28">
        <f>SUM(O125:O144)</f>
        <v>122129.82087493586</v>
      </c>
      <c r="Q145" s="211"/>
      <c r="R145" s="212"/>
      <c r="S145" s="213"/>
    </row>
    <row r="147" spans="1:19" ht="17.25" thickBot="1"/>
    <row r="148" spans="1:19" ht="17.25" thickBot="1">
      <c r="A148" s="227" t="s">
        <v>260</v>
      </c>
      <c r="B148" s="228"/>
      <c r="C148" s="228"/>
      <c r="D148" s="228"/>
      <c r="E148" s="228"/>
      <c r="F148" s="228"/>
      <c r="G148" s="228"/>
      <c r="H148" s="228"/>
      <c r="I148" s="228"/>
      <c r="J148" s="228"/>
      <c r="K148" s="228"/>
      <c r="L148" s="228"/>
      <c r="M148" s="228"/>
      <c r="N148" s="228"/>
      <c r="O148" s="229"/>
      <c r="Q148" s="226"/>
      <c r="R148" s="226"/>
      <c r="S148" s="226"/>
    </row>
    <row r="149" spans="1:19" ht="17.25" thickBot="1">
      <c r="A149" s="161" t="s">
        <v>268</v>
      </c>
      <c r="B149" s="227" t="s">
        <v>49</v>
      </c>
      <c r="C149" s="229"/>
      <c r="D149" s="227" t="s">
        <v>58</v>
      </c>
      <c r="E149" s="228"/>
      <c r="F149" s="229"/>
      <c r="G149" s="230">
        <f>_xlfn.IFNA(VLOOKUP(B149, 현재가테이블!$B$2:$D$200, 2, FALSE), "-")</f>
        <v>39916000</v>
      </c>
      <c r="H149" s="231"/>
      <c r="I149" s="232"/>
      <c r="J149" s="227" t="s">
        <v>59</v>
      </c>
      <c r="K149" s="228"/>
      <c r="L149" s="229"/>
      <c r="M149" s="233">
        <f>_xlfn.IFNA(VLOOKUP(B149, 현재가테이블!$B$2:$D$200, 3, FALSE), "-")</f>
        <v>7.3184273000000003E-3</v>
      </c>
      <c r="N149" s="234"/>
      <c r="O149" s="235"/>
      <c r="Q149" s="226"/>
      <c r="R149" s="226"/>
      <c r="S149" s="226"/>
    </row>
    <row r="150" spans="1:19" ht="17.25" thickBot="1">
      <c r="A150" s="271" t="s">
        <v>55</v>
      </c>
      <c r="B150" s="267" t="str">
        <f>TEXT($G$1, "[$-ko-KR]yyyy-mm-dd(ddd) ") &amp; "오전 00:00"</f>
        <v>2021-07-02(금) 오전 00:00</v>
      </c>
      <c r="C150" s="268"/>
      <c r="D150" s="240" t="str">
        <f>TEXT($G$1, "[$-ko-KR]yyyy-mm-dd(ddd) ") &amp; "오후 14:00"</f>
        <v>2021-07-02(금) 오후 14:00</v>
      </c>
      <c r="E150" s="241"/>
      <c r="F150" s="242"/>
      <c r="G150" s="240" t="str">
        <f>TEXT($G$1, "[$-ko-KR]yyyy-mm-dd(ddd) ") &amp; "오후 19:00"</f>
        <v>2021-07-02(금) 오후 19:00</v>
      </c>
      <c r="H150" s="241"/>
      <c r="I150" s="242"/>
      <c r="J150" s="240" t="str">
        <f>TEXT($G$1, "[$-ko-KR]yyyy-mm-dd(ddd) ") &amp; "오후 21:00"</f>
        <v>2021-07-02(금) 오후 21:00</v>
      </c>
      <c r="K150" s="241"/>
      <c r="L150" s="242"/>
      <c r="M150" s="240" t="str">
        <f>TEXT($G$1+1, "[$-ko-KR]yyyy-mm-dd(ddd) ") &amp; "오전 00:00"</f>
        <v>2021-07-03(토) 오전 00:00</v>
      </c>
      <c r="N150" s="241"/>
      <c r="O150" s="242"/>
      <c r="Q150" s="226"/>
      <c r="R150" s="226"/>
      <c r="S150" s="226"/>
    </row>
    <row r="151" spans="1:19" ht="17.25" thickBot="1">
      <c r="A151" s="27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2" t="s">
        <v>58</v>
      </c>
      <c r="H151" s="163" t="s">
        <v>269</v>
      </c>
      <c r="I151" s="16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6"/>
      <c r="R151" s="216"/>
      <c r="S151" s="216"/>
    </row>
    <row r="152" spans="1:19" ht="17.25" thickBot="1">
      <c r="A152" s="123" t="s">
        <v>57</v>
      </c>
      <c r="B152" s="124">
        <v>151</v>
      </c>
      <c r="C152" s="76">
        <v>-3.8216560500000003E-2</v>
      </c>
      <c r="D152" s="13">
        <v>146</v>
      </c>
      <c r="E152" s="14">
        <f>IF(ISNUMBER(D152), (D152 - $B152) / $B152, "")</f>
        <v>-3.3112582781456956E-2</v>
      </c>
      <c r="F152" s="16">
        <f>IF(ISNUMBER(D152), $B172 * E152, "")</f>
        <v>-3311.2582781456958</v>
      </c>
      <c r="G152" s="29">
        <v>146</v>
      </c>
      <c r="H152" s="14">
        <f>IF(ISNUMBER(G152), (G152 - $B152) / $B152, "")</f>
        <v>-3.3112582781456956E-2</v>
      </c>
      <c r="I152" s="100">
        <f>IF(ISNUMBER(G152), $B172 * H152, "")</f>
        <v>-3311.2582781456958</v>
      </c>
      <c r="J152" s="13">
        <v>147</v>
      </c>
      <c r="K152" s="14">
        <f>IF(ISNUMBER(J152), (J152 - $B152) / $B152, "")</f>
        <v>-2.6490066225165563E-2</v>
      </c>
      <c r="L152" s="16">
        <f>IF(ISNUMBER(J152), $B172 * K152, "")</f>
        <v>-2649.0066225165565</v>
      </c>
      <c r="M152" s="29">
        <v>149</v>
      </c>
      <c r="N152" s="14">
        <f>IF(ISNUMBER(M152), (M152 - $B152) / $B152, "")</f>
        <v>-1.3245033112582781E-2</v>
      </c>
      <c r="O152" s="16">
        <f>IF(ISNUMBER(M152), $B172 * N152, "")</f>
        <v>-1324.5033112582782</v>
      </c>
      <c r="Q152" s="226"/>
      <c r="R152" s="226"/>
      <c r="S152" s="226"/>
    </row>
    <row r="153" spans="1:19" ht="17.25" thickBot="1">
      <c r="A153" s="125" t="s">
        <v>108</v>
      </c>
      <c r="B153" s="126">
        <v>937</v>
      </c>
      <c r="C153" s="77">
        <v>-3.8974359E-2</v>
      </c>
      <c r="D153" s="15">
        <v>906</v>
      </c>
      <c r="E153" s="32">
        <f t="shared" ref="E153:E156" si="78">IF(ISNUMBER(D153), (D153 - $B153) / $B153, "")</f>
        <v>-3.3084311632870865E-2</v>
      </c>
      <c r="F153" s="18">
        <f>IF(ISNUMBER(D153), $B172 * E153, "")</f>
        <v>-3308.4311632870863</v>
      </c>
      <c r="G153" s="31">
        <v>892</v>
      </c>
      <c r="H153" s="32">
        <f t="shared" ref="H153:H156" si="79">IF(ISNUMBER(G153), (G153 - $B153) / $B153, "")</f>
        <v>-4.8025613660618999E-2</v>
      </c>
      <c r="I153" s="101">
        <f>IF(ISNUMBER(G153), $B172 * H153, "")</f>
        <v>-4802.5613660619001</v>
      </c>
      <c r="J153" s="15">
        <v>900</v>
      </c>
      <c r="K153" s="32">
        <f t="shared" ref="K153:K156" si="80">IF(ISNUMBER(J153), (J153 - $B153) / $B153, "")</f>
        <v>-3.9487726787620067E-2</v>
      </c>
      <c r="L153" s="18">
        <f>IF(ISNUMBER(J153), $B172 * K153, "")</f>
        <v>-3948.7726787620068</v>
      </c>
      <c r="M153" s="31">
        <v>918</v>
      </c>
      <c r="N153" s="32">
        <f t="shared" ref="N153:N156" si="81">IF(ISNUMBER(M153), (M153 - $B153) / $B153, "")</f>
        <v>-2.0277481323372464E-2</v>
      </c>
      <c r="O153" s="18">
        <f>IF(ISNUMBER(M153), $B172 * N153, "")</f>
        <v>-2027.7481323372465</v>
      </c>
      <c r="Q153" s="226"/>
      <c r="R153" s="226"/>
      <c r="S153" s="226"/>
    </row>
    <row r="154" spans="1:19" ht="17.25" thickBot="1">
      <c r="A154" s="125" t="s">
        <v>168</v>
      </c>
      <c r="B154" s="126">
        <v>889</v>
      </c>
      <c r="C154" s="77">
        <v>-4.4086021500000003E-2</v>
      </c>
      <c r="D154" s="15">
        <v>939</v>
      </c>
      <c r="E154" s="32">
        <f t="shared" si="78"/>
        <v>5.6242969628796401E-2</v>
      </c>
      <c r="F154" s="18">
        <f>IF(ISNUMBER(D154), $B172 * E154, "")</f>
        <v>5624.29696287964</v>
      </c>
      <c r="G154" s="31">
        <v>920</v>
      </c>
      <c r="H154" s="32">
        <f t="shared" si="79"/>
        <v>3.4870641169853771E-2</v>
      </c>
      <c r="I154" s="101">
        <f>IF(ISNUMBER(G154), $B172 * H154, "")</f>
        <v>3487.064116985377</v>
      </c>
      <c r="J154" s="15">
        <v>935</v>
      </c>
      <c r="K154" s="32">
        <f t="shared" si="80"/>
        <v>5.1743532058492692E-2</v>
      </c>
      <c r="L154" s="18">
        <f>IF(ISNUMBER(J154), $B172 * K154, "")</f>
        <v>5174.3532058492692</v>
      </c>
      <c r="M154" s="31">
        <v>936</v>
      </c>
      <c r="N154" s="32">
        <f t="shared" si="81"/>
        <v>5.2868391451068614E-2</v>
      </c>
      <c r="O154" s="18">
        <f>IF(ISNUMBER(M154), $B172 * N154, "")</f>
        <v>5286.839145106861</v>
      </c>
      <c r="Q154" s="216"/>
      <c r="R154" s="216"/>
      <c r="S154" s="216"/>
    </row>
    <row r="155" spans="1:19" ht="17.25" thickBot="1">
      <c r="A155" s="125" t="s">
        <v>86</v>
      </c>
      <c r="B155" s="126">
        <v>282</v>
      </c>
      <c r="C155" s="77">
        <v>-4.7297297299999999E-2</v>
      </c>
      <c r="D155" s="15">
        <v>276</v>
      </c>
      <c r="E155" s="32">
        <f t="shared" si="78"/>
        <v>-2.1276595744680851E-2</v>
      </c>
      <c r="F155" s="18">
        <f>IF(ISNUMBER(D155), $B172 * E155, "")</f>
        <v>-2127.6595744680849</v>
      </c>
      <c r="G155" s="31">
        <v>272</v>
      </c>
      <c r="H155" s="32">
        <f t="shared" si="79"/>
        <v>-3.5460992907801421E-2</v>
      </c>
      <c r="I155" s="101">
        <f>IF(ISNUMBER(G155), $B172 * H155, "")</f>
        <v>-3546.0992907801419</v>
      </c>
      <c r="J155" s="15">
        <v>273</v>
      </c>
      <c r="K155" s="32">
        <f t="shared" si="80"/>
        <v>-3.1914893617021274E-2</v>
      </c>
      <c r="L155" s="18">
        <f>IF(ISNUMBER(J155), $B172 * K155, "")</f>
        <v>-3191.4893617021276</v>
      </c>
      <c r="M155" s="31">
        <v>276</v>
      </c>
      <c r="N155" s="32">
        <f t="shared" si="81"/>
        <v>-2.1276595744680851E-2</v>
      </c>
      <c r="O155" s="18">
        <f>IF(ISNUMBER(M155), $B172 * N155, "")</f>
        <v>-2127.6595744680849</v>
      </c>
      <c r="Q155" s="216"/>
      <c r="R155" s="216"/>
      <c r="S155" s="216"/>
    </row>
    <row r="156" spans="1:19" ht="17.25" thickBot="1">
      <c r="A156" s="127" t="s">
        <v>104</v>
      </c>
      <c r="B156" s="128">
        <v>821</v>
      </c>
      <c r="C156" s="78">
        <v>-4.8667439200000003E-2</v>
      </c>
      <c r="D156" s="20">
        <v>785</v>
      </c>
      <c r="E156" s="21">
        <f t="shared" si="78"/>
        <v>-4.38489646772229E-2</v>
      </c>
      <c r="F156" s="22">
        <f>IF(ISNUMBER(D156), $B172 * E156, "")</f>
        <v>-4384.8964677222903</v>
      </c>
      <c r="G156" s="30">
        <v>772</v>
      </c>
      <c r="H156" s="21">
        <f t="shared" si="79"/>
        <v>-5.9683313032886723E-2</v>
      </c>
      <c r="I156" s="105">
        <f>IF(ISNUMBER(G156), $B172 * H156, "")</f>
        <v>-5968.3313032886726</v>
      </c>
      <c r="J156" s="20">
        <v>773</v>
      </c>
      <c r="K156" s="21">
        <f t="shared" si="80"/>
        <v>-5.8465286236297195E-2</v>
      </c>
      <c r="L156" s="22">
        <f>IF(ISNUMBER(J156), $B172 * K156, "")</f>
        <v>-5846.5286236297197</v>
      </c>
      <c r="M156" s="30">
        <v>798</v>
      </c>
      <c r="N156" s="21">
        <f t="shared" si="81"/>
        <v>-2.8014616321559074E-2</v>
      </c>
      <c r="O156" s="22">
        <f>IF(ISNUMBER(M156), $B172 * N156, "")</f>
        <v>-2801.4616321559074</v>
      </c>
      <c r="Q156" s="216"/>
      <c r="R156" s="216"/>
      <c r="S156" s="216"/>
    </row>
    <row r="157" spans="1:19" ht="17.25" thickBot="1">
      <c r="A157" s="125" t="s">
        <v>90</v>
      </c>
      <c r="B157" s="129">
        <v>777</v>
      </c>
      <c r="C157" s="80">
        <v>-5.1282051299999999E-2</v>
      </c>
      <c r="D157" s="106">
        <v>754</v>
      </c>
      <c r="E157" s="107">
        <f>IF(ISNUMBER(D157), (D157 - $B157) / $B157, "")</f>
        <v>-2.9601029601029602E-2</v>
      </c>
      <c r="F157" s="108">
        <f>IF(ISNUMBER(D157), $B172 * E157, "")</f>
        <v>-2960.1029601029604</v>
      </c>
      <c r="G157" s="109">
        <v>751</v>
      </c>
      <c r="H157" s="107">
        <f>IF(ISNUMBER(G157), (G157 - $B157) / $B157, "")</f>
        <v>-3.3462033462033462E-2</v>
      </c>
      <c r="I157" s="110">
        <f>IF(ISNUMBER(G157), $B172 * H157, "")</f>
        <v>-3346.2033462033464</v>
      </c>
      <c r="J157" s="106">
        <v>749</v>
      </c>
      <c r="K157" s="107">
        <f>IF(ISNUMBER(J157), (J157 - $B157) / $B157, "")</f>
        <v>-3.6036036036036036E-2</v>
      </c>
      <c r="L157" s="108">
        <f>IF(ISNUMBER(J157), $B172 * K157, "")</f>
        <v>-3603.6036036036035</v>
      </c>
      <c r="M157" s="109">
        <v>757</v>
      </c>
      <c r="N157" s="107">
        <f>IF(ISNUMBER(M157), (M157 - $B157) / $B157, "")</f>
        <v>-2.5740025740025738E-2</v>
      </c>
      <c r="O157" s="108">
        <f>IF(ISNUMBER(M157), $B172 * N157, "")</f>
        <v>-2574.002574002574</v>
      </c>
      <c r="Q157" s="216"/>
      <c r="R157" s="216"/>
      <c r="S157" s="216"/>
    </row>
    <row r="158" spans="1:19" ht="17.25" thickBot="1">
      <c r="A158" s="125" t="s">
        <v>102</v>
      </c>
      <c r="B158" s="126">
        <v>823</v>
      </c>
      <c r="C158" s="77">
        <v>-5.4022988500000001E-2</v>
      </c>
      <c r="D158" s="15">
        <v>798</v>
      </c>
      <c r="E158" s="32">
        <f t="shared" ref="E158:E161" si="82">IF(ISNUMBER(D158), (D158 - $B158) / $B158, "")</f>
        <v>-3.0376670716889428E-2</v>
      </c>
      <c r="F158" s="18">
        <f>IF(ISNUMBER(D158), $B172 * E158, "")</f>
        <v>-3037.667071688943</v>
      </c>
      <c r="G158" s="31">
        <v>787</v>
      </c>
      <c r="H158" s="32">
        <f t="shared" ref="H158:H161" si="83">IF(ISNUMBER(G158), (G158 - $B158) / $B158, "")</f>
        <v>-4.374240583232078E-2</v>
      </c>
      <c r="I158" s="101">
        <f>IF(ISNUMBER(G158), $B172 * H158, "")</f>
        <v>-4374.2405832320783</v>
      </c>
      <c r="J158" s="15">
        <v>791</v>
      </c>
      <c r="K158" s="32">
        <f t="shared" ref="K158:K161" si="84">IF(ISNUMBER(J158), (J158 - $B158) / $B158, "")</f>
        <v>-3.8882138517618466E-2</v>
      </c>
      <c r="L158" s="18">
        <f>IF(ISNUMBER(J158), $B172 * K158, "")</f>
        <v>-3888.2138517618464</v>
      </c>
      <c r="M158" s="31">
        <v>804</v>
      </c>
      <c r="N158" s="32">
        <f t="shared" ref="N158:N161" si="85">IF(ISNUMBER(M158), (M158 - $B158) / $B158, "")</f>
        <v>-2.3086269744835967E-2</v>
      </c>
      <c r="O158" s="18">
        <f>IF(ISNUMBER(M158), $B172 * N158, "")</f>
        <v>-2308.6269744835968</v>
      </c>
      <c r="Q158" s="216"/>
      <c r="R158" s="216"/>
      <c r="S158" s="216"/>
    </row>
    <row r="159" spans="1:19" ht="17.25" thickBot="1">
      <c r="A159" s="125" t="s">
        <v>51</v>
      </c>
      <c r="B159" s="126">
        <v>312</v>
      </c>
      <c r="C159" s="77">
        <v>-5.45454545E-2</v>
      </c>
      <c r="D159" s="15">
        <v>307</v>
      </c>
      <c r="E159" s="32">
        <f t="shared" si="82"/>
        <v>-1.6025641025641024E-2</v>
      </c>
      <c r="F159" s="18">
        <f>IF(ISNUMBER(D159), $B172 * E159, "")</f>
        <v>-1602.5641025641023</v>
      </c>
      <c r="G159" s="31">
        <v>300</v>
      </c>
      <c r="H159" s="32">
        <f t="shared" si="83"/>
        <v>-3.8461538461538464E-2</v>
      </c>
      <c r="I159" s="101">
        <f>IF(ISNUMBER(G159), $B172 * H159, "")</f>
        <v>-3846.1538461538462</v>
      </c>
      <c r="J159" s="15">
        <v>297</v>
      </c>
      <c r="K159" s="32">
        <f t="shared" si="84"/>
        <v>-4.807692307692308E-2</v>
      </c>
      <c r="L159" s="18">
        <f>IF(ISNUMBER(J159), $B172 * K159, "")</f>
        <v>-4807.6923076923076</v>
      </c>
      <c r="M159" s="31">
        <v>303</v>
      </c>
      <c r="N159" s="32">
        <f t="shared" si="85"/>
        <v>-2.8846153846153848E-2</v>
      </c>
      <c r="O159" s="18">
        <f>IF(ISNUMBER(M159), $B172 * N159, "")</f>
        <v>-2884.6153846153848</v>
      </c>
      <c r="Q159" s="216"/>
      <c r="R159" s="216"/>
      <c r="S159" s="216"/>
    </row>
    <row r="160" spans="1:19" ht="17.25" thickBot="1">
      <c r="A160" s="125" t="s">
        <v>80</v>
      </c>
      <c r="B160" s="126">
        <v>674</v>
      </c>
      <c r="C160" s="77">
        <v>-5.8659217899999998E-2</v>
      </c>
      <c r="D160" s="15">
        <v>656</v>
      </c>
      <c r="E160" s="32">
        <f t="shared" si="82"/>
        <v>-2.6706231454005934E-2</v>
      </c>
      <c r="F160" s="18">
        <f>IF(ISNUMBER(D160), $B172 * E160, "")</f>
        <v>-2670.6231454005933</v>
      </c>
      <c r="G160" s="31">
        <v>642</v>
      </c>
      <c r="H160" s="32">
        <f t="shared" si="83"/>
        <v>-4.7477744807121663E-2</v>
      </c>
      <c r="I160" s="101">
        <f>IF(ISNUMBER(G160), $B172 * H160, "")</f>
        <v>-4747.7744807121662</v>
      </c>
      <c r="J160" s="15">
        <v>650</v>
      </c>
      <c r="K160" s="32">
        <f t="shared" si="84"/>
        <v>-3.5608308605341248E-2</v>
      </c>
      <c r="L160" s="18">
        <f>IF(ISNUMBER(J160), $B172 * K160, "")</f>
        <v>-3560.8308605341249</v>
      </c>
      <c r="M160" s="31">
        <v>660</v>
      </c>
      <c r="N160" s="32">
        <f t="shared" si="85"/>
        <v>-2.0771513353115726E-2</v>
      </c>
      <c r="O160" s="18">
        <f>IF(ISNUMBER(M160), $B172 * N160, "")</f>
        <v>-2077.1513353115724</v>
      </c>
      <c r="Q160" s="33"/>
      <c r="R160" s="33"/>
    </row>
    <row r="161" spans="1:19" ht="17.25" thickBot="1">
      <c r="A161" s="130" t="s">
        <v>61</v>
      </c>
      <c r="B161" s="131">
        <v>634</v>
      </c>
      <c r="C161" s="79">
        <v>-6.0740740699999997E-2</v>
      </c>
      <c r="D161" s="24">
        <v>616</v>
      </c>
      <c r="E161" s="25">
        <f t="shared" si="82"/>
        <v>-2.8391167192429023E-2</v>
      </c>
      <c r="F161" s="104">
        <f>IF(ISNUMBER(D161), $B172 * E161, "")</f>
        <v>-2839.116719242902</v>
      </c>
      <c r="G161" s="102">
        <v>601</v>
      </c>
      <c r="H161" s="25">
        <f t="shared" si="83"/>
        <v>-5.2050473186119876E-2</v>
      </c>
      <c r="I161" s="103">
        <f>IF(ISNUMBER(G161), $B172 * H161, "")</f>
        <v>-5205.047318611988</v>
      </c>
      <c r="J161" s="24">
        <v>610</v>
      </c>
      <c r="K161" s="25">
        <f t="shared" si="84"/>
        <v>-3.7854889589905363E-2</v>
      </c>
      <c r="L161" s="104">
        <f>IF(ISNUMBER(J161), $B172 * K161, "")</f>
        <v>-3785.4889589905365</v>
      </c>
      <c r="M161" s="102">
        <v>620</v>
      </c>
      <c r="N161" s="25">
        <f t="shared" si="85"/>
        <v>-2.2082018927444796E-2</v>
      </c>
      <c r="O161" s="104">
        <f>IF(ISNUMBER(M161), $B172 * N161, "")</f>
        <v>-2208.2018927444797</v>
      </c>
      <c r="Q161" s="217"/>
      <c r="R161" s="218"/>
      <c r="S161" s="219"/>
    </row>
    <row r="162" spans="1:19">
      <c r="A162" s="123" t="s">
        <v>160</v>
      </c>
      <c r="B162" s="124">
        <v>919</v>
      </c>
      <c r="C162" s="76">
        <v>-6.3200815499999993E-2</v>
      </c>
      <c r="D162" s="13">
        <v>1005</v>
      </c>
      <c r="E162" s="14">
        <f>IF(ISNUMBER(D162), (D162 - $B162) / $B162, "")</f>
        <v>9.3579978237214367E-2</v>
      </c>
      <c r="F162" s="16">
        <f>IF(ISNUMBER(D162), $B172 * E162, "")</f>
        <v>9357.9978237214364</v>
      </c>
      <c r="G162" s="29">
        <v>983</v>
      </c>
      <c r="H162" s="14">
        <f>IF(ISNUMBER(G162), (G162 - $B162) / $B162, "")</f>
        <v>6.9640914036996737E-2</v>
      </c>
      <c r="I162" s="100">
        <f>IF(ISNUMBER(G162), $B172 * H162, "")</f>
        <v>6964.0914036996737</v>
      </c>
      <c r="J162" s="13">
        <v>1005</v>
      </c>
      <c r="K162" s="14">
        <f>IF(ISNUMBER(J162), (J162 - $B162) / $B162, "")</f>
        <v>9.3579978237214367E-2</v>
      </c>
      <c r="L162" s="16">
        <f>IF(ISNUMBER(J162), $B172 * K162, "")</f>
        <v>9357.9978237214364</v>
      </c>
      <c r="M162" s="29">
        <v>1005</v>
      </c>
      <c r="N162" s="14">
        <f>IF(ISNUMBER(M162), (M162 - $B162) / $B162, "")</f>
        <v>9.3579978237214367E-2</v>
      </c>
      <c r="O162" s="16">
        <f>IF(ISNUMBER(M162), $B172 * N162, "")</f>
        <v>9357.9978237214364</v>
      </c>
      <c r="Q162" s="220"/>
      <c r="R162" s="221"/>
      <c r="S162" s="222"/>
    </row>
    <row r="163" spans="1:19" ht="17.25" thickBot="1">
      <c r="A163" s="125" t="s">
        <v>124</v>
      </c>
      <c r="B163" s="126">
        <v>268</v>
      </c>
      <c r="C163" s="77">
        <v>-7.2664359900000003E-2</v>
      </c>
      <c r="D163" s="15">
        <v>259</v>
      </c>
      <c r="E163" s="32">
        <f t="shared" ref="E163:E166" si="86">IF(ISNUMBER(D163), (D163 - $B163) / $B163, "")</f>
        <v>-3.3582089552238806E-2</v>
      </c>
      <c r="F163" s="18">
        <f>IF(ISNUMBER(D163), $B172 * E163, "")</f>
        <v>-3358.2089552238804</v>
      </c>
      <c r="G163" s="31">
        <v>257</v>
      </c>
      <c r="H163" s="32">
        <f t="shared" ref="H163:H166" si="87">IF(ISNUMBER(G163), (G163 - $B163) / $B163, "")</f>
        <v>-4.1044776119402986E-2</v>
      </c>
      <c r="I163" s="101">
        <f>IF(ISNUMBER(G163), $B172 * H163, "")</f>
        <v>-4104.4776119402986</v>
      </c>
      <c r="J163" s="15">
        <v>259</v>
      </c>
      <c r="K163" s="32">
        <f t="shared" ref="K163:K166" si="88">IF(ISNUMBER(J163), (J163 - $B163) / $B163, "")</f>
        <v>-3.3582089552238806E-2</v>
      </c>
      <c r="L163" s="18">
        <f>IF(ISNUMBER(J163), $B172 * K163, "")</f>
        <v>-3358.2089552238804</v>
      </c>
      <c r="M163" s="31">
        <v>268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23"/>
      <c r="R163" s="224"/>
      <c r="S163" s="225"/>
    </row>
    <row r="164" spans="1:19" ht="17.25" thickBot="1">
      <c r="A164" s="125" t="s">
        <v>253</v>
      </c>
      <c r="B164" s="126">
        <v>657</v>
      </c>
      <c r="C164" s="77">
        <v>-7.8541374499999997E-2</v>
      </c>
      <c r="D164" s="15">
        <v>654</v>
      </c>
      <c r="E164" s="32">
        <f t="shared" si="86"/>
        <v>-4.5662100456621002E-3</v>
      </c>
      <c r="F164" s="18">
        <f>IF(ISNUMBER(D164), $B172 * E164, "")</f>
        <v>-456.62100456621005</v>
      </c>
      <c r="G164" s="31">
        <v>653</v>
      </c>
      <c r="H164" s="32">
        <f t="shared" si="87"/>
        <v>-6.0882800608828003E-3</v>
      </c>
      <c r="I164" s="101">
        <f>IF(ISNUMBER(G164), $B172 * H164, "")</f>
        <v>-608.82800608828006</v>
      </c>
      <c r="J164" s="15">
        <v>667</v>
      </c>
      <c r="K164" s="32">
        <f t="shared" si="88"/>
        <v>1.5220700152207001E-2</v>
      </c>
      <c r="L164" s="18">
        <f>IF(ISNUMBER(J164), $B172 * K164, "")</f>
        <v>1522.0700152207</v>
      </c>
      <c r="M164" s="31">
        <v>678</v>
      </c>
      <c r="N164" s="32">
        <f t="shared" si="89"/>
        <v>3.1963470319634701E-2</v>
      </c>
      <c r="O164" s="18">
        <f>IF(ISNUMBER(M164), $B172 * N164, "")</f>
        <v>3196.3470319634703</v>
      </c>
      <c r="Q164" s="216"/>
      <c r="R164" s="216"/>
      <c r="S164" s="216"/>
    </row>
    <row r="165" spans="1:19" ht="17.25" thickBot="1">
      <c r="A165" s="125" t="s">
        <v>138</v>
      </c>
      <c r="B165" s="126">
        <v>444</v>
      </c>
      <c r="C165" s="77">
        <v>-8.8295687900000003E-2</v>
      </c>
      <c r="D165" s="15">
        <v>421</v>
      </c>
      <c r="E165" s="32">
        <f t="shared" si="86"/>
        <v>-5.18018018018018E-2</v>
      </c>
      <c r="F165" s="18">
        <f>IF(ISNUMBER(D165), $B172 * E165, "")</f>
        <v>-5180.1801801801803</v>
      </c>
      <c r="G165" s="31">
        <v>415</v>
      </c>
      <c r="H165" s="32">
        <f t="shared" si="87"/>
        <v>-6.5315315315315314E-2</v>
      </c>
      <c r="I165" s="101">
        <f>IF(ISNUMBER(G165), $B172 * H165, "")</f>
        <v>-6531.5315315315311</v>
      </c>
      <c r="J165" s="15">
        <v>416</v>
      </c>
      <c r="K165" s="32">
        <f t="shared" si="88"/>
        <v>-6.3063063063063057E-2</v>
      </c>
      <c r="L165" s="18">
        <f>IF(ISNUMBER(J165), $B172 * K165, "")</f>
        <v>-6306.3063063063055</v>
      </c>
      <c r="M165" s="31">
        <v>423</v>
      </c>
      <c r="N165" s="32">
        <f t="shared" si="89"/>
        <v>-4.72972972972973E-2</v>
      </c>
      <c r="O165" s="18">
        <f>IF(ISNUMBER(M165), $B172 * N165, "")</f>
        <v>-4729.72972972973</v>
      </c>
      <c r="Q165" s="226"/>
      <c r="R165" s="226"/>
      <c r="S165" s="226"/>
    </row>
    <row r="166" spans="1:19" ht="17.25" thickBot="1">
      <c r="A166" s="127" t="s">
        <v>237</v>
      </c>
      <c r="B166" s="128">
        <v>414</v>
      </c>
      <c r="C166" s="78">
        <v>-9.2105263199999995E-2</v>
      </c>
      <c r="D166" s="20">
        <v>405</v>
      </c>
      <c r="E166" s="21">
        <f t="shared" si="86"/>
        <v>-2.1739130434782608E-2</v>
      </c>
      <c r="F166" s="22">
        <f>IF(ISNUMBER(D166), $B172 * E166, "")</f>
        <v>-2173.913043478261</v>
      </c>
      <c r="G166" s="30">
        <v>403</v>
      </c>
      <c r="H166" s="21">
        <f t="shared" si="87"/>
        <v>-2.6570048309178744E-2</v>
      </c>
      <c r="I166" s="105">
        <f>IF(ISNUMBER(G166), $B172 * H166, "")</f>
        <v>-2657.0048309178742</v>
      </c>
      <c r="J166" s="20">
        <v>420</v>
      </c>
      <c r="K166" s="21">
        <f t="shared" si="88"/>
        <v>1.4492753623188406E-2</v>
      </c>
      <c r="L166" s="22">
        <f>IF(ISNUMBER(J166), $B172 * K166, "")</f>
        <v>1449.2753623188405</v>
      </c>
      <c r="M166" s="30">
        <v>415</v>
      </c>
      <c r="N166" s="21">
        <f t="shared" si="89"/>
        <v>2.4154589371980675E-3</v>
      </c>
      <c r="O166" s="22">
        <f>IF(ISNUMBER(M166), $B172 * N166, "")</f>
        <v>241.54589371980674</v>
      </c>
      <c r="Q166" s="226"/>
      <c r="R166" s="226"/>
      <c r="S166" s="226"/>
    </row>
    <row r="167" spans="1:19" ht="17.25" thickBot="1">
      <c r="A167" s="125" t="s">
        <v>214</v>
      </c>
      <c r="B167" s="129">
        <v>208</v>
      </c>
      <c r="C167" s="80">
        <v>-9.5652173899999998E-2</v>
      </c>
      <c r="D167" s="106">
        <v>204</v>
      </c>
      <c r="E167" s="107">
        <f>IF(ISNUMBER(D167), (D167 - $B167) / $B167, "")</f>
        <v>-1.9230769230769232E-2</v>
      </c>
      <c r="F167" s="108">
        <f>IF(ISNUMBER(D167), $B172 * E167, "")</f>
        <v>-1923.0769230769231</v>
      </c>
      <c r="G167" s="109">
        <v>201</v>
      </c>
      <c r="H167" s="107">
        <f>IF(ISNUMBER(G167), (G167 - $B167) / $B167, "")</f>
        <v>-3.3653846153846152E-2</v>
      </c>
      <c r="I167" s="110">
        <f>IF(ISNUMBER(G167), $B172 * H167, "")</f>
        <v>-3365.3846153846152</v>
      </c>
      <c r="J167" s="106">
        <v>201</v>
      </c>
      <c r="K167" s="107">
        <f>IF(ISNUMBER(J167), (J167 - $B167) / $B167, "")</f>
        <v>-3.3653846153846152E-2</v>
      </c>
      <c r="L167" s="108">
        <f>IF(ISNUMBER(J167), $B172 * K167, "")</f>
        <v>-3365.3846153846152</v>
      </c>
      <c r="M167" s="109">
        <v>204</v>
      </c>
      <c r="N167" s="107">
        <f>IF(ISNUMBER(M167), (M167 - $B167) / $B167, "")</f>
        <v>-1.9230769230769232E-2</v>
      </c>
      <c r="O167" s="108">
        <f>IF(ISNUMBER(M167), $B172 * N167, "")</f>
        <v>-1923.0769230769231</v>
      </c>
      <c r="Q167" s="216"/>
      <c r="R167" s="216"/>
      <c r="S167" s="216"/>
    </row>
    <row r="168" spans="1:19" ht="17.25" thickBot="1">
      <c r="A168" s="125" t="s">
        <v>184</v>
      </c>
      <c r="B168" s="126">
        <v>834</v>
      </c>
      <c r="C168" s="77">
        <v>-0.12943632569999999</v>
      </c>
      <c r="D168" s="15">
        <v>784</v>
      </c>
      <c r="E168" s="32">
        <f t="shared" ref="E168:E171" si="90">IF(ISNUMBER(D168), (D168 - $B168) / $B168, "")</f>
        <v>-5.9952038369304558E-2</v>
      </c>
      <c r="F168" s="18">
        <f>IF(ISNUMBER(D168), $B172 * E168, "")</f>
        <v>-5995.2038369304555</v>
      </c>
      <c r="G168" s="31">
        <v>780</v>
      </c>
      <c r="H168" s="32">
        <f t="shared" ref="H168:H171" si="91">IF(ISNUMBER(G168), (G168 - $B168) / $B168, "")</f>
        <v>-6.4748201438848921E-2</v>
      </c>
      <c r="I168" s="101">
        <f>IF(ISNUMBER(G168), $B172 * H168, "")</f>
        <v>-6474.8201438848919</v>
      </c>
      <c r="J168" s="15">
        <v>788</v>
      </c>
      <c r="K168" s="32">
        <f t="shared" ref="K168:K171" si="92">IF(ISNUMBER(J168), (J168 - $B168) / $B168, "")</f>
        <v>-5.5155875299760189E-2</v>
      </c>
      <c r="L168" s="18">
        <f>IF(ISNUMBER(J168), $B172 * K168, "")</f>
        <v>-5515.5875299760191</v>
      </c>
      <c r="M168" s="31">
        <v>805</v>
      </c>
      <c r="N168" s="32">
        <f t="shared" ref="N168:N171" si="93">IF(ISNUMBER(M168), (M168 - $B168) / $B168, "")</f>
        <v>-3.4772182254196642E-2</v>
      </c>
      <c r="O168" s="18">
        <f>IF(ISNUMBER(M168), $B172 * N168, "")</f>
        <v>-3477.2182254196641</v>
      </c>
      <c r="Q168" s="216"/>
      <c r="R168" s="216"/>
      <c r="S168" s="216"/>
    </row>
    <row r="169" spans="1:19" ht="17.25" thickBot="1">
      <c r="A169" s="125" t="s">
        <v>229</v>
      </c>
      <c r="B169" s="126">
        <v>429</v>
      </c>
      <c r="C169" s="77">
        <v>-0.19962686569999999</v>
      </c>
      <c r="D169" s="15">
        <v>278</v>
      </c>
      <c r="E169" s="32">
        <f t="shared" si="90"/>
        <v>-0.351981351981352</v>
      </c>
      <c r="F169" s="18">
        <f>IF(ISNUMBER(D169), $B172 * E169, "")</f>
        <v>-35198.135198135198</v>
      </c>
      <c r="G169" s="31">
        <v>215</v>
      </c>
      <c r="H169" s="32">
        <f t="shared" si="91"/>
        <v>-0.49883449883449882</v>
      </c>
      <c r="I169" s="101">
        <f>IF(ISNUMBER(G169), $B172 * H169, "")</f>
        <v>-49883.449883449881</v>
      </c>
      <c r="J169" s="15">
        <v>181</v>
      </c>
      <c r="K169" s="32">
        <f t="shared" si="92"/>
        <v>-0.57808857808857805</v>
      </c>
      <c r="L169" s="18">
        <f>IF(ISNUMBER(J169), $B172 * K169, "")</f>
        <v>-57808.857808857807</v>
      </c>
      <c r="M169" s="31">
        <v>189</v>
      </c>
      <c r="N169" s="32">
        <f t="shared" si="93"/>
        <v>-0.55944055944055948</v>
      </c>
      <c r="O169" s="18">
        <f>IF(ISNUMBER(M169), $B172 * N169, "")</f>
        <v>-55944.055944055945</v>
      </c>
      <c r="Q169" s="216"/>
      <c r="R169" s="216"/>
      <c r="S169" s="216"/>
    </row>
    <row r="170" spans="1:19">
      <c r="A170" s="125" t="s">
        <v>233</v>
      </c>
      <c r="B170" s="126">
        <v>410</v>
      </c>
      <c r="C170" s="77">
        <v>-0.2115384615</v>
      </c>
      <c r="D170" s="15">
        <v>360</v>
      </c>
      <c r="E170" s="32">
        <f t="shared" si="90"/>
        <v>-0.12195121951219512</v>
      </c>
      <c r="F170" s="18">
        <f>IF(ISNUMBER(D170), $B172 * E170, "")</f>
        <v>-12195.121951219511</v>
      </c>
      <c r="G170" s="31">
        <v>346</v>
      </c>
      <c r="H170" s="32">
        <f t="shared" si="91"/>
        <v>-0.15609756097560976</v>
      </c>
      <c r="I170" s="101">
        <f>IF(ISNUMBER(G170), $B172 * H170, "")</f>
        <v>-15609.756097560976</v>
      </c>
      <c r="J170" s="15">
        <v>348</v>
      </c>
      <c r="K170" s="32">
        <f t="shared" si="92"/>
        <v>-0.15121951219512195</v>
      </c>
      <c r="L170" s="18">
        <f>IF(ISNUMBER(J170), $B172 * K170, "")</f>
        <v>-15121.951219512195</v>
      </c>
      <c r="M170" s="31">
        <v>356</v>
      </c>
      <c r="N170" s="32">
        <f t="shared" si="93"/>
        <v>-0.13170731707317074</v>
      </c>
      <c r="O170" s="18">
        <f>IF(ISNUMBER(M170), $B172 * N170, "")</f>
        <v>-13170.731707317074</v>
      </c>
      <c r="Q170" s="205"/>
      <c r="R170" s="206"/>
      <c r="S170" s="207"/>
    </row>
    <row r="171" spans="1:19" ht="17.25" thickBot="1">
      <c r="A171" s="130" t="s">
        <v>228</v>
      </c>
      <c r="B171" s="131">
        <v>310</v>
      </c>
      <c r="C171" s="79">
        <v>-0.24939467309999999</v>
      </c>
      <c r="D171" s="24">
        <v>255</v>
      </c>
      <c r="E171" s="25">
        <f t="shared" si="90"/>
        <v>-0.17741935483870969</v>
      </c>
      <c r="F171" s="104">
        <f>IF(ISNUMBER(D171), $B172 * E171, "")</f>
        <v>-17741.93548387097</v>
      </c>
      <c r="G171" s="102">
        <v>241</v>
      </c>
      <c r="H171" s="25">
        <f t="shared" si="91"/>
        <v>-0.22258064516129034</v>
      </c>
      <c r="I171" s="103">
        <f>IF(ISNUMBER(G171), $B172 * H171, "")</f>
        <v>-22258.064516129034</v>
      </c>
      <c r="J171" s="24">
        <v>246</v>
      </c>
      <c r="K171" s="25">
        <f t="shared" si="92"/>
        <v>-0.20645161290322581</v>
      </c>
      <c r="L171" s="104">
        <f>IF(ISNUMBER(J171), $B172 * K171, "")</f>
        <v>-20645.16129032258</v>
      </c>
      <c r="M171" s="102">
        <v>256</v>
      </c>
      <c r="N171" s="25">
        <f t="shared" si="93"/>
        <v>-0.17419354838709677</v>
      </c>
      <c r="O171" s="104">
        <f>IF(ISNUMBER(M171), $B172 * N171, "")</f>
        <v>-17419.354838709678</v>
      </c>
      <c r="Q171" s="208"/>
      <c r="R171" s="209"/>
      <c r="S171" s="210"/>
    </row>
    <row r="172" spans="1:19" ht="17.25" thickBot="1">
      <c r="A172" s="132" t="s">
        <v>271</v>
      </c>
      <c r="B172" s="269">
        <f>$B$37</f>
        <v>100000</v>
      </c>
      <c r="C172" s="270"/>
      <c r="D172" s="26" t="s">
        <v>272</v>
      </c>
      <c r="E172" s="27">
        <f>IF(COUNT(E152:E171), SUM(E152:E171) / COUNT(E152:E171), 0)</f>
        <v>-4.7741210636351582E-2</v>
      </c>
      <c r="F172" s="28">
        <f>SUM(F152:F171)</f>
        <v>-95482.42127270317</v>
      </c>
      <c r="G172" s="26" t="s">
        <v>272</v>
      </c>
      <c r="H172" s="27">
        <f>IF(COUNT(H152:H171), SUM(H152:H171) / COUNT(H152:H171), 0)</f>
        <v>-7.0094915764696092E-2</v>
      </c>
      <c r="I172" s="28">
        <f>SUM(I152:I171)</f>
        <v>-140189.83152939219</v>
      </c>
      <c r="J172" s="26" t="s">
        <v>272</v>
      </c>
      <c r="K172" s="27">
        <f>IF(COUNT(K152:K171), SUM(K152:K171) / COUNT(K152:K171), 0)</f>
        <v>-6.4949694093832985E-2</v>
      </c>
      <c r="L172" s="28">
        <f>SUM(L152:L171)</f>
        <v>-129899.38818766599</v>
      </c>
      <c r="M172" s="26" t="s">
        <v>272</v>
      </c>
      <c r="N172" s="27">
        <f>IF(COUNT(N152:N171), SUM(N152:N171) / COUNT(N152:N171), 0)</f>
        <v>-4.945770414258728E-2</v>
      </c>
      <c r="O172" s="28">
        <f>SUM(O152:O171)</f>
        <v>-98915.408285174562</v>
      </c>
      <c r="Q172" s="211"/>
      <c r="R172" s="212"/>
      <c r="S172" s="213"/>
    </row>
    <row r="174" spans="1:19" ht="17.25" thickBot="1"/>
    <row r="175" spans="1:19" ht="17.25" thickBot="1">
      <c r="A175" s="227" t="s">
        <v>256</v>
      </c>
      <c r="B175" s="228"/>
      <c r="C175" s="228"/>
      <c r="D175" s="228"/>
      <c r="E175" s="228"/>
      <c r="F175" s="228"/>
      <c r="G175" s="228"/>
      <c r="H175" s="228"/>
      <c r="I175" s="228"/>
      <c r="J175" s="228"/>
      <c r="K175" s="228"/>
      <c r="L175" s="228"/>
      <c r="M175" s="228"/>
      <c r="N175" s="228"/>
      <c r="O175" s="229"/>
      <c r="Q175" s="226"/>
      <c r="R175" s="226"/>
      <c r="S175" s="226"/>
    </row>
    <row r="176" spans="1:19" ht="17.25" thickBot="1">
      <c r="A176" s="161" t="s">
        <v>268</v>
      </c>
      <c r="B176" s="227" t="s">
        <v>49</v>
      </c>
      <c r="C176" s="229"/>
      <c r="D176" s="227" t="s">
        <v>58</v>
      </c>
      <c r="E176" s="228"/>
      <c r="F176" s="229"/>
      <c r="G176" s="230">
        <f>_xlfn.IFNA(VLOOKUP(B176, 현재가테이블!$B$2:$D$200, 2, FALSE), "-")</f>
        <v>39916000</v>
      </c>
      <c r="H176" s="231"/>
      <c r="I176" s="232"/>
      <c r="J176" s="227" t="s">
        <v>59</v>
      </c>
      <c r="K176" s="228"/>
      <c r="L176" s="229"/>
      <c r="M176" s="233">
        <f>_xlfn.IFNA(VLOOKUP(B176, 현재가테이블!$B$2:$D$200, 3, FALSE), "-")</f>
        <v>7.3184273000000003E-3</v>
      </c>
      <c r="N176" s="234"/>
      <c r="O176" s="235"/>
      <c r="Q176" s="226"/>
      <c r="R176" s="226"/>
      <c r="S176" s="226"/>
    </row>
    <row r="177" spans="1:19" ht="17.25" thickBot="1">
      <c r="A177" s="271" t="s">
        <v>55</v>
      </c>
      <c r="B177" s="267" t="str">
        <f>TEXT($G$1, "[$-ko-KR]yyyy-mm-dd(ddd) ") &amp; "오전 00:00"</f>
        <v>2021-07-02(금) 오전 00:00</v>
      </c>
      <c r="C177" s="268"/>
      <c r="D177" s="240" t="str">
        <f>TEXT($G$1, "[$-ko-KR]yyyy-mm-dd(ddd) ") &amp; "오후 14:00"</f>
        <v>2021-07-02(금) 오후 14:00</v>
      </c>
      <c r="E177" s="241"/>
      <c r="F177" s="242"/>
      <c r="G177" s="240" t="str">
        <f>TEXT($G$1, "[$-ko-KR]yyyy-mm-dd(ddd) ") &amp; "오후 19:00"</f>
        <v>2021-07-02(금) 오후 19:00</v>
      </c>
      <c r="H177" s="241"/>
      <c r="I177" s="242"/>
      <c r="J177" s="240" t="str">
        <f>TEXT($G$1, "[$-ko-KR]yyyy-mm-dd(ddd) ") &amp; "오후 21:00"</f>
        <v>2021-07-02(금) 오후 21:00</v>
      </c>
      <c r="K177" s="241"/>
      <c r="L177" s="242"/>
      <c r="M177" s="240" t="str">
        <f>TEXT($G$1+1, "[$-ko-KR]yyyy-mm-dd(ddd) ") &amp; "오전 00:00"</f>
        <v>2021-07-03(토) 오전 00:00</v>
      </c>
      <c r="N177" s="241"/>
      <c r="O177" s="242"/>
      <c r="Q177" s="226"/>
      <c r="R177" s="226"/>
      <c r="S177" s="226"/>
    </row>
    <row r="178" spans="1:19" ht="17.25" thickBot="1">
      <c r="A178" s="27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2" t="s">
        <v>58</v>
      </c>
      <c r="H178" s="163" t="s">
        <v>269</v>
      </c>
      <c r="I178" s="16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6"/>
      <c r="R178" s="216"/>
      <c r="S178" s="216"/>
    </row>
    <row r="179" spans="1:19" ht="17.25" thickBot="1">
      <c r="A179" s="123" t="s">
        <v>74</v>
      </c>
      <c r="B179" s="124">
        <v>13000</v>
      </c>
      <c r="C179" s="76">
        <v>-7.0100143099999998E-2</v>
      </c>
      <c r="D179" s="13">
        <v>12680</v>
      </c>
      <c r="E179" s="14">
        <f>IF(ISNUMBER(D179), (D179 - $B179) / $B179, "")</f>
        <v>-2.4615384615384615E-2</v>
      </c>
      <c r="F179" s="16">
        <f>IF(ISNUMBER(D179), $B199 * E179, "")</f>
        <v>-2461.5384615384614</v>
      </c>
      <c r="G179" s="29">
        <v>12450</v>
      </c>
      <c r="H179" s="14">
        <f>IF(ISNUMBER(G179), (G179 - $B179) / $B179, "")</f>
        <v>-4.230769230769231E-2</v>
      </c>
      <c r="I179" s="100">
        <f>IF(ISNUMBER(G179), $B199 * H179, "")</f>
        <v>-4230.7692307692314</v>
      </c>
      <c r="J179" s="13">
        <v>12490</v>
      </c>
      <c r="K179" s="14">
        <f>IF(ISNUMBER(J179), (J179 - $B179) / $B179, "")</f>
        <v>-3.9230769230769229E-2</v>
      </c>
      <c r="L179" s="16">
        <f>IF(ISNUMBER(J179), $B199 * K179, "")</f>
        <v>-3923.0769230769229</v>
      </c>
      <c r="M179" s="29">
        <v>13170</v>
      </c>
      <c r="N179" s="14">
        <f>IF(ISNUMBER(M179), (M179 - $B179) / $B179, "")</f>
        <v>1.3076923076923076E-2</v>
      </c>
      <c r="O179" s="16">
        <f>IF(ISNUMBER(M179), $B199 * N179, "")</f>
        <v>1307.6923076923076</v>
      </c>
      <c r="Q179" s="226"/>
      <c r="R179" s="226"/>
      <c r="S179" s="226"/>
    </row>
    <row r="180" spans="1:19" ht="17.25" thickBot="1">
      <c r="A180" s="125" t="s">
        <v>116</v>
      </c>
      <c r="B180" s="126">
        <v>4570</v>
      </c>
      <c r="C180" s="77">
        <v>-7.0193285899999999E-2</v>
      </c>
      <c r="D180" s="15">
        <v>4480</v>
      </c>
      <c r="E180" s="32">
        <f t="shared" ref="E180:E183" si="94">IF(ISNUMBER(D180), (D180 - $B180) / $B180, "")</f>
        <v>-1.9693654266958426E-2</v>
      </c>
      <c r="F180" s="18">
        <f>IF(ISNUMBER(D180), $B199 * E180, "")</f>
        <v>-1969.3654266958426</v>
      </c>
      <c r="G180" s="31">
        <v>4420</v>
      </c>
      <c r="H180" s="32">
        <f t="shared" ref="H180:H183" si="95">IF(ISNUMBER(G180), (G180 - $B180) / $B180, "")</f>
        <v>-3.2822757111597371E-2</v>
      </c>
      <c r="I180" s="101">
        <f>IF(ISNUMBER(G180), $B199 * H180, "")</f>
        <v>-3282.2757111597371</v>
      </c>
      <c r="J180" s="15">
        <v>4435</v>
      </c>
      <c r="K180" s="32">
        <f t="shared" ref="K180:K183" si="96">IF(ISNUMBER(J180), (J180 - $B180) / $B180, "")</f>
        <v>-2.9540481400437638E-2</v>
      </c>
      <c r="L180" s="18">
        <f>IF(ISNUMBER(J180), $B199 * K180, "")</f>
        <v>-2954.0481400437639</v>
      </c>
      <c r="M180" s="31">
        <v>4605</v>
      </c>
      <c r="N180" s="32">
        <f t="shared" ref="N180:N183" si="97">IF(ISNUMBER(M180), (M180 - $B180) / $B180, "")</f>
        <v>7.658643326039387E-3</v>
      </c>
      <c r="O180" s="18">
        <f>IF(ISNUMBER(M180), $B199 * N180, "")</f>
        <v>765.86433260393869</v>
      </c>
      <c r="Q180" s="226"/>
      <c r="R180" s="226"/>
      <c r="S180" s="226"/>
    </row>
    <row r="181" spans="1:19" ht="17.25" thickBot="1">
      <c r="A181" s="125" t="s">
        <v>249</v>
      </c>
      <c r="B181" s="126">
        <v>1885</v>
      </c>
      <c r="C181" s="77">
        <v>-7.1428571400000002E-2</v>
      </c>
      <c r="D181" s="15">
        <v>1810</v>
      </c>
      <c r="E181" s="32">
        <f t="shared" si="94"/>
        <v>-3.9787798408488062E-2</v>
      </c>
      <c r="F181" s="18">
        <f>IF(ISNUMBER(D181), $B199 * E181, "")</f>
        <v>-3978.7798408488061</v>
      </c>
      <c r="G181" s="31">
        <v>1790</v>
      </c>
      <c r="H181" s="32">
        <f t="shared" si="95"/>
        <v>-5.0397877984084884E-2</v>
      </c>
      <c r="I181" s="101">
        <f>IF(ISNUMBER(G181), $B199 * H181, "")</f>
        <v>-5039.787798408488</v>
      </c>
      <c r="J181" s="15">
        <v>1800</v>
      </c>
      <c r="K181" s="32">
        <f t="shared" si="96"/>
        <v>-4.5092838196286469E-2</v>
      </c>
      <c r="L181" s="18">
        <f>IF(ISNUMBER(J181), $B199 * K181, "")</f>
        <v>-4509.2838196286466</v>
      </c>
      <c r="M181" s="31">
        <v>1835</v>
      </c>
      <c r="N181" s="32">
        <f t="shared" si="97"/>
        <v>-2.6525198938992044E-2</v>
      </c>
      <c r="O181" s="18">
        <f>IF(ISNUMBER(M181), $B199 * N181, "")</f>
        <v>-2652.5198938992044</v>
      </c>
      <c r="Q181" s="216"/>
      <c r="R181" s="216"/>
      <c r="S181" s="216"/>
    </row>
    <row r="182" spans="1:19" ht="17.25" thickBot="1">
      <c r="A182" s="125" t="s">
        <v>186</v>
      </c>
      <c r="B182" s="126">
        <v>5950</v>
      </c>
      <c r="C182" s="77">
        <v>-7.1762870500000006E-2</v>
      </c>
      <c r="D182" s="15">
        <v>5790</v>
      </c>
      <c r="E182" s="32">
        <f t="shared" si="94"/>
        <v>-2.689075630252101E-2</v>
      </c>
      <c r="F182" s="18">
        <f>IF(ISNUMBER(D182), $B199 * E182, "")</f>
        <v>-2689.0756302521008</v>
      </c>
      <c r="G182" s="31">
        <v>5780</v>
      </c>
      <c r="H182" s="32">
        <f t="shared" si="95"/>
        <v>-2.8571428571428571E-2</v>
      </c>
      <c r="I182" s="101">
        <f>IF(ISNUMBER(G182), $B199 * H182, "")</f>
        <v>-2857.1428571428569</v>
      </c>
      <c r="J182" s="15">
        <v>5860</v>
      </c>
      <c r="K182" s="32">
        <f t="shared" si="96"/>
        <v>-1.5126050420168067E-2</v>
      </c>
      <c r="L182" s="18">
        <f>IF(ISNUMBER(J182), $B199 * K182, "")</f>
        <v>-1512.6050420168067</v>
      </c>
      <c r="M182" s="31">
        <v>5975</v>
      </c>
      <c r="N182" s="32">
        <f t="shared" si="97"/>
        <v>4.2016806722689074E-3</v>
      </c>
      <c r="O182" s="18">
        <f>IF(ISNUMBER(M182), $B199 * N182, "")</f>
        <v>420.16806722689074</v>
      </c>
      <c r="Q182" s="216"/>
      <c r="R182" s="216"/>
      <c r="S182" s="216"/>
    </row>
    <row r="183" spans="1:19" ht="17.25" thickBot="1">
      <c r="A183" s="127" t="s">
        <v>124</v>
      </c>
      <c r="B183" s="128">
        <v>268</v>
      </c>
      <c r="C183" s="78">
        <v>-7.2664359900000003E-2</v>
      </c>
      <c r="D183" s="20">
        <v>259</v>
      </c>
      <c r="E183" s="21">
        <f t="shared" si="94"/>
        <v>-3.3582089552238806E-2</v>
      </c>
      <c r="F183" s="22">
        <f>IF(ISNUMBER(D183), $B199 * E183, "")</f>
        <v>-3358.2089552238804</v>
      </c>
      <c r="G183" s="30">
        <v>257</v>
      </c>
      <c r="H183" s="21">
        <f t="shared" si="95"/>
        <v>-4.1044776119402986E-2</v>
      </c>
      <c r="I183" s="105">
        <f>IF(ISNUMBER(G183), $B199 * H183, "")</f>
        <v>-4104.4776119402986</v>
      </c>
      <c r="J183" s="20">
        <v>259</v>
      </c>
      <c r="K183" s="21">
        <f t="shared" si="96"/>
        <v>-3.3582089552238806E-2</v>
      </c>
      <c r="L183" s="22">
        <f>IF(ISNUMBER(J183), $B199 * K183, "")</f>
        <v>-3358.2089552238804</v>
      </c>
      <c r="M183" s="30">
        <v>268</v>
      </c>
      <c r="N183" s="21">
        <f t="shared" si="97"/>
        <v>0</v>
      </c>
      <c r="O183" s="22">
        <f>IF(ISNUMBER(M183), $B199 * N183, "")</f>
        <v>0</v>
      </c>
      <c r="Q183" s="216"/>
      <c r="R183" s="216"/>
      <c r="S183" s="216"/>
    </row>
    <row r="184" spans="1:19" ht="17.25" thickBot="1">
      <c r="A184" s="125" t="s">
        <v>69</v>
      </c>
      <c r="B184" s="129">
        <v>3815</v>
      </c>
      <c r="C184" s="80">
        <v>-7.2904009699999994E-2</v>
      </c>
      <c r="D184" s="106">
        <v>3650</v>
      </c>
      <c r="E184" s="107">
        <f>IF(ISNUMBER(D184), (D184 - $B184) / $B184, "")</f>
        <v>-4.3250327653997382E-2</v>
      </c>
      <c r="F184" s="108">
        <f>IF(ISNUMBER(D184), $B199 * E184, "")</f>
        <v>-4325.0327653997383</v>
      </c>
      <c r="G184" s="109">
        <v>3580</v>
      </c>
      <c r="H184" s="107">
        <f>IF(ISNUMBER(G184), (G184 - $B184) / $B184, "")</f>
        <v>-6.1598951507208385E-2</v>
      </c>
      <c r="I184" s="110">
        <f>IF(ISNUMBER(G184), $B199 * H184, "")</f>
        <v>-6159.8951507208385</v>
      </c>
      <c r="J184" s="106">
        <v>3640</v>
      </c>
      <c r="K184" s="107">
        <f>IF(ISNUMBER(J184), (J184 - $B184) / $B184, "")</f>
        <v>-4.5871559633027525E-2</v>
      </c>
      <c r="L184" s="108">
        <f>IF(ISNUMBER(J184), $B199 * K184, "")</f>
        <v>-4587.1559633027528</v>
      </c>
      <c r="M184" s="109">
        <v>3700</v>
      </c>
      <c r="N184" s="107">
        <f>IF(ISNUMBER(M184), (M184 - $B184) / $B184, "")</f>
        <v>-3.0144167758846659E-2</v>
      </c>
      <c r="O184" s="108">
        <f>IF(ISNUMBER(M184), $B199 * N184, "")</f>
        <v>-3014.4167758846656</v>
      </c>
      <c r="Q184" s="216"/>
      <c r="R184" s="216"/>
      <c r="S184" s="216"/>
    </row>
    <row r="185" spans="1:19" ht="17.25" thickBot="1">
      <c r="A185" s="125" t="s">
        <v>136</v>
      </c>
      <c r="B185" s="126">
        <v>1800</v>
      </c>
      <c r="C185" s="77">
        <v>-7.6923076899999998E-2</v>
      </c>
      <c r="D185" s="15">
        <v>1750</v>
      </c>
      <c r="E185" s="32">
        <f t="shared" ref="E185:E188" si="98">IF(ISNUMBER(D185), (D185 - $B185) / $B185, "")</f>
        <v>-2.7777777777777776E-2</v>
      </c>
      <c r="F185" s="18">
        <f>IF(ISNUMBER(D185), $B199 * E185, "")</f>
        <v>-2777.7777777777778</v>
      </c>
      <c r="G185" s="31">
        <v>1730</v>
      </c>
      <c r="H185" s="32">
        <f t="shared" ref="H185:H188" si="99">IF(ISNUMBER(G185), (G185 - $B185) / $B185, "")</f>
        <v>-3.888888888888889E-2</v>
      </c>
      <c r="I185" s="101">
        <f>IF(ISNUMBER(G185), $B199 * H185, "")</f>
        <v>-3888.8888888888891</v>
      </c>
      <c r="J185" s="15">
        <v>1765</v>
      </c>
      <c r="K185" s="32">
        <f t="shared" ref="K185:K188" si="100">IF(ISNUMBER(J185), (J185 - $B185) / $B185, "")</f>
        <v>-1.9444444444444445E-2</v>
      </c>
      <c r="L185" s="18">
        <f>IF(ISNUMBER(J185), $B199 * K185, "")</f>
        <v>-1944.4444444444446</v>
      </c>
      <c r="M185" s="31">
        <v>1785</v>
      </c>
      <c r="N185" s="32">
        <f t="shared" ref="N185:N188" si="101">IF(ISNUMBER(M185), (M185 - $B185) / $B185, "")</f>
        <v>-8.3333333333333332E-3</v>
      </c>
      <c r="O185" s="18">
        <f>IF(ISNUMBER(M185), $B199 * N185, "")</f>
        <v>-833.33333333333337</v>
      </c>
      <c r="Q185" s="216"/>
      <c r="R185" s="216"/>
      <c r="S185" s="216"/>
    </row>
    <row r="186" spans="1:19" ht="17.25" thickBot="1">
      <c r="A186" s="125" t="s">
        <v>253</v>
      </c>
      <c r="B186" s="126">
        <v>657</v>
      </c>
      <c r="C186" s="77">
        <v>-7.8541374499999997E-2</v>
      </c>
      <c r="D186" s="15">
        <v>654</v>
      </c>
      <c r="E186" s="32">
        <f t="shared" si="98"/>
        <v>-4.5662100456621002E-3</v>
      </c>
      <c r="F186" s="18">
        <f>IF(ISNUMBER(D186), $B199 * E186, "")</f>
        <v>-456.62100456621005</v>
      </c>
      <c r="G186" s="31">
        <v>653</v>
      </c>
      <c r="H186" s="32">
        <f t="shared" si="99"/>
        <v>-6.0882800608828003E-3</v>
      </c>
      <c r="I186" s="101">
        <f>IF(ISNUMBER(G186), $B199 * H186, "")</f>
        <v>-608.82800608828006</v>
      </c>
      <c r="J186" s="15">
        <v>667</v>
      </c>
      <c r="K186" s="32">
        <f t="shared" si="100"/>
        <v>1.5220700152207001E-2</v>
      </c>
      <c r="L186" s="18">
        <f>IF(ISNUMBER(J186), $B199 * K186, "")</f>
        <v>1522.0700152207</v>
      </c>
      <c r="M186" s="31">
        <v>678</v>
      </c>
      <c r="N186" s="32">
        <f t="shared" si="101"/>
        <v>3.1963470319634701E-2</v>
      </c>
      <c r="O186" s="18">
        <f>IF(ISNUMBER(M186), $B199 * N186, "")</f>
        <v>3196.3470319634703</v>
      </c>
      <c r="Q186" s="216"/>
      <c r="R186" s="216"/>
      <c r="S186" s="216"/>
    </row>
    <row r="187" spans="1:19" ht="17.25" thickBot="1">
      <c r="A187" s="125" t="s">
        <v>142</v>
      </c>
      <c r="B187" s="126">
        <v>6885</v>
      </c>
      <c r="C187" s="77">
        <v>-7.8929765900000004E-2</v>
      </c>
      <c r="D187" s="15">
        <v>6805</v>
      </c>
      <c r="E187" s="32">
        <f t="shared" si="98"/>
        <v>-1.1619462599854757E-2</v>
      </c>
      <c r="F187" s="18">
        <f>IF(ISNUMBER(D187), $B199 * E187, "")</f>
        <v>-1161.9462599854758</v>
      </c>
      <c r="G187" s="31">
        <v>6790</v>
      </c>
      <c r="H187" s="32">
        <f t="shared" si="99"/>
        <v>-1.3798111837327523E-2</v>
      </c>
      <c r="I187" s="101">
        <f>IF(ISNUMBER(G187), $B199 * H187, "")</f>
        <v>-1379.8111837327524</v>
      </c>
      <c r="J187" s="15">
        <v>6800</v>
      </c>
      <c r="K187" s="32">
        <f t="shared" si="100"/>
        <v>-1.2345679012345678E-2</v>
      </c>
      <c r="L187" s="18">
        <f>IF(ISNUMBER(J187), $B199 * K187, "")</f>
        <v>-1234.5679012345679</v>
      </c>
      <c r="M187" s="31">
        <v>6915</v>
      </c>
      <c r="N187" s="32">
        <f t="shared" si="101"/>
        <v>4.3572984749455342E-3</v>
      </c>
      <c r="O187" s="18">
        <f>IF(ISNUMBER(M187), $B199 * N187, "")</f>
        <v>435.72984749455344</v>
      </c>
      <c r="Q187" s="33"/>
      <c r="R187" s="33"/>
    </row>
    <row r="188" spans="1:19" ht="17.25" thickBot="1">
      <c r="A188" s="130" t="s">
        <v>172</v>
      </c>
      <c r="B188" s="131">
        <v>1870</v>
      </c>
      <c r="C188" s="79">
        <v>-8.5574572099999996E-2</v>
      </c>
      <c r="D188" s="24">
        <v>2015</v>
      </c>
      <c r="E188" s="25">
        <f t="shared" si="98"/>
        <v>7.7540106951871662E-2</v>
      </c>
      <c r="F188" s="104">
        <f>IF(ISNUMBER(D188), $B199 * E188, "")</f>
        <v>7754.0106951871667</v>
      </c>
      <c r="G188" s="102">
        <v>1980</v>
      </c>
      <c r="H188" s="25">
        <f t="shared" si="99"/>
        <v>5.8823529411764705E-2</v>
      </c>
      <c r="I188" s="103">
        <f>IF(ISNUMBER(G188), $B199 * H188, "")</f>
        <v>5882.3529411764703</v>
      </c>
      <c r="J188" s="24">
        <v>2025</v>
      </c>
      <c r="K188" s="25">
        <f t="shared" si="100"/>
        <v>8.2887700534759357E-2</v>
      </c>
      <c r="L188" s="104">
        <f>IF(ISNUMBER(J188), $B199 * K188, "")</f>
        <v>8288.7700534759351</v>
      </c>
      <c r="M188" s="102">
        <v>2060</v>
      </c>
      <c r="N188" s="25">
        <f t="shared" si="101"/>
        <v>0.10160427807486631</v>
      </c>
      <c r="O188" s="104">
        <f>IF(ISNUMBER(M188), $B199 * N188, "")</f>
        <v>10160.427807486631</v>
      </c>
      <c r="Q188" s="217"/>
      <c r="R188" s="218"/>
      <c r="S188" s="219"/>
    </row>
    <row r="189" spans="1:19">
      <c r="A189" s="123" t="s">
        <v>138</v>
      </c>
      <c r="B189" s="124">
        <v>444</v>
      </c>
      <c r="C189" s="76">
        <v>-8.8295687900000003E-2</v>
      </c>
      <c r="D189" s="13">
        <v>421</v>
      </c>
      <c r="E189" s="14">
        <f>IF(ISNUMBER(D189), (D189 - $B189) / $B189, "")</f>
        <v>-5.18018018018018E-2</v>
      </c>
      <c r="F189" s="16">
        <f>IF(ISNUMBER(D189), $B199 * E189, "")</f>
        <v>-5180.1801801801803</v>
      </c>
      <c r="G189" s="29">
        <v>415</v>
      </c>
      <c r="H189" s="14">
        <f>IF(ISNUMBER(G189), (G189 - $B189) / $B189, "")</f>
        <v>-6.5315315315315314E-2</v>
      </c>
      <c r="I189" s="100">
        <f>IF(ISNUMBER(G189), $B199 * H189, "")</f>
        <v>-6531.5315315315311</v>
      </c>
      <c r="J189" s="13">
        <v>416</v>
      </c>
      <c r="K189" s="14">
        <f>IF(ISNUMBER(J189), (J189 - $B189) / $B189, "")</f>
        <v>-6.3063063063063057E-2</v>
      </c>
      <c r="L189" s="16">
        <f>IF(ISNUMBER(J189), $B199 * K189, "")</f>
        <v>-6306.3063063063055</v>
      </c>
      <c r="M189" s="29">
        <v>423</v>
      </c>
      <c r="N189" s="14">
        <f>IF(ISNUMBER(M189), (M189 - $B189) / $B189, "")</f>
        <v>-4.72972972972973E-2</v>
      </c>
      <c r="O189" s="16">
        <f>IF(ISNUMBER(M189), $B199 * N189, "")</f>
        <v>-4729.72972972973</v>
      </c>
      <c r="Q189" s="220"/>
      <c r="R189" s="221"/>
      <c r="S189" s="222"/>
    </row>
    <row r="190" spans="1:19" ht="17.25" thickBot="1">
      <c r="A190" s="125" t="s">
        <v>237</v>
      </c>
      <c r="B190" s="126">
        <v>414</v>
      </c>
      <c r="C190" s="77">
        <v>-9.2105263199999995E-2</v>
      </c>
      <c r="D190" s="15">
        <v>405</v>
      </c>
      <c r="E190" s="32">
        <f t="shared" ref="E190:E193" si="102">IF(ISNUMBER(D190), (D190 - $B190) / $B190, "")</f>
        <v>-2.1739130434782608E-2</v>
      </c>
      <c r="F190" s="18">
        <f>IF(ISNUMBER(D190), $B199 * E190, "")</f>
        <v>-2173.913043478261</v>
      </c>
      <c r="G190" s="31">
        <v>403</v>
      </c>
      <c r="H190" s="32">
        <f t="shared" ref="H190:H193" si="103">IF(ISNUMBER(G190), (G190 - $B190) / $B190, "")</f>
        <v>-2.6570048309178744E-2</v>
      </c>
      <c r="I190" s="101">
        <f>IF(ISNUMBER(G190), $B199 * H190, "")</f>
        <v>-2657.0048309178742</v>
      </c>
      <c r="J190" s="15">
        <v>420</v>
      </c>
      <c r="K190" s="32">
        <f t="shared" ref="K190:K193" si="104">IF(ISNUMBER(J190), (J190 - $B190) / $B190, "")</f>
        <v>1.4492753623188406E-2</v>
      </c>
      <c r="L190" s="18">
        <f>IF(ISNUMBER(J190), $B199 * K190, "")</f>
        <v>1449.2753623188405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241.54589371980674</v>
      </c>
      <c r="Q190" s="223"/>
      <c r="R190" s="224"/>
      <c r="S190" s="225"/>
    </row>
    <row r="191" spans="1:19" ht="17.25" thickBot="1">
      <c r="A191" s="125" t="s">
        <v>214</v>
      </c>
      <c r="B191" s="126">
        <v>208</v>
      </c>
      <c r="C191" s="77">
        <v>-9.5652173899999998E-2</v>
      </c>
      <c r="D191" s="15">
        <v>204</v>
      </c>
      <c r="E191" s="32">
        <f t="shared" si="102"/>
        <v>-1.9230769230769232E-2</v>
      </c>
      <c r="F191" s="18">
        <f>IF(ISNUMBER(D191), $B199 * E191, "")</f>
        <v>-1923.0769230769231</v>
      </c>
      <c r="G191" s="31">
        <v>201</v>
      </c>
      <c r="H191" s="32">
        <f t="shared" si="103"/>
        <v>-3.3653846153846152E-2</v>
      </c>
      <c r="I191" s="101">
        <f>IF(ISNUMBER(G191), $B199 * H191, "")</f>
        <v>-3365.3846153846152</v>
      </c>
      <c r="J191" s="15">
        <v>201</v>
      </c>
      <c r="K191" s="32">
        <f t="shared" si="104"/>
        <v>-3.3653846153846152E-2</v>
      </c>
      <c r="L191" s="18">
        <f>IF(ISNUMBER(J191), $B199 * K191, "")</f>
        <v>-3365.3846153846152</v>
      </c>
      <c r="M191" s="31">
        <v>204</v>
      </c>
      <c r="N191" s="32">
        <f t="shared" si="105"/>
        <v>-1.9230769230769232E-2</v>
      </c>
      <c r="O191" s="18">
        <f>IF(ISNUMBER(M191), $B199 * N191, "")</f>
        <v>-1923.0769230769231</v>
      </c>
      <c r="Q191" s="216"/>
      <c r="R191" s="216"/>
      <c r="S191" s="216"/>
    </row>
    <row r="192" spans="1:19" ht="17.25" thickBot="1">
      <c r="A192" s="125" t="s">
        <v>247</v>
      </c>
      <c r="B192" s="126">
        <v>6950</v>
      </c>
      <c r="C192" s="77">
        <v>-9.9157485399999995E-2</v>
      </c>
      <c r="D192" s="15">
        <v>6500</v>
      </c>
      <c r="E192" s="32">
        <f t="shared" si="102"/>
        <v>-6.4748201438848921E-2</v>
      </c>
      <c r="F192" s="18">
        <f>IF(ISNUMBER(D192), $B199 * E192, "")</f>
        <v>-6474.8201438848919</v>
      </c>
      <c r="G192" s="31">
        <v>6450</v>
      </c>
      <c r="H192" s="32">
        <f t="shared" si="103"/>
        <v>-7.1942446043165464E-2</v>
      </c>
      <c r="I192" s="101">
        <f>IF(ISNUMBER(G192), $B199 * H192, "")</f>
        <v>-7194.2446043165464</v>
      </c>
      <c r="J192" s="15">
        <v>6565</v>
      </c>
      <c r="K192" s="32">
        <f t="shared" si="104"/>
        <v>-5.5395683453237407E-2</v>
      </c>
      <c r="L192" s="18">
        <f>IF(ISNUMBER(J192), $B199 * K192, "")</f>
        <v>-5539.5683453237407</v>
      </c>
      <c r="M192" s="31">
        <v>6600</v>
      </c>
      <c r="N192" s="32">
        <f t="shared" si="105"/>
        <v>-5.0359712230215826E-2</v>
      </c>
      <c r="O192" s="18">
        <f>IF(ISNUMBER(M192), $B199 * N192, "")</f>
        <v>-5035.9712230215828</v>
      </c>
      <c r="Q192" s="226"/>
      <c r="R192" s="226"/>
      <c r="S192" s="226"/>
    </row>
    <row r="193" spans="1:19" ht="17.25" thickBot="1">
      <c r="A193" s="127" t="s">
        <v>226</v>
      </c>
      <c r="B193" s="128">
        <v>1220</v>
      </c>
      <c r="C193" s="78">
        <v>-0.1029411765</v>
      </c>
      <c r="D193" s="20">
        <v>1195</v>
      </c>
      <c r="E193" s="21">
        <f t="shared" si="102"/>
        <v>-2.0491803278688523E-2</v>
      </c>
      <c r="F193" s="22">
        <f>IF(ISNUMBER(D193), $B199 * E193, "")</f>
        <v>-2049.1803278688521</v>
      </c>
      <c r="G193" s="30">
        <v>1185</v>
      </c>
      <c r="H193" s="21">
        <f t="shared" si="103"/>
        <v>-2.8688524590163935E-2</v>
      </c>
      <c r="I193" s="105">
        <f>IF(ISNUMBER(G193), $B199 * H193, "")</f>
        <v>-2868.8524590163934</v>
      </c>
      <c r="J193" s="20">
        <v>1205</v>
      </c>
      <c r="K193" s="21">
        <f t="shared" si="104"/>
        <v>-1.2295081967213115E-2</v>
      </c>
      <c r="L193" s="22">
        <f>IF(ISNUMBER(J193), $B199 * K193, "")</f>
        <v>-1229.5081967213114</v>
      </c>
      <c r="M193" s="30">
        <v>1245</v>
      </c>
      <c r="N193" s="21">
        <f t="shared" si="105"/>
        <v>2.0491803278688523E-2</v>
      </c>
      <c r="O193" s="22">
        <f>IF(ISNUMBER(M193), $B199 * N193, "")</f>
        <v>2049.1803278688521</v>
      </c>
      <c r="Q193" s="226"/>
      <c r="R193" s="226"/>
      <c r="S193" s="226"/>
    </row>
    <row r="194" spans="1:19" ht="17.25" thickBot="1">
      <c r="A194" s="125" t="s">
        <v>162</v>
      </c>
      <c r="B194" s="129">
        <v>82.1</v>
      </c>
      <c r="C194" s="80">
        <v>-0.12192513369999999</v>
      </c>
      <c r="D194" s="106">
        <v>76.099999999999994</v>
      </c>
      <c r="E194" s="107">
        <f>IF(ISNUMBER(D194), (D194 - $B194) / $B194, "")</f>
        <v>-7.3081607795371498E-2</v>
      </c>
      <c r="F194" s="108">
        <f>IF(ISNUMBER(D194), $B199 * E194, "")</f>
        <v>-7308.1607795371501</v>
      </c>
      <c r="G194" s="109">
        <v>76</v>
      </c>
      <c r="H194" s="107">
        <f>IF(ISNUMBER(G194), (G194 - $B194) / $B194, "")</f>
        <v>-7.4299634591960956E-2</v>
      </c>
      <c r="I194" s="110">
        <f>IF(ISNUMBER(G194), $B199 * H194, "")</f>
        <v>-7429.9634591960958</v>
      </c>
      <c r="J194" s="106">
        <v>76.8</v>
      </c>
      <c r="K194" s="107">
        <f>IF(ISNUMBER(J194), (J194 - $B194) / $B194, "")</f>
        <v>-6.4555420219244791E-2</v>
      </c>
      <c r="L194" s="108">
        <f>IF(ISNUMBER(J194), $B199 * K194, "")</f>
        <v>-6455.5420219244788</v>
      </c>
      <c r="M194" s="109">
        <v>78.400000000000006</v>
      </c>
      <c r="N194" s="107">
        <f>IF(ISNUMBER(M194), (M194 - $B194) / $B194, "")</f>
        <v>-4.5066991473812289E-2</v>
      </c>
      <c r="O194" s="108">
        <f>IF(ISNUMBER(M194), $B199 * N194, "")</f>
        <v>-4506.6991473812286</v>
      </c>
      <c r="Q194" s="216"/>
      <c r="R194" s="216"/>
      <c r="S194" s="216"/>
    </row>
    <row r="195" spans="1:19" ht="17.25" thickBot="1">
      <c r="A195" s="125" t="s">
        <v>184</v>
      </c>
      <c r="B195" s="126">
        <v>834</v>
      </c>
      <c r="C195" s="77">
        <v>-0.12943632569999999</v>
      </c>
      <c r="D195" s="15">
        <v>784</v>
      </c>
      <c r="E195" s="32">
        <f t="shared" ref="E195:E198" si="106">IF(ISNUMBER(D195), (D195 - $B195) / $B195, "")</f>
        <v>-5.9952038369304558E-2</v>
      </c>
      <c r="F195" s="18">
        <f>IF(ISNUMBER(D195), $B199 * E195, "")</f>
        <v>-5995.2038369304555</v>
      </c>
      <c r="G195" s="31">
        <v>780</v>
      </c>
      <c r="H195" s="32">
        <f t="shared" ref="H195:H198" si="107">IF(ISNUMBER(G195), (G195 - $B195) / $B195, "")</f>
        <v>-6.4748201438848921E-2</v>
      </c>
      <c r="I195" s="101">
        <f>IF(ISNUMBER(G195), $B199 * H195, "")</f>
        <v>-6474.8201438848919</v>
      </c>
      <c r="J195" s="15">
        <v>788</v>
      </c>
      <c r="K195" s="32">
        <f t="shared" ref="K195:K198" si="108">IF(ISNUMBER(J195), (J195 - $B195) / $B195, "")</f>
        <v>-5.5155875299760189E-2</v>
      </c>
      <c r="L195" s="18">
        <f>IF(ISNUMBER(J195), $B199 * K195, "")</f>
        <v>-5515.5875299760191</v>
      </c>
      <c r="M195" s="31">
        <v>805</v>
      </c>
      <c r="N195" s="32">
        <f t="shared" ref="N195:N198" si="109">IF(ISNUMBER(M195), (M195 - $B195) / $B195, "")</f>
        <v>-3.4772182254196642E-2</v>
      </c>
      <c r="O195" s="18">
        <f>IF(ISNUMBER(M195), $B199 * N195, "")</f>
        <v>-3477.2182254196641</v>
      </c>
      <c r="Q195" s="216"/>
      <c r="R195" s="216"/>
      <c r="S195" s="216"/>
    </row>
    <row r="196" spans="1:19" ht="17.25" thickBot="1">
      <c r="A196" s="125" t="s">
        <v>229</v>
      </c>
      <c r="B196" s="126">
        <v>429</v>
      </c>
      <c r="C196" s="77">
        <v>-0.19962686569999999</v>
      </c>
      <c r="D196" s="15">
        <v>278</v>
      </c>
      <c r="E196" s="32">
        <f t="shared" si="106"/>
        <v>-0.351981351981352</v>
      </c>
      <c r="F196" s="18">
        <f>IF(ISNUMBER(D196), $B199 * E196, "")</f>
        <v>-35198.135198135198</v>
      </c>
      <c r="G196" s="31">
        <v>215</v>
      </c>
      <c r="H196" s="32">
        <f t="shared" si="107"/>
        <v>-0.49883449883449882</v>
      </c>
      <c r="I196" s="101">
        <f>IF(ISNUMBER(G196), $B199 * H196, "")</f>
        <v>-49883.449883449881</v>
      </c>
      <c r="J196" s="15">
        <v>181</v>
      </c>
      <c r="K196" s="32">
        <f t="shared" si="108"/>
        <v>-0.57808857808857805</v>
      </c>
      <c r="L196" s="18">
        <f>IF(ISNUMBER(J196), $B199 * K196, "")</f>
        <v>-57808.857808857807</v>
      </c>
      <c r="M196" s="31">
        <v>189</v>
      </c>
      <c r="N196" s="32">
        <f t="shared" si="109"/>
        <v>-0.55944055944055948</v>
      </c>
      <c r="O196" s="18">
        <f>IF(ISNUMBER(M196), $B199 * N196, "")</f>
        <v>-55944.055944055945</v>
      </c>
      <c r="Q196" s="216"/>
      <c r="R196" s="216"/>
      <c r="S196" s="216"/>
    </row>
    <row r="197" spans="1:19">
      <c r="A197" s="125" t="s">
        <v>233</v>
      </c>
      <c r="B197" s="126">
        <v>410</v>
      </c>
      <c r="C197" s="77">
        <v>-0.2115384615</v>
      </c>
      <c r="D197" s="15">
        <v>360</v>
      </c>
      <c r="E197" s="32">
        <f t="shared" si="106"/>
        <v>-0.12195121951219512</v>
      </c>
      <c r="F197" s="18">
        <f>IF(ISNUMBER(D197), $B199 * E197, "")</f>
        <v>-12195.121951219511</v>
      </c>
      <c r="G197" s="31">
        <v>346</v>
      </c>
      <c r="H197" s="32">
        <f t="shared" si="107"/>
        <v>-0.15609756097560976</v>
      </c>
      <c r="I197" s="101">
        <f>IF(ISNUMBER(G197), $B199 * H197, "")</f>
        <v>-15609.756097560976</v>
      </c>
      <c r="J197" s="15">
        <v>348</v>
      </c>
      <c r="K197" s="32">
        <f t="shared" si="108"/>
        <v>-0.15121951219512195</v>
      </c>
      <c r="L197" s="18">
        <f>IF(ISNUMBER(J197), $B199 * K197, "")</f>
        <v>-15121.951219512195</v>
      </c>
      <c r="M197" s="31">
        <v>356</v>
      </c>
      <c r="N197" s="32">
        <f t="shared" si="109"/>
        <v>-0.13170731707317074</v>
      </c>
      <c r="O197" s="18">
        <f>IF(ISNUMBER(M197), $B199 * N197, "")</f>
        <v>-13170.731707317074</v>
      </c>
      <c r="Q197" s="205"/>
      <c r="R197" s="206"/>
      <c r="S197" s="207"/>
    </row>
    <row r="198" spans="1:19" ht="17.25" thickBot="1">
      <c r="A198" s="130" t="s">
        <v>228</v>
      </c>
      <c r="B198" s="131">
        <v>310</v>
      </c>
      <c r="C198" s="79">
        <v>-0.24939467309999999</v>
      </c>
      <c r="D198" s="24">
        <v>255</v>
      </c>
      <c r="E198" s="25">
        <f t="shared" si="106"/>
        <v>-0.17741935483870969</v>
      </c>
      <c r="F198" s="104">
        <f>IF(ISNUMBER(D198), $B199 * E198, "")</f>
        <v>-17741.93548387097</v>
      </c>
      <c r="G198" s="102">
        <v>241</v>
      </c>
      <c r="H198" s="25">
        <f t="shared" si="107"/>
        <v>-0.22258064516129034</v>
      </c>
      <c r="I198" s="103">
        <f>IF(ISNUMBER(G198), $B199 * H198, "")</f>
        <v>-22258.064516129034</v>
      </c>
      <c r="J198" s="24">
        <v>246</v>
      </c>
      <c r="K198" s="25">
        <f t="shared" si="108"/>
        <v>-0.20645161290322581</v>
      </c>
      <c r="L198" s="104">
        <f>IF(ISNUMBER(J198), $B199 * K198, "")</f>
        <v>-20645.16129032258</v>
      </c>
      <c r="M198" s="102">
        <v>256</v>
      </c>
      <c r="N198" s="25">
        <f t="shared" si="109"/>
        <v>-0.17419354838709677</v>
      </c>
      <c r="O198" s="104">
        <f>IF(ISNUMBER(M198), $B199 * N198, "")</f>
        <v>-17419.354838709678</v>
      </c>
      <c r="Q198" s="208"/>
      <c r="R198" s="209"/>
      <c r="S198" s="210"/>
    </row>
    <row r="199" spans="1:19" ht="17.25" thickBot="1">
      <c r="A199" s="132" t="s">
        <v>271</v>
      </c>
      <c r="B199" s="269">
        <f>$B$37</f>
        <v>100000</v>
      </c>
      <c r="C199" s="270"/>
      <c r="D199" s="26" t="s">
        <v>272</v>
      </c>
      <c r="E199" s="27">
        <f>IF(COUNT(E179:E198), SUM(E179:E198) / COUNT(E179:E198), 0)</f>
        <v>-5.5832031647641757E-2</v>
      </c>
      <c r="F199" s="28">
        <f>SUM(F179:F198)</f>
        <v>-111664.06329528351</v>
      </c>
      <c r="G199" s="26" t="s">
        <v>272</v>
      </c>
      <c r="H199" s="27">
        <f>IF(COUNT(H179:H198), SUM(H179:H198) / COUNT(H179:H198), 0)</f>
        <v>-7.4971297819531366E-2</v>
      </c>
      <c r="I199" s="28">
        <f>SUM(I179:I198)</f>
        <v>-149942.59563906275</v>
      </c>
      <c r="J199" s="26" t="s">
        <v>272</v>
      </c>
      <c r="K199" s="27">
        <f>IF(COUNT(K179:K198), SUM(K179:K198) / COUNT(K179:K198), 0)</f>
        <v>-6.7375571546142682E-2</v>
      </c>
      <c r="L199" s="28">
        <f>SUM(L179:L198)</f>
        <v>-134751.14309228538</v>
      </c>
      <c r="M199" s="26" t="s">
        <v>272</v>
      </c>
      <c r="N199" s="27">
        <f>IF(COUNT(N179:N198), SUM(N179:N198) / COUNT(N179:N198), 0)</f>
        <v>-4.7065076062886291E-2</v>
      </c>
      <c r="O199" s="28">
        <f>SUM(O179:O198)</f>
        <v>-94130.152125772584</v>
      </c>
      <c r="Q199" s="211"/>
      <c r="R199" s="212"/>
      <c r="S199" s="2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A0456-20C9-4F82-AB23-1D580C33AF94}">
  <sheetPr codeName="Sheet9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7" t="s">
        <v>0</v>
      </c>
      <c r="B1" s="228"/>
      <c r="C1" s="228"/>
      <c r="D1" s="228"/>
      <c r="E1" s="228"/>
      <c r="F1" s="229"/>
      <c r="G1" s="258">
        <v>44380</v>
      </c>
      <c r="H1" s="259"/>
      <c r="I1" s="260"/>
      <c r="J1" s="227" t="s">
        <v>1</v>
      </c>
      <c r="K1" s="228"/>
      <c r="L1" s="228"/>
      <c r="M1" s="228"/>
      <c r="N1" s="228"/>
      <c r="O1" s="229"/>
      <c r="Q1" s="227" t="s">
        <v>2</v>
      </c>
      <c r="R1" s="229"/>
    </row>
    <row r="2" spans="1:19" ht="17.25" customHeight="1">
      <c r="A2" s="117" t="s">
        <v>3</v>
      </c>
      <c r="B2" s="261" t="s">
        <v>8</v>
      </c>
      <c r="C2" s="262"/>
      <c r="D2" s="262"/>
      <c r="E2" s="262"/>
      <c r="F2" s="263"/>
      <c r="G2" s="255" t="s">
        <v>46</v>
      </c>
      <c r="H2" s="256"/>
      <c r="I2" s="257"/>
      <c r="J2" s="1" t="s">
        <v>3</v>
      </c>
      <c r="K2" s="261" t="s">
        <v>321</v>
      </c>
      <c r="L2" s="262"/>
      <c r="M2" s="262"/>
      <c r="N2" s="262"/>
      <c r="O2" s="263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329</v>
      </c>
      <c r="C3" s="253"/>
      <c r="D3" s="253"/>
      <c r="E3" s="253"/>
      <c r="F3" s="254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26,401 KRW (1.32%)</v>
      </c>
      <c r="H3" s="249"/>
      <c r="I3" s="250"/>
      <c r="J3" s="4" t="s">
        <v>7</v>
      </c>
      <c r="K3" s="252" t="s">
        <v>322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55" t="s">
        <v>44</v>
      </c>
      <c r="H4" s="256"/>
      <c r="I4" s="257"/>
      <c r="J4" s="4" t="s">
        <v>11</v>
      </c>
      <c r="K4" s="252" t="s">
        <v>323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320</v>
      </c>
      <c r="C5" s="253"/>
      <c r="D5" s="253"/>
      <c r="E5" s="253"/>
      <c r="F5" s="254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39,006 KRW (1.95%)</v>
      </c>
      <c r="H5" s="249"/>
      <c r="I5" s="250"/>
      <c r="J5" s="4" t="s">
        <v>15</v>
      </c>
      <c r="K5" s="252" t="s">
        <v>324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55" t="s">
        <v>45</v>
      </c>
      <c r="H6" s="256"/>
      <c r="I6" s="257"/>
      <c r="J6" s="4" t="s">
        <v>18</v>
      </c>
      <c r="K6" s="252" t="s">
        <v>325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89,648 KRW (4.48%)</v>
      </c>
      <c r="H7" s="249"/>
      <c r="I7" s="250"/>
      <c r="J7" s="4" t="s">
        <v>21</v>
      </c>
      <c r="K7" s="252" t="s">
        <v>326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55" t="s">
        <v>256</v>
      </c>
      <c r="H8" s="256"/>
      <c r="I8" s="257"/>
      <c r="J8" s="4" t="s">
        <v>24</v>
      </c>
      <c r="K8" s="252"/>
      <c r="L8" s="253"/>
      <c r="M8" s="253"/>
      <c r="N8" s="253"/>
      <c r="O8" s="254"/>
      <c r="Q8" s="227" t="s">
        <v>27</v>
      </c>
      <c r="R8" s="229"/>
    </row>
    <row r="9" spans="1:19" ht="17.25" thickBot="1">
      <c r="A9" s="118" t="s">
        <v>28</v>
      </c>
      <c r="B9" s="252"/>
      <c r="C9" s="253"/>
      <c r="D9" s="253"/>
      <c r="E9" s="253"/>
      <c r="F9" s="254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152,126 KRW (8.01%)</v>
      </c>
      <c r="H9" s="249"/>
      <c r="I9" s="250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55" t="s">
        <v>47</v>
      </c>
      <c r="H10" s="256"/>
      <c r="I10" s="257"/>
      <c r="J10" s="4" t="s">
        <v>30</v>
      </c>
      <c r="K10" s="252" t="s">
        <v>327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45" t="s">
        <v>328</v>
      </c>
      <c r="C11" s="246"/>
      <c r="D11" s="246"/>
      <c r="E11" s="246"/>
      <c r="F11" s="247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45" t="s">
        <v>319</v>
      </c>
      <c r="L11" s="246"/>
      <c r="M11" s="246"/>
      <c r="N11" s="246"/>
      <c r="O11" s="247"/>
      <c r="Q11" s="65" t="s">
        <v>33</v>
      </c>
      <c r="R11" s="8">
        <v>1000</v>
      </c>
    </row>
    <row r="12" spans="1:19" ht="17.25" thickBot="1"/>
    <row r="13" spans="1:19" ht="17.25" customHeight="1" thickBot="1">
      <c r="A13" s="227" t="s">
        <v>34</v>
      </c>
      <c r="B13" s="228"/>
      <c r="C13" s="228"/>
      <c r="D13" s="228"/>
      <c r="E13" s="228"/>
      <c r="F13" s="228"/>
      <c r="G13" s="228"/>
      <c r="H13" s="228"/>
      <c r="I13" s="228"/>
      <c r="J13" s="228"/>
      <c r="K13" s="228"/>
      <c r="L13" s="228"/>
      <c r="M13" s="228"/>
      <c r="N13" s="228"/>
      <c r="O13" s="229"/>
      <c r="Q13" s="226"/>
      <c r="R13" s="226"/>
      <c r="S13" s="226"/>
    </row>
    <row r="14" spans="1:19" ht="17.25" customHeight="1" thickBot="1">
      <c r="A14" s="165" t="s">
        <v>35</v>
      </c>
      <c r="B14" s="227" t="s">
        <v>36</v>
      </c>
      <c r="C14" s="229"/>
      <c r="D14" s="227" t="s">
        <v>37</v>
      </c>
      <c r="E14" s="228"/>
      <c r="F14" s="229"/>
      <c r="G14" s="230">
        <f>_xlfn.IFNA(VLOOKUP(B14, 현재가테이블!$B$2:$D$200, 2, FALSE), "-")</f>
        <v>39916000</v>
      </c>
      <c r="H14" s="231"/>
      <c r="I14" s="232"/>
      <c r="J14" s="227" t="s">
        <v>38</v>
      </c>
      <c r="K14" s="228"/>
      <c r="L14" s="229"/>
      <c r="M14" s="233">
        <f>_xlfn.IFNA(VLOOKUP(B14, 현재가테이블!$B$2:$D$200, 3, FALSE), "-")</f>
        <v>7.3184273000000003E-3</v>
      </c>
      <c r="N14" s="234"/>
      <c r="O14" s="235"/>
      <c r="Q14" s="226"/>
      <c r="R14" s="226"/>
      <c r="S14" s="226"/>
    </row>
    <row r="15" spans="1:19" ht="17.25" customHeight="1" thickBot="1">
      <c r="A15" s="264" t="s">
        <v>39</v>
      </c>
      <c r="B15" s="265" t="str">
        <f>TEXT($G$1, "[$-ko-KR]yyyy-mm-dd(ddd) ") &amp; "오전 00:00"</f>
        <v>2021-07-03(토) 오전 00:00</v>
      </c>
      <c r="C15" s="266"/>
      <c r="D15" s="240" t="str">
        <f>TEXT($G$1, "[$-ko-KR]yyyy-mm-dd(ddd) ") &amp; "오후 14:00"</f>
        <v>2021-07-03(토) 오후 14:00</v>
      </c>
      <c r="E15" s="241"/>
      <c r="F15" s="242"/>
      <c r="G15" s="240" t="str">
        <f>TEXT($G$1, "[$-ko-KR]yyyy-mm-dd(ddd) ") &amp; "오후 19:00"</f>
        <v>2021-07-03(토) 오후 19:00</v>
      </c>
      <c r="H15" s="241"/>
      <c r="I15" s="242"/>
      <c r="J15" s="240" t="str">
        <f>TEXT($G$1, "[$-ko-KR]yyyy-mm-dd(ddd) ") &amp; "오후 21:00"</f>
        <v>2021-07-03(토) 오후 21:00</v>
      </c>
      <c r="K15" s="241"/>
      <c r="L15" s="242"/>
      <c r="M15" s="240" t="str">
        <f>TEXT($G$1+1, "[$-ko-KR]yyyy-mm-dd(ddd) ") &amp; "오전 00:00"</f>
        <v>2021-07-04(일) 오전 00:00</v>
      </c>
      <c r="N15" s="241"/>
      <c r="O15" s="242"/>
      <c r="Q15" s="226"/>
      <c r="R15" s="226"/>
      <c r="S15" s="226"/>
    </row>
    <row r="16" spans="1:19" ht="17.25" customHeight="1" thickBot="1">
      <c r="A16" s="26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6"/>
      <c r="R16" s="216"/>
      <c r="S16" s="21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6"/>
      <c r="R19" s="216"/>
      <c r="S19" s="21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6"/>
      <c r="R20" s="216"/>
      <c r="S20" s="21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6"/>
      <c r="R21" s="216"/>
      <c r="S21" s="21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6"/>
      <c r="R22" s="216"/>
      <c r="S22" s="21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6"/>
      <c r="R23" s="216"/>
      <c r="S23" s="21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6"/>
      <c r="R24" s="216"/>
      <c r="S24" s="21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6"/>
      <c r="R29" s="216"/>
      <c r="S29" s="21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6"/>
      <c r="R32" s="216"/>
      <c r="S32" s="21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6"/>
      <c r="R33" s="216"/>
      <c r="S33" s="21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6"/>
      <c r="R34" s="216"/>
      <c r="S34" s="21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5"/>
      <c r="R35" s="206"/>
      <c r="S35" s="2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8"/>
      <c r="R36" s="209"/>
      <c r="S36" s="210"/>
    </row>
    <row r="37" spans="1:19" ht="17.25" customHeight="1" thickBot="1">
      <c r="A37" s="132" t="s">
        <v>42</v>
      </c>
      <c r="B37" s="269">
        <v>100000</v>
      </c>
      <c r="C37" s="27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1"/>
      <c r="R37" s="212"/>
      <c r="S37" s="213"/>
    </row>
    <row r="38" spans="1:19" ht="17.25" customHeight="1"/>
    <row r="39" spans="1:19" ht="17.25" customHeight="1" thickBot="1"/>
    <row r="40" spans="1:19" ht="17.25" customHeight="1" thickBot="1">
      <c r="A40" s="227" t="s">
        <v>44</v>
      </c>
      <c r="B40" s="228"/>
      <c r="C40" s="228"/>
      <c r="D40" s="228"/>
      <c r="E40" s="228"/>
      <c r="F40" s="228"/>
      <c r="G40" s="228"/>
      <c r="H40" s="228"/>
      <c r="I40" s="228"/>
      <c r="J40" s="228"/>
      <c r="K40" s="228"/>
      <c r="L40" s="228"/>
      <c r="M40" s="228"/>
      <c r="N40" s="228"/>
      <c r="O40" s="229"/>
      <c r="Q40" s="226"/>
      <c r="R40" s="226"/>
      <c r="S40" s="226"/>
    </row>
    <row r="41" spans="1:19" ht="17.25" customHeight="1" thickBot="1">
      <c r="A41" s="165" t="s">
        <v>268</v>
      </c>
      <c r="B41" s="227" t="s">
        <v>49</v>
      </c>
      <c r="C41" s="229"/>
      <c r="D41" s="227" t="s">
        <v>58</v>
      </c>
      <c r="E41" s="228"/>
      <c r="F41" s="229"/>
      <c r="G41" s="230">
        <f>_xlfn.IFNA(VLOOKUP(B41, 현재가테이블!$B$2:$D$200, 2, FALSE), "-")</f>
        <v>39916000</v>
      </c>
      <c r="H41" s="231"/>
      <c r="I41" s="232"/>
      <c r="J41" s="227" t="s">
        <v>59</v>
      </c>
      <c r="K41" s="228"/>
      <c r="L41" s="229"/>
      <c r="M41" s="233">
        <f>_xlfn.IFNA(VLOOKUP(B41, 현재가테이블!$B$2:$D$200, 3, FALSE), "-")</f>
        <v>7.3184273000000003E-3</v>
      </c>
      <c r="N41" s="234"/>
      <c r="O41" s="235"/>
      <c r="Q41" s="226"/>
      <c r="R41" s="226"/>
      <c r="S41" s="226"/>
    </row>
    <row r="42" spans="1:19" ht="17.25" customHeight="1" thickBot="1">
      <c r="A42" s="271" t="s">
        <v>55</v>
      </c>
      <c r="B42" s="267" t="str">
        <f>TEXT($G$1, "[$-ko-KR]yyyy-mm-dd(ddd) ") &amp; "오전 00:00"</f>
        <v>2021-07-03(토) 오전 00:00</v>
      </c>
      <c r="C42" s="268"/>
      <c r="D42" s="240" t="str">
        <f>TEXT($G$1, "[$-ko-KR]yyyy-mm-dd(ddd) ") &amp; "오후 14:00"</f>
        <v>2021-07-03(토) 오후 14:00</v>
      </c>
      <c r="E42" s="241"/>
      <c r="F42" s="242"/>
      <c r="G42" s="240" t="str">
        <f>TEXT($G$1, "[$-ko-KR]yyyy-mm-dd(ddd) ") &amp; "오후 19:00"</f>
        <v>2021-07-03(토) 오후 19:00</v>
      </c>
      <c r="H42" s="241"/>
      <c r="I42" s="242"/>
      <c r="J42" s="240" t="str">
        <f>TEXT($G$1, "[$-ko-KR]yyyy-mm-dd(ddd) ") &amp; "오후 21:00"</f>
        <v>2021-07-03(토) 오후 21:00</v>
      </c>
      <c r="K42" s="241"/>
      <c r="L42" s="242"/>
      <c r="M42" s="240" t="str">
        <f>TEXT($G$1+1, "[$-ko-KR]yyyy-mm-dd(ddd) ") &amp; "오전 00:00"</f>
        <v>2021-07-04(일) 오전 00:00</v>
      </c>
      <c r="N42" s="241"/>
      <c r="O42" s="242"/>
      <c r="Q42" s="226"/>
      <c r="R42" s="226"/>
      <c r="S42" s="226"/>
    </row>
    <row r="43" spans="1:19" ht="17.25" customHeight="1" thickBot="1">
      <c r="A43" s="27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6" t="s">
        <v>58</v>
      </c>
      <c r="H43" s="167" t="s">
        <v>269</v>
      </c>
      <c r="I43" s="16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6"/>
      <c r="R43" s="216"/>
      <c r="S43" s="216"/>
    </row>
    <row r="44" spans="1:19" ht="17.25" customHeight="1" thickBot="1">
      <c r="A44" s="123" t="s">
        <v>204</v>
      </c>
      <c r="B44" s="124">
        <v>11.7</v>
      </c>
      <c r="C44" s="76">
        <v>0.23940677969999999</v>
      </c>
      <c r="D44" s="13">
        <v>11.3</v>
      </c>
      <c r="E44" s="14">
        <f>IF(ISNUMBER(D44), (D44 - $B44) / $B44, "")</f>
        <v>-3.4188034188034067E-2</v>
      </c>
      <c r="F44" s="16">
        <f>IF(ISNUMBER(D44), $B64 * E44, "")</f>
        <v>-3418.8034188034067</v>
      </c>
      <c r="G44" s="29">
        <v>11.2</v>
      </c>
      <c r="H44" s="14">
        <f>IF(ISNUMBER(G44), (G44 - $B44) / $B44, "")</f>
        <v>-4.2735042735042736E-2</v>
      </c>
      <c r="I44" s="100">
        <f>IF(ISNUMBER(G44), $B64 * H44, "")</f>
        <v>-4273.5042735042734</v>
      </c>
      <c r="J44" s="13">
        <v>11.4</v>
      </c>
      <c r="K44" s="14">
        <f>IF(ISNUMBER(J44), (J44 - $B44) / $B44, "")</f>
        <v>-2.564102564102555E-2</v>
      </c>
      <c r="L44" s="16">
        <f>IF(ISNUMBER(J44), $B64 * K44, "")</f>
        <v>-2564.1025641025549</v>
      </c>
      <c r="M44" s="29">
        <v>11.2</v>
      </c>
      <c r="N44" s="14">
        <f>IF(ISNUMBER(M44), (M44 - $B44) / $B44, "")</f>
        <v>-4.2735042735042736E-2</v>
      </c>
      <c r="O44" s="16">
        <f>IF(ISNUMBER(M44), $B64 * N44, "")</f>
        <v>-4273.5042735042734</v>
      </c>
      <c r="Q44" s="226"/>
      <c r="R44" s="226"/>
      <c r="S44" s="226"/>
    </row>
    <row r="45" spans="1:19" ht="17.25" customHeight="1" thickBot="1">
      <c r="A45" s="125" t="s">
        <v>200</v>
      </c>
      <c r="B45" s="126">
        <v>99.8</v>
      </c>
      <c r="C45" s="77">
        <v>0.14057142859999999</v>
      </c>
      <c r="D45" s="15">
        <v>91.3</v>
      </c>
      <c r="E45" s="32">
        <f t="shared" ref="E45:E48" si="14">IF(ISNUMBER(D45), (D45 - $B45) / $B45, "")</f>
        <v>-8.5170340681362727E-2</v>
      </c>
      <c r="F45" s="18">
        <f>IF(ISNUMBER(D45), $B64 * E45, "")</f>
        <v>-8517.0340681362723</v>
      </c>
      <c r="G45" s="31">
        <v>94.2</v>
      </c>
      <c r="H45" s="32">
        <f t="shared" ref="H45:H48" si="15">IF(ISNUMBER(G45), (G45 - $B45) / $B45, "")</f>
        <v>-5.6112224448897741E-2</v>
      </c>
      <c r="I45" s="101">
        <f>IF(ISNUMBER(G45), $B64 * H45, "")</f>
        <v>-5611.2224448897741</v>
      </c>
      <c r="J45" s="15">
        <v>93.7</v>
      </c>
      <c r="K45" s="32">
        <f t="shared" ref="K45:K48" si="16">IF(ISNUMBER(J45), (J45 - $B45) / $B45, "")</f>
        <v>-6.1122244488977899E-2</v>
      </c>
      <c r="L45" s="18">
        <f>IF(ISNUMBER(J45), $B64 * K45, "")</f>
        <v>-6112.2244488977904</v>
      </c>
      <c r="M45" s="31">
        <v>96.6</v>
      </c>
      <c r="N45" s="32">
        <f t="shared" ref="N45:N48" si="17">IF(ISNUMBER(M45), (M45 - $B45) / $B45, "")</f>
        <v>-3.2064128256513058E-2</v>
      </c>
      <c r="O45" s="18">
        <f>IF(ISNUMBER(M45), $B64 * N45, "")</f>
        <v>-3206.4128256513059</v>
      </c>
      <c r="Q45" s="226"/>
      <c r="R45" s="226"/>
      <c r="S45" s="226"/>
    </row>
    <row r="46" spans="1:19" ht="17.25" customHeight="1" thickBot="1">
      <c r="A46" s="125" t="s">
        <v>239</v>
      </c>
      <c r="B46" s="126">
        <v>80.400000000000006</v>
      </c>
      <c r="C46" s="77">
        <v>0.1292134831</v>
      </c>
      <c r="D46" s="15">
        <v>72.5</v>
      </c>
      <c r="E46" s="32">
        <f t="shared" si="14"/>
        <v>-9.8258706467661758E-2</v>
      </c>
      <c r="F46" s="18">
        <f>IF(ISNUMBER(D46), $B64 * E46, "")</f>
        <v>-9825.8706467661759</v>
      </c>
      <c r="G46" s="31">
        <v>77</v>
      </c>
      <c r="H46" s="32">
        <f t="shared" si="15"/>
        <v>-4.2288557213930413E-2</v>
      </c>
      <c r="I46" s="101">
        <f>IF(ISNUMBER(G46), $B64 * H46, "")</f>
        <v>-4228.8557213930417</v>
      </c>
      <c r="J46" s="15">
        <v>76.400000000000006</v>
      </c>
      <c r="K46" s="32">
        <f t="shared" si="16"/>
        <v>-4.9751243781094523E-2</v>
      </c>
      <c r="L46" s="18">
        <f>IF(ISNUMBER(J46), $B64 * K46, "")</f>
        <v>-4975.1243781094527</v>
      </c>
      <c r="M46" s="31">
        <v>76</v>
      </c>
      <c r="N46" s="32">
        <f t="shared" si="17"/>
        <v>-5.472636815920405E-2</v>
      </c>
      <c r="O46" s="18">
        <f>IF(ISNUMBER(M46), $B64 * N46, "")</f>
        <v>-5472.6368159204048</v>
      </c>
      <c r="Q46" s="216"/>
      <c r="R46" s="216"/>
      <c r="S46" s="216"/>
    </row>
    <row r="47" spans="1:19" ht="17.25" customHeight="1" thickBot="1">
      <c r="A47" s="125" t="s">
        <v>72</v>
      </c>
      <c r="B47" s="126">
        <v>20.399999999999999</v>
      </c>
      <c r="C47" s="77">
        <v>0.1147540984</v>
      </c>
      <c r="D47" s="15">
        <v>18.100000000000001</v>
      </c>
      <c r="E47" s="32">
        <f t="shared" si="14"/>
        <v>-0.11274509803921555</v>
      </c>
      <c r="F47" s="18">
        <f>IF(ISNUMBER(D47), $B64 * E47, "")</f>
        <v>-11274.509803921555</v>
      </c>
      <c r="G47" s="31">
        <v>18.600000000000001</v>
      </c>
      <c r="H47" s="32">
        <f t="shared" si="15"/>
        <v>-8.8235294117646926E-2</v>
      </c>
      <c r="I47" s="101">
        <f>IF(ISNUMBER(G47), $B64 * H47, "")</f>
        <v>-8823.5294117646918</v>
      </c>
      <c r="J47" s="15">
        <v>19.100000000000001</v>
      </c>
      <c r="K47" s="32">
        <f t="shared" si="16"/>
        <v>-6.3725490196078302E-2</v>
      </c>
      <c r="L47" s="18">
        <f>IF(ISNUMBER(J47), $B64 * K47, "")</f>
        <v>-6372.5490196078299</v>
      </c>
      <c r="M47" s="31">
        <v>19</v>
      </c>
      <c r="N47" s="32">
        <f t="shared" si="17"/>
        <v>-6.8627450980392093E-2</v>
      </c>
      <c r="O47" s="18">
        <f>IF(ISNUMBER(M47), $B64 * N47, "")</f>
        <v>-6862.7450980392096</v>
      </c>
      <c r="Q47" s="216"/>
      <c r="R47" s="216"/>
      <c r="S47" s="216"/>
    </row>
    <row r="48" spans="1:19" ht="17.25" customHeight="1" thickBot="1">
      <c r="A48" s="127" t="s">
        <v>65</v>
      </c>
      <c r="B48" s="128">
        <v>27</v>
      </c>
      <c r="C48" s="78">
        <v>7.1428571400000002E-2</v>
      </c>
      <c r="D48" s="20">
        <v>27.4</v>
      </c>
      <c r="E48" s="21">
        <f t="shared" si="14"/>
        <v>1.4814814814814762E-2</v>
      </c>
      <c r="F48" s="22">
        <f>IF(ISNUMBER(D48), $B64 * E48, "")</f>
        <v>1481.4814814814761</v>
      </c>
      <c r="G48" s="30">
        <v>27.9</v>
      </c>
      <c r="H48" s="21">
        <f t="shared" si="15"/>
        <v>3.3333333333333277E-2</v>
      </c>
      <c r="I48" s="105">
        <f>IF(ISNUMBER(G48), $B64 * H48, "")</f>
        <v>3333.3333333333276</v>
      </c>
      <c r="J48" s="20">
        <v>28</v>
      </c>
      <c r="K48" s="21">
        <f t="shared" si="16"/>
        <v>3.7037037037037035E-2</v>
      </c>
      <c r="L48" s="22">
        <f>IF(ISNUMBER(J48), $B64 * K48, "")</f>
        <v>3703.7037037037035</v>
      </c>
      <c r="M48" s="30">
        <v>28.7</v>
      </c>
      <c r="N48" s="21">
        <f t="shared" si="17"/>
        <v>6.2962962962962943E-2</v>
      </c>
      <c r="O48" s="22">
        <f>IF(ISNUMBER(M48), $B64 * N48, "")</f>
        <v>6296.2962962962947</v>
      </c>
      <c r="Q48" s="216"/>
      <c r="R48" s="216"/>
      <c r="S48" s="216"/>
    </row>
    <row r="49" spans="1:19" ht="17.25" customHeight="1" thickBot="1">
      <c r="A49" s="125" t="s">
        <v>222</v>
      </c>
      <c r="B49" s="129">
        <v>92.7</v>
      </c>
      <c r="C49" s="80">
        <v>6.3073394500000005E-2</v>
      </c>
      <c r="D49" s="106">
        <v>90.6</v>
      </c>
      <c r="E49" s="107">
        <f>IF(ISNUMBER(D49), (D49 - $B49) / $B49, "")</f>
        <v>-2.2653721682847988E-2</v>
      </c>
      <c r="F49" s="108">
        <f>IF(ISNUMBER(D49), $B64 * E49, "")</f>
        <v>-2265.3721682847986</v>
      </c>
      <c r="G49" s="109">
        <v>92.3</v>
      </c>
      <c r="H49" s="107">
        <f>IF(ISNUMBER(G49), (G49 - $B49) / $B49, "")</f>
        <v>-4.3149946062568034E-3</v>
      </c>
      <c r="I49" s="110">
        <f>IF(ISNUMBER(G49), $B64 * H49, "")</f>
        <v>-431.49946062568034</v>
      </c>
      <c r="J49" s="106">
        <v>92.9</v>
      </c>
      <c r="K49" s="107">
        <f>IF(ISNUMBER(J49), (J49 - $B49) / $B49, "")</f>
        <v>2.1574973031284017E-3</v>
      </c>
      <c r="L49" s="108">
        <f>IF(ISNUMBER(J49), $B64 * K49, "")</f>
        <v>215.74973031284017</v>
      </c>
      <c r="M49" s="109">
        <v>93.5</v>
      </c>
      <c r="N49" s="107">
        <f>IF(ISNUMBER(M49), (M49 - $B49) / $B49, "")</f>
        <v>8.6299892125134541E-3</v>
      </c>
      <c r="O49" s="108">
        <f>IF(ISNUMBER(M49), $B64 * N49, "")</f>
        <v>862.99892125134545</v>
      </c>
      <c r="Q49" s="216"/>
      <c r="R49" s="216"/>
      <c r="S49" s="216"/>
    </row>
    <row r="50" spans="1:19" ht="17.25" customHeight="1" thickBot="1">
      <c r="A50" s="125" t="s">
        <v>208</v>
      </c>
      <c r="B50" s="126">
        <v>9.7100000000000009</v>
      </c>
      <c r="C50" s="77">
        <v>5.8887677200000002E-2</v>
      </c>
      <c r="D50" s="15">
        <v>9.4700000000000006</v>
      </c>
      <c r="E50" s="32">
        <f t="shared" ref="E50:E53" si="18">IF(ISNUMBER(D50), (D50 - $B50) / $B50, "")</f>
        <v>-2.4716786817713717E-2</v>
      </c>
      <c r="F50" s="18">
        <f>IF(ISNUMBER(D50), $B64 * E50, "")</f>
        <v>-2471.6786817713719</v>
      </c>
      <c r="G50" s="31">
        <v>9.6</v>
      </c>
      <c r="H50" s="32">
        <f t="shared" ref="H50:H53" si="19">IF(ISNUMBER(G50), (G50 - $B50) / $B50, "")</f>
        <v>-1.1328527291452235E-2</v>
      </c>
      <c r="I50" s="101">
        <f>IF(ISNUMBER(G50), $B64 * H50, "")</f>
        <v>-1132.8527291452235</v>
      </c>
      <c r="J50" s="15">
        <v>9.57</v>
      </c>
      <c r="K50" s="32">
        <f t="shared" ref="K50:K53" si="20">IF(ISNUMBER(J50), (J50 - $B50) / $B50, "")</f>
        <v>-1.4418125643666381E-2</v>
      </c>
      <c r="L50" s="18">
        <f>IF(ISNUMBER(J50), $B64 * K50, "")</f>
        <v>-1441.8125643666381</v>
      </c>
      <c r="M50" s="31">
        <v>9.86</v>
      </c>
      <c r="N50" s="32">
        <f t="shared" ref="N50:N53" si="21">IF(ISNUMBER(M50), (M50 - $B50) / $B50, "")</f>
        <v>1.5447991761070912E-2</v>
      </c>
      <c r="O50" s="18">
        <f>IF(ISNUMBER(M50), $B64 * N50, "")</f>
        <v>1544.7991761070912</v>
      </c>
      <c r="Q50" s="216"/>
      <c r="R50" s="216"/>
      <c r="S50" s="216"/>
    </row>
    <row r="51" spans="1:19" ht="17.25" customHeight="1" thickBot="1">
      <c r="A51" s="125" t="s">
        <v>122</v>
      </c>
      <c r="B51" s="126">
        <v>25.3</v>
      </c>
      <c r="C51" s="77">
        <v>5.8577405899999997E-2</v>
      </c>
      <c r="D51" s="15">
        <v>23.9</v>
      </c>
      <c r="E51" s="32">
        <f t="shared" si="18"/>
        <v>-5.5335968379446723E-2</v>
      </c>
      <c r="F51" s="18">
        <f>IF(ISNUMBER(D51), $B64 * E51, "")</f>
        <v>-5533.5968379446722</v>
      </c>
      <c r="G51" s="31">
        <v>24.3</v>
      </c>
      <c r="H51" s="32">
        <f t="shared" si="19"/>
        <v>-3.9525691699604744E-2</v>
      </c>
      <c r="I51" s="101">
        <f>IF(ISNUMBER(G51), $B64 * H51, "")</f>
        <v>-3952.5691699604745</v>
      </c>
      <c r="J51" s="15">
        <v>24.3</v>
      </c>
      <c r="K51" s="32">
        <f t="shared" si="20"/>
        <v>-3.9525691699604744E-2</v>
      </c>
      <c r="L51" s="18">
        <f>IF(ISNUMBER(J51), $B64 * K51, "")</f>
        <v>-3952.5691699604745</v>
      </c>
      <c r="M51" s="31">
        <v>24.5</v>
      </c>
      <c r="N51" s="32">
        <f t="shared" si="21"/>
        <v>-3.162055335968382E-2</v>
      </c>
      <c r="O51" s="18">
        <f>IF(ISNUMBER(M51), $B64 * N51, "")</f>
        <v>-3162.0553359683822</v>
      </c>
      <c r="Q51" s="216"/>
      <c r="R51" s="216"/>
      <c r="S51" s="216"/>
    </row>
    <row r="52" spans="1:19" ht="17.25" customHeight="1" thickBot="1">
      <c r="A52" s="125" t="s">
        <v>150</v>
      </c>
      <c r="B52" s="126">
        <v>8.91</v>
      </c>
      <c r="C52" s="77">
        <v>3.8461538500000003E-2</v>
      </c>
      <c r="D52" s="15">
        <v>8.82</v>
      </c>
      <c r="E52" s="32">
        <f t="shared" si="18"/>
        <v>-1.0101010101010085E-2</v>
      </c>
      <c r="F52" s="18">
        <f>IF(ISNUMBER(D52), $B64 * E52, "")</f>
        <v>-1010.1010101010085</v>
      </c>
      <c r="G52" s="31">
        <v>8.98</v>
      </c>
      <c r="H52" s="32">
        <f t="shared" si="19"/>
        <v>7.8563411896745549E-3</v>
      </c>
      <c r="I52" s="101">
        <f>IF(ISNUMBER(G52), $B64 * H52, "")</f>
        <v>785.63411896745549</v>
      </c>
      <c r="J52" s="15">
        <v>8.9600000000000009</v>
      </c>
      <c r="K52" s="32">
        <f t="shared" si="20"/>
        <v>5.6116722783390244E-3</v>
      </c>
      <c r="L52" s="18">
        <f>IF(ISNUMBER(J52), $B64 * K52, "")</f>
        <v>561.16722783390242</v>
      </c>
      <c r="M52" s="31">
        <v>9.09</v>
      </c>
      <c r="N52" s="32">
        <f t="shared" si="21"/>
        <v>2.0202020202020169E-2</v>
      </c>
      <c r="O52" s="18">
        <f>IF(ISNUMBER(M52), $B64 * N52, "")</f>
        <v>2020.2020202020169</v>
      </c>
      <c r="Q52" s="33"/>
      <c r="R52" s="33"/>
    </row>
    <row r="53" spans="1:19" ht="17.25" customHeight="1" thickBot="1">
      <c r="A53" s="130" t="s">
        <v>190</v>
      </c>
      <c r="B53" s="131">
        <v>14.6</v>
      </c>
      <c r="C53" s="79">
        <v>2.8169014100000001E-2</v>
      </c>
      <c r="D53" s="24">
        <v>14.6</v>
      </c>
      <c r="E53" s="25">
        <f t="shared" si="18"/>
        <v>0</v>
      </c>
      <c r="F53" s="104">
        <f>IF(ISNUMBER(D53), $B64 * E53, "")</f>
        <v>0</v>
      </c>
      <c r="G53" s="102">
        <v>14.8</v>
      </c>
      <c r="H53" s="25">
        <f t="shared" si="19"/>
        <v>1.3698630136986375E-2</v>
      </c>
      <c r="I53" s="103">
        <f>IF(ISNUMBER(G53), $B64 * H53, "")</f>
        <v>1369.8630136986376</v>
      </c>
      <c r="J53" s="24">
        <v>14.6</v>
      </c>
      <c r="K53" s="25">
        <f t="shared" si="20"/>
        <v>0</v>
      </c>
      <c r="L53" s="104">
        <f>IF(ISNUMBER(J53), $B64 * K53, "")</f>
        <v>0</v>
      </c>
      <c r="M53" s="102">
        <v>14.8</v>
      </c>
      <c r="N53" s="25">
        <f t="shared" si="21"/>
        <v>1.3698630136986375E-2</v>
      </c>
      <c r="O53" s="104">
        <f>IF(ISNUMBER(M53), $B64 * N53, "")</f>
        <v>1369.8630136986376</v>
      </c>
      <c r="Q53" s="217"/>
      <c r="R53" s="218"/>
      <c r="S53" s="219"/>
    </row>
    <row r="54" spans="1:19" ht="17.25" customHeight="1">
      <c r="A54" s="123" t="s">
        <v>235</v>
      </c>
      <c r="B54" s="124">
        <v>51.1</v>
      </c>
      <c r="C54" s="76">
        <v>1.38888889E-2</v>
      </c>
      <c r="D54" s="13">
        <v>51.7</v>
      </c>
      <c r="E54" s="14">
        <f>IF(ISNUMBER(D54), (D54 - $B54) / $B54, "")</f>
        <v>1.1741682974559714E-2</v>
      </c>
      <c r="F54" s="16">
        <f>IF(ISNUMBER(D54), $B64 * E54, "")</f>
        <v>1174.1682974559715</v>
      </c>
      <c r="G54" s="29">
        <v>52.7</v>
      </c>
      <c r="H54" s="14">
        <f>IF(ISNUMBER(G54), (G54 - $B54) / $B54, "")</f>
        <v>3.1311154598825858E-2</v>
      </c>
      <c r="I54" s="100">
        <f>IF(ISNUMBER(G54), $B64 * H54, "")</f>
        <v>3131.1154598825856</v>
      </c>
      <c r="J54" s="13">
        <v>52.5</v>
      </c>
      <c r="K54" s="14">
        <f>IF(ISNUMBER(J54), (J54 - $B54) / $B54, "")</f>
        <v>2.7397260273972573E-2</v>
      </c>
      <c r="L54" s="16">
        <f>IF(ISNUMBER(J54), $B64 * K54, "")</f>
        <v>2739.7260273972574</v>
      </c>
      <c r="M54" s="29">
        <v>53.1</v>
      </c>
      <c r="N54" s="14">
        <f>IF(ISNUMBER(M54), (M54 - $B54) / $B54, "")</f>
        <v>3.9138943248532287E-2</v>
      </c>
      <c r="O54" s="16">
        <f>IF(ISNUMBER(M54), $B64 * N54, "")</f>
        <v>3913.8943248532287</v>
      </c>
      <c r="Q54" s="220"/>
      <c r="R54" s="221"/>
      <c r="S54" s="222"/>
    </row>
    <row r="55" spans="1:19" ht="17.25" customHeight="1" thickBot="1">
      <c r="A55" s="125" t="s">
        <v>218</v>
      </c>
      <c r="B55" s="126">
        <v>91.2</v>
      </c>
      <c r="C55" s="77">
        <v>1.10864745E-2</v>
      </c>
      <c r="D55" s="15">
        <v>90.9</v>
      </c>
      <c r="E55" s="32">
        <f t="shared" ref="E55:E58" si="22">IF(ISNUMBER(D55), (D55 - $B55) / $B55, "")</f>
        <v>-3.2894736842104949E-3</v>
      </c>
      <c r="F55" s="18">
        <f>IF(ISNUMBER(D55), $B64 * E55, "")</f>
        <v>-328.94736842104948</v>
      </c>
      <c r="G55" s="31">
        <v>92.1</v>
      </c>
      <c r="H55" s="32">
        <f t="shared" ref="H55:H58" si="23">IF(ISNUMBER(G55), (G55 - $B55) / $B55, "")</f>
        <v>9.8684210526314847E-3</v>
      </c>
      <c r="I55" s="101">
        <f>IF(ISNUMBER(G55), $B64 * H55, "")</f>
        <v>986.84210526314848</v>
      </c>
      <c r="J55" s="15">
        <v>92.5</v>
      </c>
      <c r="K55" s="32">
        <f t="shared" ref="K55:K58" si="24">IF(ISNUMBER(J55), (J55 - $B55) / $B55, "")</f>
        <v>1.4254385964912249E-2</v>
      </c>
      <c r="L55" s="18">
        <f>IF(ISNUMBER(J55), $B64 * K55, "")</f>
        <v>1425.4385964912249</v>
      </c>
      <c r="M55" s="31">
        <v>96.1</v>
      </c>
      <c r="N55" s="32">
        <f t="shared" ref="N55:N58" si="25">IF(ISNUMBER(M55), (M55 - $B55) / $B55, "")</f>
        <v>5.37280701754385E-2</v>
      </c>
      <c r="O55" s="18">
        <f>IF(ISNUMBER(M55), $B64 * N55, "")</f>
        <v>5372.8070175438497</v>
      </c>
      <c r="Q55" s="223"/>
      <c r="R55" s="224"/>
      <c r="S55" s="225"/>
    </row>
    <row r="56" spans="1:19" ht="17.25" customHeight="1" thickBot="1">
      <c r="A56" s="125" t="s">
        <v>210</v>
      </c>
      <c r="B56" s="126">
        <v>8.6300000000000008</v>
      </c>
      <c r="C56" s="77">
        <v>9.3567250999999994E-3</v>
      </c>
      <c r="D56" s="15">
        <v>9.1199999999999992</v>
      </c>
      <c r="E56" s="32">
        <f t="shared" si="22"/>
        <v>5.6778679026651027E-2</v>
      </c>
      <c r="F56" s="18">
        <f>IF(ISNUMBER(D56), $B64 * E56, "")</f>
        <v>5677.8679026651025</v>
      </c>
      <c r="G56" s="31">
        <v>9.58</v>
      </c>
      <c r="H56" s="32">
        <f t="shared" si="23"/>
        <v>0.1100811123986094</v>
      </c>
      <c r="I56" s="101">
        <f>IF(ISNUMBER(G56), $B64 * H56, "")</f>
        <v>11008.11123986094</v>
      </c>
      <c r="J56" s="15">
        <v>9.5</v>
      </c>
      <c r="K56" s="32">
        <f t="shared" si="24"/>
        <v>0.10081112398609492</v>
      </c>
      <c r="L56" s="18">
        <f>IF(ISNUMBER(J56), $B64 * K56, "")</f>
        <v>10081.112398609492</v>
      </c>
      <c r="M56" s="31">
        <v>9.91</v>
      </c>
      <c r="N56" s="32">
        <f t="shared" si="25"/>
        <v>0.14831981460023166</v>
      </c>
      <c r="O56" s="18">
        <f>IF(ISNUMBER(M56), $B64 * N56, "")</f>
        <v>14831.981460023166</v>
      </c>
      <c r="Q56" s="216"/>
      <c r="R56" s="216"/>
      <c r="S56" s="216"/>
    </row>
    <row r="57" spans="1:19" ht="17.25" customHeight="1" thickBot="1">
      <c r="A57" s="125" t="s">
        <v>128</v>
      </c>
      <c r="B57" s="126">
        <v>99.7</v>
      </c>
      <c r="C57" s="77">
        <v>5.0403226000000001E-3</v>
      </c>
      <c r="D57" s="15">
        <v>99.2</v>
      </c>
      <c r="E57" s="32">
        <f t="shared" si="22"/>
        <v>-5.0150451354062184E-3</v>
      </c>
      <c r="F57" s="18">
        <f>IF(ISNUMBER(D57), $B64 * E57, "")</f>
        <v>-501.50451354062187</v>
      </c>
      <c r="G57" s="31">
        <v>103</v>
      </c>
      <c r="H57" s="32">
        <f t="shared" si="23"/>
        <v>3.3099297893681011E-2</v>
      </c>
      <c r="I57" s="101">
        <f>IF(ISNUMBER(G57), $B64 * H57, "")</f>
        <v>3309.929789368101</v>
      </c>
      <c r="J57" s="15">
        <v>104</v>
      </c>
      <c r="K57" s="32">
        <f t="shared" si="24"/>
        <v>4.3129388164493451E-2</v>
      </c>
      <c r="L57" s="18">
        <f>IF(ISNUMBER(J57), $B64 * K57, "")</f>
        <v>4312.9388164493448</v>
      </c>
      <c r="M57" s="31">
        <v>103</v>
      </c>
      <c r="N57" s="32">
        <f t="shared" si="25"/>
        <v>3.3099297893681011E-2</v>
      </c>
      <c r="O57" s="18">
        <f>IF(ISNUMBER(M57), $B64 * N57, "")</f>
        <v>3309.929789368101</v>
      </c>
      <c r="Q57" s="226"/>
      <c r="R57" s="226"/>
      <c r="S57" s="226"/>
    </row>
    <row r="58" spans="1:19" ht="17.25" customHeight="1" thickBot="1">
      <c r="A58" s="127" t="s">
        <v>188</v>
      </c>
      <c r="B58" s="128">
        <v>8.76</v>
      </c>
      <c r="C58" s="78">
        <v>2.2883295000000001E-3</v>
      </c>
      <c r="D58" s="20">
        <v>8.84</v>
      </c>
      <c r="E58" s="21">
        <f t="shared" si="22"/>
        <v>9.1324200913242091E-3</v>
      </c>
      <c r="F58" s="22">
        <f>IF(ISNUMBER(D58), $B64 * E58, "")</f>
        <v>913.24200913242089</v>
      </c>
      <c r="G58" s="30">
        <v>8.9600000000000009</v>
      </c>
      <c r="H58" s="21">
        <f t="shared" si="23"/>
        <v>2.2831050228310626E-2</v>
      </c>
      <c r="I58" s="105">
        <f>IF(ISNUMBER(G58), $B64 * H58, "")</f>
        <v>2283.1050228310628</v>
      </c>
      <c r="J58" s="20">
        <v>8.98</v>
      </c>
      <c r="K58" s="21">
        <f t="shared" si="24"/>
        <v>2.5114155251141627E-2</v>
      </c>
      <c r="L58" s="22">
        <f>IF(ISNUMBER(J58), $B64 * K58, "")</f>
        <v>2511.4155251141628</v>
      </c>
      <c r="M58" s="30">
        <v>9.1</v>
      </c>
      <c r="N58" s="21">
        <f t="shared" si="25"/>
        <v>3.8812785388127838E-2</v>
      </c>
      <c r="O58" s="22">
        <f>IF(ISNUMBER(M58), $B64 * N58, "")</f>
        <v>3881.2785388127836</v>
      </c>
      <c r="Q58" s="226"/>
      <c r="R58" s="226"/>
      <c r="S58" s="226"/>
    </row>
    <row r="59" spans="1:19" ht="17.25" customHeight="1" thickBot="1">
      <c r="A59" s="125" t="s">
        <v>178</v>
      </c>
      <c r="B59" s="129">
        <v>14.8</v>
      </c>
      <c r="C59" s="80">
        <v>0</v>
      </c>
      <c r="D59" s="106">
        <v>15</v>
      </c>
      <c r="E59" s="107">
        <f>IF(ISNUMBER(D59), (D59 - $B59) / $B59, "")</f>
        <v>1.3513513513513466E-2</v>
      </c>
      <c r="F59" s="108">
        <f>IF(ISNUMBER(D59), $B64 * E59, "")</f>
        <v>1351.3513513513465</v>
      </c>
      <c r="G59" s="109">
        <v>15.2</v>
      </c>
      <c r="H59" s="107">
        <f>IF(ISNUMBER(G59), (G59 - $B59) / $B59, "")</f>
        <v>2.7027027027026931E-2</v>
      </c>
      <c r="I59" s="110">
        <f>IF(ISNUMBER(G59), $B64 * H59, "")</f>
        <v>2702.7027027026929</v>
      </c>
      <c r="J59" s="106">
        <v>15.2</v>
      </c>
      <c r="K59" s="107">
        <f>IF(ISNUMBER(J59), (J59 - $B59) / $B59, "")</f>
        <v>2.7027027027026931E-2</v>
      </c>
      <c r="L59" s="108">
        <f>IF(ISNUMBER(J59), $B64 * K59, "")</f>
        <v>2702.7027027026929</v>
      </c>
      <c r="M59" s="109">
        <v>15.3</v>
      </c>
      <c r="N59" s="107">
        <f>IF(ISNUMBER(M59), (M59 - $B59) / $B59, "")</f>
        <v>3.3783783783783779E-2</v>
      </c>
      <c r="O59" s="108">
        <f>IF(ISNUMBER(M59), $B64 * N59, "")</f>
        <v>3378.3783783783779</v>
      </c>
      <c r="Q59" s="216"/>
      <c r="R59" s="216"/>
      <c r="S59" s="216"/>
    </row>
    <row r="60" spans="1:19" ht="17.25" customHeight="1" thickBot="1">
      <c r="A60" s="125" t="s">
        <v>152</v>
      </c>
      <c r="B60" s="126">
        <v>76</v>
      </c>
      <c r="C60" s="77">
        <v>-2.6246719000000002E-3</v>
      </c>
      <c r="D60" s="15">
        <v>76.400000000000006</v>
      </c>
      <c r="E60" s="32">
        <f t="shared" ref="E60:E63" si="26">IF(ISNUMBER(D60), (D60 - $B60) / $B60, "")</f>
        <v>5.2631578947369166E-3</v>
      </c>
      <c r="F60" s="18">
        <f>IF(ISNUMBER(D60), $B64 * E60, "")</f>
        <v>526.31578947369167</v>
      </c>
      <c r="G60" s="31">
        <v>77.7</v>
      </c>
      <c r="H60" s="32">
        <f t="shared" ref="H60:H63" si="27">IF(ISNUMBER(G60), (G60 - $B60) / $B60, "")</f>
        <v>2.2368421052631617E-2</v>
      </c>
      <c r="I60" s="101">
        <f>IF(ISNUMBER(G60), $B64 * H60, "")</f>
        <v>2236.8421052631616</v>
      </c>
      <c r="J60" s="15">
        <v>78</v>
      </c>
      <c r="K60" s="32">
        <f t="shared" ref="K60:K63" si="28">IF(ISNUMBER(J60), (J60 - $B60) / $B60, "")</f>
        <v>2.6315789473684209E-2</v>
      </c>
      <c r="L60" s="18">
        <f>IF(ISNUMBER(J60), $B64 * K60, "")</f>
        <v>2631.5789473684208</v>
      </c>
      <c r="M60" s="31">
        <v>78</v>
      </c>
      <c r="N60" s="32">
        <f t="shared" ref="N60:N63" si="29">IF(ISNUMBER(M60), (M60 - $B60) / $B60, "")</f>
        <v>2.6315789473684209E-2</v>
      </c>
      <c r="O60" s="18">
        <f>IF(ISNUMBER(M60), $B64 * N60, "")</f>
        <v>2631.5789473684208</v>
      </c>
      <c r="Q60" s="216"/>
      <c r="R60" s="216"/>
      <c r="S60" s="216"/>
    </row>
    <row r="61" spans="1:19" ht="17.25" customHeight="1" thickBot="1">
      <c r="A61" s="125" t="s">
        <v>251</v>
      </c>
      <c r="B61" s="126">
        <v>58.4</v>
      </c>
      <c r="C61" s="77">
        <v>-8.4889643000000004E-3</v>
      </c>
      <c r="D61" s="15">
        <v>59.4</v>
      </c>
      <c r="E61" s="32">
        <f t="shared" si="26"/>
        <v>1.7123287671232876E-2</v>
      </c>
      <c r="F61" s="18">
        <f>IF(ISNUMBER(D61), $B64 * E61, "")</f>
        <v>1712.3287671232877</v>
      </c>
      <c r="G61" s="31">
        <v>60.6</v>
      </c>
      <c r="H61" s="32">
        <f t="shared" si="27"/>
        <v>3.7671232876712375E-2</v>
      </c>
      <c r="I61" s="101">
        <f>IF(ISNUMBER(G61), $B64 * H61, "")</f>
        <v>3767.1232876712374</v>
      </c>
      <c r="J61" s="15">
        <v>60.4</v>
      </c>
      <c r="K61" s="32">
        <f t="shared" si="28"/>
        <v>3.4246575342465752E-2</v>
      </c>
      <c r="L61" s="18">
        <f>IF(ISNUMBER(J61), $B64 * K61, "")</f>
        <v>3424.6575342465753</v>
      </c>
      <c r="M61" s="31">
        <v>61.1</v>
      </c>
      <c r="N61" s="32">
        <f t="shared" si="29"/>
        <v>4.623287671232882E-2</v>
      </c>
      <c r="O61" s="18">
        <f>IF(ISNUMBER(M61), $B64 * N61, "")</f>
        <v>4623.2876712328816</v>
      </c>
      <c r="Q61" s="216"/>
      <c r="R61" s="216"/>
      <c r="S61" s="216"/>
    </row>
    <row r="62" spans="1:19" ht="17.25" customHeight="1">
      <c r="A62" s="125" t="s">
        <v>98</v>
      </c>
      <c r="B62" s="126">
        <v>3.06</v>
      </c>
      <c r="C62" s="77">
        <v>-9.7087379000000001E-3</v>
      </c>
      <c r="D62" s="15">
        <v>3.08</v>
      </c>
      <c r="E62" s="32">
        <f t="shared" si="26"/>
        <v>6.5359477124183061E-3</v>
      </c>
      <c r="F62" s="18">
        <f>IF(ISNUMBER(D62), $B64 * E62, "")</f>
        <v>653.59477124183059</v>
      </c>
      <c r="G62" s="31">
        <v>3.12</v>
      </c>
      <c r="H62" s="32">
        <f t="shared" si="27"/>
        <v>1.9607843137254919E-2</v>
      </c>
      <c r="I62" s="101">
        <f>IF(ISNUMBER(G62), $B64 * H62, "")</f>
        <v>1960.784313725492</v>
      </c>
      <c r="J62" s="15">
        <v>3.13</v>
      </c>
      <c r="K62" s="32">
        <f t="shared" si="28"/>
        <v>2.2875816993463999E-2</v>
      </c>
      <c r="L62" s="18">
        <f>IF(ISNUMBER(J62), $B64 * K62, "")</f>
        <v>2287.5816993464</v>
      </c>
      <c r="M62" s="31">
        <v>3.14</v>
      </c>
      <c r="N62" s="32">
        <f t="shared" si="29"/>
        <v>2.6143790849673224E-2</v>
      </c>
      <c r="O62" s="18">
        <f>IF(ISNUMBER(M62), $B64 * N62, "")</f>
        <v>2614.3790849673223</v>
      </c>
      <c r="Q62" s="205"/>
      <c r="R62" s="206"/>
      <c r="S62" s="207"/>
    </row>
    <row r="63" spans="1:19" ht="17.25" customHeight="1" thickBot="1">
      <c r="A63" s="130" t="s">
        <v>216</v>
      </c>
      <c r="B63" s="131">
        <v>7.69</v>
      </c>
      <c r="C63" s="79">
        <v>-1.2836970499999999E-2</v>
      </c>
      <c r="D63" s="24">
        <v>7.78</v>
      </c>
      <c r="E63" s="25">
        <f t="shared" si="26"/>
        <v>1.1703511053315976E-2</v>
      </c>
      <c r="F63" s="104">
        <f>IF(ISNUMBER(D63), $B64 * E63, "")</f>
        <v>1170.3511053315976</v>
      </c>
      <c r="G63" s="102">
        <v>7.99</v>
      </c>
      <c r="H63" s="25">
        <f t="shared" si="27"/>
        <v>3.9011703511053292E-2</v>
      </c>
      <c r="I63" s="103">
        <f>IF(ISNUMBER(G63), $B64 * H63, "")</f>
        <v>3901.1703511053292</v>
      </c>
      <c r="J63" s="24">
        <v>7.95</v>
      </c>
      <c r="K63" s="25">
        <f t="shared" si="28"/>
        <v>3.3810143042912848E-2</v>
      </c>
      <c r="L63" s="104">
        <f>IF(ISNUMBER(J63), $B64 * K63, "")</f>
        <v>3381.0143042912846</v>
      </c>
      <c r="M63" s="102">
        <v>8.1</v>
      </c>
      <c r="N63" s="25">
        <f t="shared" si="29"/>
        <v>5.3315994798439431E-2</v>
      </c>
      <c r="O63" s="104">
        <f>IF(ISNUMBER(M63), $B64 * N63, "")</f>
        <v>5331.5994798439433</v>
      </c>
      <c r="Q63" s="208"/>
      <c r="R63" s="209"/>
      <c r="S63" s="210"/>
    </row>
    <row r="64" spans="1:19" ht="17.25" customHeight="1" thickBot="1">
      <c r="A64" s="132" t="s">
        <v>271</v>
      </c>
      <c r="B64" s="269">
        <f>$B$37</f>
        <v>100000</v>
      </c>
      <c r="C64" s="270"/>
      <c r="D64" s="26" t="s">
        <v>272</v>
      </c>
      <c r="E64" s="27">
        <f>IF(COUNT(E44:E63), SUM(E44:E63) / COUNT(E44:E63), 0)</f>
        <v>-1.5243358521217106E-2</v>
      </c>
      <c r="F64" s="28">
        <f>SUM(F44:F63)</f>
        <v>-30486.717042434211</v>
      </c>
      <c r="G64" s="26" t="s">
        <v>272</v>
      </c>
      <c r="H64" s="27">
        <f>IF(COUNT(H44:H63), SUM(H44:H63) / COUNT(H44:H63), 0)</f>
        <v>6.1612618161950034E-3</v>
      </c>
      <c r="I64" s="28">
        <f>SUM(I44:I63)</f>
        <v>12322.523632390015</v>
      </c>
      <c r="J64" s="26" t="s">
        <v>272</v>
      </c>
      <c r="K64" s="27">
        <f>IF(COUNT(K44:K63), SUM(K44:K63) / COUNT(K44:K63), 0)</f>
        <v>7.2802025344112804E-3</v>
      </c>
      <c r="L64" s="28">
        <f>SUM(L44:L63)</f>
        <v>14560.405068822558</v>
      </c>
      <c r="M64" s="26" t="s">
        <v>272</v>
      </c>
      <c r="N64" s="27">
        <f>IF(COUNT(N44:N63), SUM(N44:N63) / COUNT(N44:N63), 0)</f>
        <v>1.9502959885431943E-2</v>
      </c>
      <c r="O64" s="28">
        <f>SUM(O44:O63)</f>
        <v>39005.919770863889</v>
      </c>
      <c r="Q64" s="211"/>
      <c r="R64" s="212"/>
      <c r="S64" s="213"/>
    </row>
    <row r="65" spans="1:19" ht="17.25" customHeight="1"/>
    <row r="66" spans="1:19" ht="17.25" customHeight="1" thickBot="1"/>
    <row r="67" spans="1:19" ht="17.25" thickBot="1">
      <c r="A67" s="227" t="s">
        <v>45</v>
      </c>
      <c r="B67" s="228"/>
      <c r="C67" s="228"/>
      <c r="D67" s="228"/>
      <c r="E67" s="228"/>
      <c r="F67" s="228"/>
      <c r="G67" s="228"/>
      <c r="H67" s="228"/>
      <c r="I67" s="228"/>
      <c r="J67" s="228"/>
      <c r="K67" s="228"/>
      <c r="L67" s="228"/>
      <c r="M67" s="228"/>
      <c r="N67" s="228"/>
      <c r="O67" s="229"/>
      <c r="Q67" s="226"/>
      <c r="R67" s="226"/>
      <c r="S67" s="226"/>
    </row>
    <row r="68" spans="1:19" ht="17.25" thickBot="1">
      <c r="A68" s="165" t="s">
        <v>268</v>
      </c>
      <c r="B68" s="227" t="s">
        <v>49</v>
      </c>
      <c r="C68" s="229"/>
      <c r="D68" s="227" t="s">
        <v>58</v>
      </c>
      <c r="E68" s="228"/>
      <c r="F68" s="229"/>
      <c r="G68" s="230">
        <f>_xlfn.IFNA(VLOOKUP(B68, 현재가테이블!$B$2:$D$200, 2, FALSE), "-")</f>
        <v>39916000</v>
      </c>
      <c r="H68" s="231"/>
      <c r="I68" s="232"/>
      <c r="J68" s="227" t="s">
        <v>59</v>
      </c>
      <c r="K68" s="228"/>
      <c r="L68" s="229"/>
      <c r="M68" s="233">
        <f>_xlfn.IFNA(VLOOKUP(B68, 현재가테이블!$B$2:$D$200, 3, FALSE), "-")</f>
        <v>7.3184273000000003E-3</v>
      </c>
      <c r="N68" s="234"/>
      <c r="O68" s="235"/>
      <c r="Q68" s="226"/>
      <c r="R68" s="226"/>
      <c r="S68" s="226"/>
    </row>
    <row r="69" spans="1:19" ht="17.25" thickBot="1">
      <c r="A69" s="271" t="s">
        <v>55</v>
      </c>
      <c r="B69" s="267" t="str">
        <f>TEXT($G$1, "[$-ko-KR]yyyy-mm-dd(ddd) ") &amp; "오전 00:00"</f>
        <v>2021-07-03(토) 오전 00:00</v>
      </c>
      <c r="C69" s="268"/>
      <c r="D69" s="240" t="str">
        <f>TEXT($G$1, "[$-ko-KR]yyyy-mm-dd(ddd) ") &amp; "오후 14:00"</f>
        <v>2021-07-03(토) 오후 14:00</v>
      </c>
      <c r="E69" s="241"/>
      <c r="F69" s="242"/>
      <c r="G69" s="240" t="str">
        <f>TEXT($G$1, "[$-ko-KR]yyyy-mm-dd(ddd) ") &amp; "오후 19:00"</f>
        <v>2021-07-03(토) 오후 19:00</v>
      </c>
      <c r="H69" s="241"/>
      <c r="I69" s="242"/>
      <c r="J69" s="240" t="str">
        <f>TEXT($G$1, "[$-ko-KR]yyyy-mm-dd(ddd) ") &amp; "오후 21:00"</f>
        <v>2021-07-03(토) 오후 21:00</v>
      </c>
      <c r="K69" s="241"/>
      <c r="L69" s="242"/>
      <c r="M69" s="240" t="str">
        <f>TEXT($G$1+1, "[$-ko-KR]yyyy-mm-dd(ddd) ") &amp; "오전 00:00"</f>
        <v>2021-07-04(일) 오전 00:00</v>
      </c>
      <c r="N69" s="241"/>
      <c r="O69" s="242"/>
      <c r="Q69" s="226"/>
      <c r="R69" s="226"/>
      <c r="S69" s="226"/>
    </row>
    <row r="70" spans="1:19" ht="17.25" thickBot="1">
      <c r="A70" s="27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6" t="s">
        <v>58</v>
      </c>
      <c r="H70" s="167" t="s">
        <v>269</v>
      </c>
      <c r="I70" s="16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6"/>
      <c r="R70" s="216"/>
      <c r="S70" s="216"/>
    </row>
    <row r="71" spans="1:19" ht="17.25" thickBot="1">
      <c r="A71" s="123" t="s">
        <v>168</v>
      </c>
      <c r="B71" s="124">
        <v>936</v>
      </c>
      <c r="C71" s="76">
        <v>2.4070021899999999E-2</v>
      </c>
      <c r="D71" s="13">
        <v>917</v>
      </c>
      <c r="E71" s="14">
        <f>IF(ISNUMBER(D71), (D71 - $B71) / $B71, "")</f>
        <v>-2.02991452991453E-2</v>
      </c>
      <c r="F71" s="16">
        <f>IF(ISNUMBER(D71), $B91 * E71, "")</f>
        <v>-2029.91452991453</v>
      </c>
      <c r="G71" s="29">
        <v>938</v>
      </c>
      <c r="H71" s="14">
        <f>IF(ISNUMBER(G71), (G71 - $B71) / $B71, "")</f>
        <v>2.136752136752137E-3</v>
      </c>
      <c r="I71" s="100">
        <f>IF(ISNUMBER(G71), $B91 * H71, "")</f>
        <v>213.67521367521368</v>
      </c>
      <c r="J71" s="13">
        <v>942</v>
      </c>
      <c r="K71" s="14">
        <f>IF(ISNUMBER(J71), (J71 - $B71) / $B71, "")</f>
        <v>6.41025641025641E-3</v>
      </c>
      <c r="L71" s="16">
        <f>IF(ISNUMBER(J71), $B91 * K71, "")</f>
        <v>641.02564102564099</v>
      </c>
      <c r="M71" s="29">
        <v>959</v>
      </c>
      <c r="N71" s="14">
        <f>IF(ISNUMBER(M71), (M71 - $B71) / $B71, "")</f>
        <v>2.4572649572649572E-2</v>
      </c>
      <c r="O71" s="16">
        <f>IF(ISNUMBER(M71), $B91 * N71, "")</f>
        <v>2457.264957264957</v>
      </c>
      <c r="Q71" s="226"/>
      <c r="R71" s="226"/>
      <c r="S71" s="226"/>
    </row>
    <row r="72" spans="1:19" ht="17.25" thickBot="1">
      <c r="A72" s="125" t="s">
        <v>220</v>
      </c>
      <c r="B72" s="126">
        <v>118</v>
      </c>
      <c r="C72" s="77">
        <v>0</v>
      </c>
      <c r="D72" s="15">
        <v>116</v>
      </c>
      <c r="E72" s="32">
        <f t="shared" ref="E72:E75" si="30">IF(ISNUMBER(D72), (D72 - $B72) / $B72, "")</f>
        <v>-1.6949152542372881E-2</v>
      </c>
      <c r="F72" s="18">
        <f>IF(ISNUMBER(D72), $B91 * E72, "")</f>
        <v>-1694.9152542372881</v>
      </c>
      <c r="G72" s="31">
        <v>118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119</v>
      </c>
      <c r="K72" s="32">
        <f t="shared" ref="K72:K75" si="32">IF(ISNUMBER(J72), (J72 - $B72) / $B72, "")</f>
        <v>8.4745762711864406E-3</v>
      </c>
      <c r="L72" s="18">
        <f>IF(ISNUMBER(J72), $B91 * K72, "")</f>
        <v>847.45762711864404</v>
      </c>
      <c r="M72" s="31">
        <v>125</v>
      </c>
      <c r="N72" s="32">
        <f t="shared" ref="N72:N75" si="33">IF(ISNUMBER(M72), (M72 - $B72) / $B72, "")</f>
        <v>5.9322033898305086E-2</v>
      </c>
      <c r="O72" s="18">
        <f>IF(ISNUMBER(M72), $B91 * N72, "")</f>
        <v>5932.203389830509</v>
      </c>
      <c r="Q72" s="226"/>
      <c r="R72" s="226"/>
      <c r="S72" s="226"/>
    </row>
    <row r="73" spans="1:19" ht="17.25" thickBot="1">
      <c r="A73" s="125" t="s">
        <v>267</v>
      </c>
      <c r="B73" s="126">
        <v>286</v>
      </c>
      <c r="C73" s="77">
        <v>0</v>
      </c>
      <c r="D73" s="15">
        <v>283</v>
      </c>
      <c r="E73" s="32">
        <f t="shared" si="30"/>
        <v>-1.048951048951049E-2</v>
      </c>
      <c r="F73" s="18">
        <f>IF(ISNUMBER(D73), $B91 * E73, "")</f>
        <v>-1048.951048951049</v>
      </c>
      <c r="G73" s="31">
        <v>288</v>
      </c>
      <c r="H73" s="32">
        <f t="shared" si="31"/>
        <v>6.993006993006993E-3</v>
      </c>
      <c r="I73" s="101">
        <f>IF(ISNUMBER(G73), $B91 * H73, "")</f>
        <v>699.30069930069931</v>
      </c>
      <c r="J73" s="15">
        <v>289</v>
      </c>
      <c r="K73" s="32">
        <f t="shared" si="32"/>
        <v>1.048951048951049E-2</v>
      </c>
      <c r="L73" s="18">
        <f>IF(ISNUMBER(J73), $B91 * K73, "")</f>
        <v>1048.951048951049</v>
      </c>
      <c r="M73" s="31">
        <v>289</v>
      </c>
      <c r="N73" s="32">
        <f t="shared" si="33"/>
        <v>1.048951048951049E-2</v>
      </c>
      <c r="O73" s="18">
        <f>IF(ISNUMBER(M73), $B91 * N73, "")</f>
        <v>1048.951048951049</v>
      </c>
      <c r="Q73" s="216"/>
      <c r="R73" s="216"/>
      <c r="S73" s="216"/>
    </row>
    <row r="74" spans="1:19" ht="17.25" thickBot="1">
      <c r="A74" s="125" t="s">
        <v>237</v>
      </c>
      <c r="B74" s="126">
        <v>415</v>
      </c>
      <c r="C74" s="77">
        <v>-2.4038461999999999E-3</v>
      </c>
      <c r="D74" s="15">
        <v>443</v>
      </c>
      <c r="E74" s="32">
        <f t="shared" si="30"/>
        <v>6.746987951807229E-2</v>
      </c>
      <c r="F74" s="18">
        <f>IF(ISNUMBER(D74), $B91 * E74, "")</f>
        <v>6746.9879518072294</v>
      </c>
      <c r="G74" s="31">
        <v>436</v>
      </c>
      <c r="H74" s="32">
        <f t="shared" si="31"/>
        <v>5.0602409638554217E-2</v>
      </c>
      <c r="I74" s="101">
        <f>IF(ISNUMBER(G74), $B91 * H74, "")</f>
        <v>5060.2409638554218</v>
      </c>
      <c r="J74" s="15">
        <v>437</v>
      </c>
      <c r="K74" s="32">
        <f t="shared" si="32"/>
        <v>5.3012048192771083E-2</v>
      </c>
      <c r="L74" s="18">
        <f>IF(ISNUMBER(J74), $B91 * K74, "")</f>
        <v>5301.2048192771081</v>
      </c>
      <c r="M74" s="31">
        <v>436</v>
      </c>
      <c r="N74" s="32">
        <f t="shared" si="33"/>
        <v>5.0602409638554217E-2</v>
      </c>
      <c r="O74" s="18">
        <f>IF(ISNUMBER(M74), $B91 * N74, "")</f>
        <v>5060.2409638554218</v>
      </c>
      <c r="Q74" s="216"/>
      <c r="R74" s="216"/>
      <c r="S74" s="216"/>
    </row>
    <row r="75" spans="1:19" ht="17.25" thickBot="1">
      <c r="A75" s="127" t="s">
        <v>118</v>
      </c>
      <c r="B75" s="128">
        <v>131</v>
      </c>
      <c r="C75" s="78">
        <v>-7.5757576E-3</v>
      </c>
      <c r="D75" s="20">
        <v>134</v>
      </c>
      <c r="E75" s="21">
        <f t="shared" si="30"/>
        <v>2.2900763358778626E-2</v>
      </c>
      <c r="F75" s="22">
        <f>IF(ISNUMBER(D75), $B91 * E75, "")</f>
        <v>2290.0763358778627</v>
      </c>
      <c r="G75" s="30">
        <v>138</v>
      </c>
      <c r="H75" s="21">
        <f t="shared" si="31"/>
        <v>5.3435114503816793E-2</v>
      </c>
      <c r="I75" s="105">
        <f>IF(ISNUMBER(G75), $B91 * H75, "")</f>
        <v>5343.5114503816794</v>
      </c>
      <c r="J75" s="20">
        <v>138</v>
      </c>
      <c r="K75" s="21">
        <f t="shared" si="32"/>
        <v>5.3435114503816793E-2</v>
      </c>
      <c r="L75" s="22">
        <f>IF(ISNUMBER(J75), $B91 * K75, "")</f>
        <v>5343.5114503816794</v>
      </c>
      <c r="M75" s="30">
        <v>137</v>
      </c>
      <c r="N75" s="21">
        <f t="shared" si="33"/>
        <v>4.5801526717557252E-2</v>
      </c>
      <c r="O75" s="22">
        <f>IF(ISNUMBER(M75), $B91 * N75, "")</f>
        <v>4580.1526717557254</v>
      </c>
      <c r="Q75" s="216"/>
      <c r="R75" s="216"/>
      <c r="S75" s="216"/>
    </row>
    <row r="76" spans="1:19" ht="17.25" thickBot="1">
      <c r="A76" s="125" t="s">
        <v>57</v>
      </c>
      <c r="B76" s="129">
        <v>149</v>
      </c>
      <c r="C76" s="80">
        <v>-1.3245033099999999E-2</v>
      </c>
      <c r="D76" s="106">
        <v>150</v>
      </c>
      <c r="E76" s="107">
        <f>IF(ISNUMBER(D76), (D76 - $B76) / $B76, "")</f>
        <v>6.7114093959731542E-3</v>
      </c>
      <c r="F76" s="108">
        <f>IF(ISNUMBER(D76), $B91 * E76, "")</f>
        <v>671.14093959731542</v>
      </c>
      <c r="G76" s="109">
        <v>155</v>
      </c>
      <c r="H76" s="107">
        <f>IF(ISNUMBER(G76), (G76 - $B76) / $B76, "")</f>
        <v>4.0268456375838924E-2</v>
      </c>
      <c r="I76" s="110">
        <f>IF(ISNUMBER(G76), $B91 * H76, "")</f>
        <v>4026.8456375838923</v>
      </c>
      <c r="J76" s="106">
        <v>155</v>
      </c>
      <c r="K76" s="107">
        <f>IF(ISNUMBER(J76), (J76 - $B76) / $B76, "")</f>
        <v>4.0268456375838924E-2</v>
      </c>
      <c r="L76" s="108">
        <f>IF(ISNUMBER(J76), $B91 * K76, "")</f>
        <v>4026.8456375838923</v>
      </c>
      <c r="M76" s="109">
        <v>157</v>
      </c>
      <c r="N76" s="107">
        <f>IF(ISNUMBER(M76), (M76 - $B76) / $B76, "")</f>
        <v>5.3691275167785234E-2</v>
      </c>
      <c r="O76" s="108">
        <f>IF(ISNUMBER(M76), $B91 * N76, "")</f>
        <v>5369.1275167785234</v>
      </c>
      <c r="Q76" s="216"/>
      <c r="R76" s="216"/>
      <c r="S76" s="216"/>
    </row>
    <row r="77" spans="1:19" ht="17.25" thickBot="1">
      <c r="A77" s="125" t="s">
        <v>104</v>
      </c>
      <c r="B77" s="126">
        <v>798</v>
      </c>
      <c r="C77" s="77">
        <v>-1.7241379300000002E-2</v>
      </c>
      <c r="D77" s="15">
        <v>793</v>
      </c>
      <c r="E77" s="32">
        <f t="shared" ref="E77:E80" si="34">IF(ISNUMBER(D77), (D77 - $B77) / $B77, "")</f>
        <v>-6.2656641604010022E-3</v>
      </c>
      <c r="F77" s="18">
        <f>IF(ISNUMBER(D77), $B91 * E77, "")</f>
        <v>-626.56641604010019</v>
      </c>
      <c r="G77" s="31">
        <v>817</v>
      </c>
      <c r="H77" s="32">
        <f t="shared" ref="H77:H80" si="35">IF(ISNUMBER(G77), (G77 - $B77) / $B77, "")</f>
        <v>2.3809523809523808E-2</v>
      </c>
      <c r="I77" s="101">
        <f>IF(ISNUMBER(G77), $B91 * H77, "")</f>
        <v>2380.9523809523807</v>
      </c>
      <c r="J77" s="15">
        <v>811</v>
      </c>
      <c r="K77" s="32">
        <f t="shared" ref="K77:K80" si="36">IF(ISNUMBER(J77), (J77 - $B77) / $B77, "")</f>
        <v>1.6290726817042606E-2</v>
      </c>
      <c r="L77" s="18">
        <f>IF(ISNUMBER(J77), $B91 * K77, "")</f>
        <v>1629.0726817042605</v>
      </c>
      <c r="M77" s="31">
        <v>817</v>
      </c>
      <c r="N77" s="32">
        <f t="shared" ref="N77:N80" si="37">IF(ISNUMBER(M77), (M77 - $B77) / $B77, "")</f>
        <v>2.3809523809523808E-2</v>
      </c>
      <c r="O77" s="18">
        <f>IF(ISNUMBER(M77), $B91 * N77, "")</f>
        <v>2380.9523809523807</v>
      </c>
      <c r="Q77" s="216"/>
      <c r="R77" s="216"/>
      <c r="S77" s="216"/>
    </row>
    <row r="78" spans="1:19" ht="17.25" thickBot="1">
      <c r="A78" s="125" t="s">
        <v>90</v>
      </c>
      <c r="B78" s="126">
        <v>757</v>
      </c>
      <c r="C78" s="77">
        <v>-2.3225806500000001E-2</v>
      </c>
      <c r="D78" s="15">
        <v>759</v>
      </c>
      <c r="E78" s="32">
        <f t="shared" si="34"/>
        <v>2.6420079260237781E-3</v>
      </c>
      <c r="F78" s="18">
        <f>IF(ISNUMBER(D78), $B91 * E78, "")</f>
        <v>264.20079260237782</v>
      </c>
      <c r="G78" s="31">
        <v>784</v>
      </c>
      <c r="H78" s="32">
        <f t="shared" si="35"/>
        <v>3.5667107001321002E-2</v>
      </c>
      <c r="I78" s="101">
        <f>IF(ISNUMBER(G78), $B91 * H78, "")</f>
        <v>3566.7107001321001</v>
      </c>
      <c r="J78" s="15">
        <v>780</v>
      </c>
      <c r="K78" s="32">
        <f t="shared" si="36"/>
        <v>3.0383091149273449E-2</v>
      </c>
      <c r="L78" s="18">
        <f>IF(ISNUMBER(J78), $B91 * K78, "")</f>
        <v>3038.309114927345</v>
      </c>
      <c r="M78" s="31">
        <v>782</v>
      </c>
      <c r="N78" s="32">
        <f t="shared" si="37"/>
        <v>3.3025099075297229E-2</v>
      </c>
      <c r="O78" s="18">
        <f>IF(ISNUMBER(M78), $B91 * N78, "")</f>
        <v>3302.509907529723</v>
      </c>
      <c r="Q78" s="216"/>
      <c r="R78" s="216"/>
      <c r="S78" s="216"/>
    </row>
    <row r="79" spans="1:19" ht="17.25" thickBot="1">
      <c r="A79" s="125" t="s">
        <v>86</v>
      </c>
      <c r="B79" s="126">
        <v>276</v>
      </c>
      <c r="C79" s="77">
        <v>-2.47349823E-2</v>
      </c>
      <c r="D79" s="15">
        <v>277</v>
      </c>
      <c r="E79" s="32">
        <f t="shared" si="34"/>
        <v>3.6231884057971015E-3</v>
      </c>
      <c r="F79" s="18">
        <f>IF(ISNUMBER(D79), $B91 * E79, "")</f>
        <v>362.31884057971013</v>
      </c>
      <c r="G79" s="31">
        <v>280</v>
      </c>
      <c r="H79" s="32">
        <f t="shared" si="35"/>
        <v>1.4492753623188406E-2</v>
      </c>
      <c r="I79" s="101">
        <f>IF(ISNUMBER(G79), $B91 * H79, "")</f>
        <v>1449.2753623188405</v>
      </c>
      <c r="J79" s="15">
        <v>280</v>
      </c>
      <c r="K79" s="32">
        <f t="shared" si="36"/>
        <v>1.4492753623188406E-2</v>
      </c>
      <c r="L79" s="18">
        <f>IF(ISNUMBER(J79), $B91 * K79, "")</f>
        <v>1449.2753623188405</v>
      </c>
      <c r="M79" s="31">
        <v>281</v>
      </c>
      <c r="N79" s="32">
        <f t="shared" si="37"/>
        <v>1.8115942028985508E-2</v>
      </c>
      <c r="O79" s="18">
        <f>IF(ISNUMBER(M79), $B91 * N79, "")</f>
        <v>1811.5942028985507</v>
      </c>
      <c r="Q79" s="33"/>
      <c r="R79" s="33"/>
    </row>
    <row r="80" spans="1:19" ht="17.25" thickBot="1">
      <c r="A80" s="130" t="s">
        <v>102</v>
      </c>
      <c r="B80" s="131">
        <v>804</v>
      </c>
      <c r="C80" s="79">
        <v>-2.6634382599999999E-2</v>
      </c>
      <c r="D80" s="24">
        <v>811</v>
      </c>
      <c r="E80" s="25">
        <f t="shared" si="34"/>
        <v>8.7064676616915426E-3</v>
      </c>
      <c r="F80" s="104">
        <f>IF(ISNUMBER(D80), $B91 * E80, "")</f>
        <v>870.64676616915426</v>
      </c>
      <c r="G80" s="102">
        <v>835</v>
      </c>
      <c r="H80" s="25">
        <f t="shared" si="35"/>
        <v>3.8557213930348257E-2</v>
      </c>
      <c r="I80" s="103">
        <f>IF(ISNUMBER(G80), $B91 * H80, "")</f>
        <v>3855.7213930348257</v>
      </c>
      <c r="J80" s="24">
        <v>831</v>
      </c>
      <c r="K80" s="25">
        <f t="shared" si="36"/>
        <v>3.3582089552238806E-2</v>
      </c>
      <c r="L80" s="104">
        <f>IF(ISNUMBER(J80), $B91 * K80, "")</f>
        <v>3358.2089552238804</v>
      </c>
      <c r="M80" s="102">
        <v>836</v>
      </c>
      <c r="N80" s="25">
        <f t="shared" si="37"/>
        <v>3.9800995024875621E-2</v>
      </c>
      <c r="O80" s="104">
        <f>IF(ISNUMBER(M80), $B91 * N80, "")</f>
        <v>3980.0995024875619</v>
      </c>
      <c r="Q80" s="217"/>
      <c r="R80" s="218"/>
      <c r="S80" s="219"/>
    </row>
    <row r="81" spans="1:19">
      <c r="A81" s="123" t="s">
        <v>108</v>
      </c>
      <c r="B81" s="124">
        <v>918</v>
      </c>
      <c r="C81" s="76">
        <v>-3.1645569599999999E-2</v>
      </c>
      <c r="D81" s="13">
        <v>927</v>
      </c>
      <c r="E81" s="14">
        <f>IF(ISNUMBER(D81), (D81 - $B81) / $B81, "")</f>
        <v>9.8039215686274508E-3</v>
      </c>
      <c r="F81" s="16">
        <f>IF(ISNUMBER(D81), $B91 * E81, "")</f>
        <v>980.39215686274508</v>
      </c>
      <c r="G81" s="29">
        <v>949</v>
      </c>
      <c r="H81" s="14">
        <f>IF(ISNUMBER(G81), (G81 - $B81) / $B81, "")</f>
        <v>3.3769063180827889E-2</v>
      </c>
      <c r="I81" s="100">
        <f>IF(ISNUMBER(G81), $B91 * H81, "")</f>
        <v>3376.9063180827889</v>
      </c>
      <c r="J81" s="13">
        <v>949</v>
      </c>
      <c r="K81" s="14">
        <f>IF(ISNUMBER(J81), (J81 - $B81) / $B81, "")</f>
        <v>3.3769063180827889E-2</v>
      </c>
      <c r="L81" s="16">
        <f>IF(ISNUMBER(J81), $B91 * K81, "")</f>
        <v>3376.9063180827889</v>
      </c>
      <c r="M81" s="29">
        <v>952</v>
      </c>
      <c r="N81" s="14">
        <f>IF(ISNUMBER(M81), (M81 - $B81) / $B81, "")</f>
        <v>3.7037037037037035E-2</v>
      </c>
      <c r="O81" s="16">
        <f>IF(ISNUMBER(M81), $B91 * N81, "")</f>
        <v>3703.7037037037035</v>
      </c>
      <c r="Q81" s="220"/>
      <c r="R81" s="221"/>
      <c r="S81" s="222"/>
    </row>
    <row r="82" spans="1:19" ht="17.25" thickBot="1">
      <c r="A82" s="125" t="s">
        <v>80</v>
      </c>
      <c r="B82" s="126">
        <v>660</v>
      </c>
      <c r="C82" s="77">
        <v>-3.50877193E-2</v>
      </c>
      <c r="D82" s="15">
        <v>667</v>
      </c>
      <c r="E82" s="32">
        <f t="shared" ref="E82:E85" si="38">IF(ISNUMBER(D82), (D82 - $B82) / $B82, "")</f>
        <v>1.0606060606060607E-2</v>
      </c>
      <c r="F82" s="18">
        <f>IF(ISNUMBER(D82), $B91 * E82, "")</f>
        <v>1060.6060606060607</v>
      </c>
      <c r="G82" s="31">
        <v>681</v>
      </c>
      <c r="H82" s="32">
        <f t="shared" ref="H82:H85" si="39">IF(ISNUMBER(G82), (G82 - $B82) / $B82, "")</f>
        <v>3.1818181818181815E-2</v>
      </c>
      <c r="I82" s="101">
        <f>IF(ISNUMBER(G82), $B91 * H82, "")</f>
        <v>3181.8181818181815</v>
      </c>
      <c r="J82" s="15">
        <v>690</v>
      </c>
      <c r="K82" s="32">
        <f t="shared" ref="K82:K85" si="40">IF(ISNUMBER(J82), (J82 - $B82) / $B82, "")</f>
        <v>4.5454545454545456E-2</v>
      </c>
      <c r="L82" s="18">
        <f>IF(ISNUMBER(J82), $B91 * K82, "")</f>
        <v>4545.454545454546</v>
      </c>
      <c r="M82" s="31">
        <v>693</v>
      </c>
      <c r="N82" s="32">
        <f t="shared" ref="N82:N85" si="41">IF(ISNUMBER(M82), (M82 - $B82) / $B82, "")</f>
        <v>0.05</v>
      </c>
      <c r="O82" s="18">
        <f>IF(ISNUMBER(M82), $B91 * N82, "")</f>
        <v>5000</v>
      </c>
      <c r="Q82" s="223"/>
      <c r="R82" s="224"/>
      <c r="S82" s="225"/>
    </row>
    <row r="83" spans="1:19" ht="17.25" thickBot="1">
      <c r="A83" s="125" t="s">
        <v>51</v>
      </c>
      <c r="B83" s="126">
        <v>303</v>
      </c>
      <c r="C83" s="77">
        <v>-3.8095238099999998E-2</v>
      </c>
      <c r="D83" s="15">
        <v>305</v>
      </c>
      <c r="E83" s="32">
        <f t="shared" si="38"/>
        <v>6.6006600660066007E-3</v>
      </c>
      <c r="F83" s="18">
        <f>IF(ISNUMBER(D83), $B91 * E83, "")</f>
        <v>660.0660066006601</v>
      </c>
      <c r="G83" s="31">
        <v>311</v>
      </c>
      <c r="H83" s="32">
        <f t="shared" si="39"/>
        <v>2.6402640264026403E-2</v>
      </c>
      <c r="I83" s="101">
        <f>IF(ISNUMBER(G83), $B91 * H83, "")</f>
        <v>2640.2640264026404</v>
      </c>
      <c r="J83" s="15">
        <v>309</v>
      </c>
      <c r="K83" s="32">
        <f t="shared" si="40"/>
        <v>1.9801980198019802E-2</v>
      </c>
      <c r="L83" s="18">
        <f>IF(ISNUMBER(J83), $B91 * K83, "")</f>
        <v>1980.1980198019803</v>
      </c>
      <c r="M83" s="31">
        <v>308</v>
      </c>
      <c r="N83" s="32">
        <f t="shared" si="41"/>
        <v>1.65016501650165E-2</v>
      </c>
      <c r="O83" s="18">
        <f>IF(ISNUMBER(M83), $B91 * N83, "")</f>
        <v>1650.1650165016499</v>
      </c>
      <c r="Q83" s="216"/>
      <c r="R83" s="216"/>
      <c r="S83" s="216"/>
    </row>
    <row r="84" spans="1:19" ht="17.25" thickBot="1">
      <c r="A84" s="125" t="s">
        <v>61</v>
      </c>
      <c r="B84" s="126">
        <v>620</v>
      </c>
      <c r="C84" s="77">
        <v>-4.1731066499999997E-2</v>
      </c>
      <c r="D84" s="15">
        <v>621</v>
      </c>
      <c r="E84" s="32">
        <f t="shared" si="38"/>
        <v>1.6129032258064516E-3</v>
      </c>
      <c r="F84" s="18">
        <f>IF(ISNUMBER(D84), $B91 * E84, "")</f>
        <v>161.29032258064515</v>
      </c>
      <c r="G84" s="31">
        <v>638</v>
      </c>
      <c r="H84" s="32">
        <f t="shared" si="39"/>
        <v>2.903225806451613E-2</v>
      </c>
      <c r="I84" s="101">
        <f>IF(ISNUMBER(G84), $B91 * H84, "")</f>
        <v>2903.2258064516132</v>
      </c>
      <c r="J84" s="15">
        <v>639</v>
      </c>
      <c r="K84" s="32">
        <f t="shared" si="40"/>
        <v>3.0645161290322579E-2</v>
      </c>
      <c r="L84" s="18">
        <f>IF(ISNUMBER(J84), $B91 * K84, "")</f>
        <v>3064.516129032258</v>
      </c>
      <c r="M84" s="31">
        <v>642</v>
      </c>
      <c r="N84" s="32">
        <f t="shared" si="41"/>
        <v>3.5483870967741936E-2</v>
      </c>
      <c r="O84" s="18">
        <f>IF(ISNUMBER(M84), $B91 * N84, "")</f>
        <v>3548.3870967741937</v>
      </c>
      <c r="Q84" s="226"/>
      <c r="R84" s="226"/>
      <c r="S84" s="226"/>
    </row>
    <row r="85" spans="1:19" ht="17.25" thickBot="1">
      <c r="A85" s="127" t="s">
        <v>166</v>
      </c>
      <c r="B85" s="128">
        <v>109</v>
      </c>
      <c r="C85" s="78">
        <v>-4.3859649100000002E-2</v>
      </c>
      <c r="D85" s="20">
        <v>118</v>
      </c>
      <c r="E85" s="21">
        <f t="shared" si="38"/>
        <v>8.2568807339449546E-2</v>
      </c>
      <c r="F85" s="22">
        <f>IF(ISNUMBER(D85), $B91 * E85, "")</f>
        <v>8256.880733944954</v>
      </c>
      <c r="G85" s="30">
        <v>120</v>
      </c>
      <c r="H85" s="21">
        <f t="shared" si="39"/>
        <v>0.10091743119266056</v>
      </c>
      <c r="I85" s="105">
        <f>IF(ISNUMBER(G85), $B91 * H85, "")</f>
        <v>10091.743119266055</v>
      </c>
      <c r="J85" s="20">
        <v>126</v>
      </c>
      <c r="K85" s="21">
        <f t="shared" si="40"/>
        <v>0.15596330275229359</v>
      </c>
      <c r="L85" s="22">
        <f>IF(ISNUMBER(J85), $B91 * K85, "")</f>
        <v>15596.330275229358</v>
      </c>
      <c r="M85" s="30">
        <v>132</v>
      </c>
      <c r="N85" s="21">
        <f t="shared" si="41"/>
        <v>0.21100917431192662</v>
      </c>
      <c r="O85" s="22">
        <f>IF(ISNUMBER(M85), $B91 * N85, "")</f>
        <v>21100.917431192662</v>
      </c>
      <c r="Q85" s="226"/>
      <c r="R85" s="226"/>
      <c r="S85" s="226"/>
    </row>
    <row r="86" spans="1:19" ht="17.25" thickBot="1">
      <c r="A86" s="125" t="s">
        <v>124</v>
      </c>
      <c r="B86" s="129">
        <v>268</v>
      </c>
      <c r="C86" s="80">
        <v>-4.9645390099999999E-2</v>
      </c>
      <c r="D86" s="106">
        <v>267</v>
      </c>
      <c r="E86" s="107">
        <f>IF(ISNUMBER(D86), (D86 - $B86) / $B86, "")</f>
        <v>-3.7313432835820895E-3</v>
      </c>
      <c r="F86" s="108">
        <f>IF(ISNUMBER(D86), $B91 * E86, "")</f>
        <v>-373.13432835820896</v>
      </c>
      <c r="G86" s="109">
        <v>273</v>
      </c>
      <c r="H86" s="107">
        <f>IF(ISNUMBER(G86), (G86 - $B86) / $B86, "")</f>
        <v>1.8656716417910446E-2</v>
      </c>
      <c r="I86" s="110">
        <f>IF(ISNUMBER(G86), $B91 * H86, "")</f>
        <v>1865.6716417910445</v>
      </c>
      <c r="J86" s="106">
        <v>272</v>
      </c>
      <c r="K86" s="107">
        <f>IF(ISNUMBER(J86), (J86 - $B86) / $B86, "")</f>
        <v>1.4925373134328358E-2</v>
      </c>
      <c r="L86" s="108">
        <f>IF(ISNUMBER(J86), $B91 * K86, "")</f>
        <v>1492.5373134328358</v>
      </c>
      <c r="M86" s="109">
        <v>276</v>
      </c>
      <c r="N86" s="107">
        <f>IF(ISNUMBER(M86), (M86 - $B86) / $B86, "")</f>
        <v>2.9850746268656716E-2</v>
      </c>
      <c r="O86" s="108">
        <f>IF(ISNUMBER(M86), $B91 * N86, "")</f>
        <v>2985.0746268656717</v>
      </c>
      <c r="Q86" s="216"/>
      <c r="R86" s="216"/>
      <c r="S86" s="216"/>
    </row>
    <row r="87" spans="1:19" ht="17.25" thickBot="1">
      <c r="A87" s="125" t="s">
        <v>253</v>
      </c>
      <c r="B87" s="126">
        <v>678</v>
      </c>
      <c r="C87" s="77">
        <v>-5.57103064E-2</v>
      </c>
      <c r="D87" s="15">
        <v>695</v>
      </c>
      <c r="E87" s="32">
        <f t="shared" ref="E87:E90" si="42">IF(ISNUMBER(D87), (D87 - $B87) / $B87, "")</f>
        <v>2.5073746312684365E-2</v>
      </c>
      <c r="F87" s="18">
        <f>IF(ISNUMBER(D87), $B91 * E87, "")</f>
        <v>2507.3746312684366</v>
      </c>
      <c r="G87" s="31">
        <v>702</v>
      </c>
      <c r="H87" s="32">
        <f t="shared" ref="H87:H90" si="43">IF(ISNUMBER(G87), (G87 - $B87) / $B87, "")</f>
        <v>3.5398230088495575E-2</v>
      </c>
      <c r="I87" s="101">
        <f>IF(ISNUMBER(G87), $B91 * H87, "")</f>
        <v>3539.8230088495575</v>
      </c>
      <c r="J87" s="15">
        <v>707</v>
      </c>
      <c r="K87" s="32">
        <f t="shared" ref="K87:K90" si="44">IF(ISNUMBER(J87), (J87 - $B87) / $B87, "")</f>
        <v>4.2772861356932153E-2</v>
      </c>
      <c r="L87" s="18">
        <f>IF(ISNUMBER(J87), $B91 * K87, "")</f>
        <v>4277.2861356932153</v>
      </c>
      <c r="M87" s="31">
        <v>705</v>
      </c>
      <c r="N87" s="32">
        <f t="shared" ref="N87:N90" si="45">IF(ISNUMBER(M87), (M87 - $B87) / $B87, "")</f>
        <v>3.9823008849557522E-2</v>
      </c>
      <c r="O87" s="18">
        <f>IF(ISNUMBER(M87), $B91 * N87, "")</f>
        <v>3982.3008849557523</v>
      </c>
      <c r="Q87" s="216"/>
      <c r="R87" s="216"/>
      <c r="S87" s="216"/>
    </row>
    <row r="88" spans="1:19" ht="17.25" thickBot="1">
      <c r="A88" s="125" t="s">
        <v>138</v>
      </c>
      <c r="B88" s="126">
        <v>423</v>
      </c>
      <c r="C88" s="77">
        <v>-5.5803571400000002E-2</v>
      </c>
      <c r="D88" s="15">
        <v>419</v>
      </c>
      <c r="E88" s="32">
        <f t="shared" si="42"/>
        <v>-9.4562647754137114E-3</v>
      </c>
      <c r="F88" s="18">
        <f>IF(ISNUMBER(D88), $B91 * E88, "")</f>
        <v>-945.62647754137117</v>
      </c>
      <c r="G88" s="31">
        <v>424</v>
      </c>
      <c r="H88" s="32">
        <f t="shared" si="43"/>
        <v>2.3640661938534278E-3</v>
      </c>
      <c r="I88" s="101">
        <f>IF(ISNUMBER(G88), $B91 * H88, "")</f>
        <v>236.40661938534279</v>
      </c>
      <c r="J88" s="15">
        <v>424</v>
      </c>
      <c r="K88" s="32">
        <f t="shared" si="44"/>
        <v>2.3640661938534278E-3</v>
      </c>
      <c r="L88" s="18">
        <f>IF(ISNUMBER(J88), $B91 * K88, "")</f>
        <v>236.40661938534279</v>
      </c>
      <c r="M88" s="31">
        <v>433</v>
      </c>
      <c r="N88" s="32">
        <f t="shared" si="45"/>
        <v>2.3640661938534278E-2</v>
      </c>
      <c r="O88" s="18">
        <f>IF(ISNUMBER(M88), $B91 * N88, "")</f>
        <v>2364.0661938534276</v>
      </c>
      <c r="Q88" s="216"/>
      <c r="R88" s="216"/>
      <c r="S88" s="216"/>
    </row>
    <row r="89" spans="1:19">
      <c r="A89" s="125" t="s">
        <v>212</v>
      </c>
      <c r="B89" s="126">
        <v>924</v>
      </c>
      <c r="C89" s="77">
        <v>-6.3829787200000002E-2</v>
      </c>
      <c r="D89" s="15">
        <v>972</v>
      </c>
      <c r="E89" s="32">
        <f t="shared" si="42"/>
        <v>5.1948051948051951E-2</v>
      </c>
      <c r="F89" s="18">
        <f>IF(ISNUMBER(D89), $B91 * E89, "")</f>
        <v>5194.8051948051952</v>
      </c>
      <c r="G89" s="31">
        <v>964</v>
      </c>
      <c r="H89" s="32">
        <f t="shared" si="43"/>
        <v>4.3290043290043288E-2</v>
      </c>
      <c r="I89" s="101">
        <f>IF(ISNUMBER(G89), $B91 * H89, "")</f>
        <v>4329.0043290043286</v>
      </c>
      <c r="J89" s="15">
        <v>960</v>
      </c>
      <c r="K89" s="32">
        <f t="shared" si="44"/>
        <v>3.896103896103896E-2</v>
      </c>
      <c r="L89" s="18">
        <f>IF(ISNUMBER(J89), $B91 * K89, "")</f>
        <v>3896.1038961038962</v>
      </c>
      <c r="M89" s="31">
        <v>966</v>
      </c>
      <c r="N89" s="32">
        <f t="shared" si="45"/>
        <v>4.5454545454545456E-2</v>
      </c>
      <c r="O89" s="18">
        <f>IF(ISNUMBER(M89), $B91 * N89, "")</f>
        <v>4545.454545454546</v>
      </c>
      <c r="Q89" s="205"/>
      <c r="R89" s="206"/>
      <c r="S89" s="207"/>
    </row>
    <row r="90" spans="1:19" ht="17.25" thickBot="1">
      <c r="A90" s="130" t="s">
        <v>184</v>
      </c>
      <c r="B90" s="131">
        <v>805</v>
      </c>
      <c r="C90" s="79">
        <v>-6.7207416000000006E-2</v>
      </c>
      <c r="D90" s="24">
        <v>807</v>
      </c>
      <c r="E90" s="25">
        <f t="shared" si="42"/>
        <v>2.4844720496894411E-3</v>
      </c>
      <c r="F90" s="104">
        <f>IF(ISNUMBER(D90), $B91 * E90, "")</f>
        <v>248.44720496894411</v>
      </c>
      <c r="G90" s="102">
        <v>824</v>
      </c>
      <c r="H90" s="25">
        <f t="shared" si="43"/>
        <v>2.3602484472049691E-2</v>
      </c>
      <c r="I90" s="103">
        <f>IF(ISNUMBER(G90), $B91 * H90, "")</f>
        <v>2360.2484472049691</v>
      </c>
      <c r="J90" s="24">
        <v>828</v>
      </c>
      <c r="K90" s="25">
        <f t="shared" si="44"/>
        <v>2.8571428571428571E-2</v>
      </c>
      <c r="L90" s="104">
        <f>IF(ISNUMBER(J90), $B91 * K90, "")</f>
        <v>2857.1428571428569</v>
      </c>
      <c r="M90" s="102">
        <v>844</v>
      </c>
      <c r="N90" s="25">
        <f t="shared" si="45"/>
        <v>4.8447204968944099E-2</v>
      </c>
      <c r="O90" s="104">
        <f>IF(ISNUMBER(M90), $B91 * N90, "")</f>
        <v>4844.7204968944097</v>
      </c>
      <c r="Q90" s="208"/>
      <c r="R90" s="209"/>
      <c r="S90" s="210"/>
    </row>
    <row r="91" spans="1:19" ht="17.25" thickBot="1">
      <c r="A91" s="132" t="s">
        <v>271</v>
      </c>
      <c r="B91" s="269">
        <f>$B$37</f>
        <v>100000</v>
      </c>
      <c r="C91" s="270"/>
      <c r="D91" s="26" t="s">
        <v>272</v>
      </c>
      <c r="E91" s="27">
        <f>IF(COUNT(E71:E90), SUM(E71:E90) / COUNT(E71:E90), 0)</f>
        <v>1.1778062941614372E-2</v>
      </c>
      <c r="F91" s="28">
        <f>SUM(F71:F90)</f>
        <v>23556.125883228742</v>
      </c>
      <c r="G91" s="26" t="s">
        <v>272</v>
      </c>
      <c r="H91" s="27">
        <f>IF(COUNT(H71:H90), SUM(H71:H90) / COUNT(H71:H90), 0)</f>
        <v>3.0560672649745789E-2</v>
      </c>
      <c r="I91" s="28">
        <f>SUM(I71:I90)</f>
        <v>61121.345299491586</v>
      </c>
      <c r="J91" s="26" t="s">
        <v>272</v>
      </c>
      <c r="K91" s="27">
        <f>IF(COUNT(K71:K90), SUM(K71:K90) / COUNT(K71:K90), 0)</f>
        <v>3.4003372223935714E-2</v>
      </c>
      <c r="L91" s="28">
        <f>SUM(L71:L90)</f>
        <v>68006.744447871417</v>
      </c>
      <c r="M91" s="26" t="s">
        <v>272</v>
      </c>
      <c r="N91" s="27">
        <f>IF(COUNT(N71:N90), SUM(N71:N90) / COUNT(N71:N90), 0)</f>
        <v>4.4823943269250197E-2</v>
      </c>
      <c r="O91" s="28">
        <f>SUM(O71:O90)</f>
        <v>89647.886538500417</v>
      </c>
      <c r="Q91" s="211"/>
      <c r="R91" s="212"/>
      <c r="S91" s="213"/>
    </row>
    <row r="93" spans="1:19" ht="17.25" thickBot="1"/>
    <row r="94" spans="1:19" ht="17.25" thickBot="1">
      <c r="A94" s="227" t="s">
        <v>46</v>
      </c>
      <c r="B94" s="228"/>
      <c r="C94" s="228"/>
      <c r="D94" s="228"/>
      <c r="E94" s="228"/>
      <c r="F94" s="228"/>
      <c r="G94" s="228"/>
      <c r="H94" s="228"/>
      <c r="I94" s="228"/>
      <c r="J94" s="228"/>
      <c r="K94" s="228"/>
      <c r="L94" s="228"/>
      <c r="M94" s="228"/>
      <c r="N94" s="228"/>
      <c r="O94" s="229"/>
      <c r="Q94" s="226"/>
      <c r="R94" s="226"/>
      <c r="S94" s="226"/>
    </row>
    <row r="95" spans="1:19" ht="17.25" thickBot="1">
      <c r="A95" s="165" t="s">
        <v>268</v>
      </c>
      <c r="B95" s="227" t="s">
        <v>49</v>
      </c>
      <c r="C95" s="229"/>
      <c r="D95" s="227" t="s">
        <v>58</v>
      </c>
      <c r="E95" s="228"/>
      <c r="F95" s="229"/>
      <c r="G95" s="230">
        <f>_xlfn.IFNA(VLOOKUP(B95, 현재가테이블!$B$2:$D$200, 2, FALSE), "-")</f>
        <v>39916000</v>
      </c>
      <c r="H95" s="231"/>
      <c r="I95" s="232"/>
      <c r="J95" s="227" t="s">
        <v>59</v>
      </c>
      <c r="K95" s="228"/>
      <c r="L95" s="229"/>
      <c r="M95" s="233">
        <f>_xlfn.IFNA(VLOOKUP(B95, 현재가테이블!$B$2:$D$200, 3, FALSE), "-")</f>
        <v>7.3184273000000003E-3</v>
      </c>
      <c r="N95" s="234"/>
      <c r="O95" s="235"/>
      <c r="Q95" s="226"/>
      <c r="R95" s="226"/>
      <c r="S95" s="226"/>
    </row>
    <row r="96" spans="1:19" ht="17.25" thickBot="1">
      <c r="A96" s="271" t="s">
        <v>55</v>
      </c>
      <c r="B96" s="267" t="str">
        <f>TEXT($G$1, "[$-ko-KR]yyyy-mm-dd(ddd) ") &amp; "오전 00:00"</f>
        <v>2021-07-03(토) 오전 00:00</v>
      </c>
      <c r="C96" s="268"/>
      <c r="D96" s="240" t="str">
        <f>TEXT($G$1, "[$-ko-KR]yyyy-mm-dd(ddd) ") &amp; "오후 14:00"</f>
        <v>2021-07-03(토) 오후 14:00</v>
      </c>
      <c r="E96" s="241"/>
      <c r="F96" s="242"/>
      <c r="G96" s="240" t="str">
        <f>TEXT($G$1, "[$-ko-KR]yyyy-mm-dd(ddd) ") &amp; "오후 19:00"</f>
        <v>2021-07-03(토) 오후 19:00</v>
      </c>
      <c r="H96" s="241"/>
      <c r="I96" s="242"/>
      <c r="J96" s="240" t="str">
        <f>TEXT($G$1, "[$-ko-KR]yyyy-mm-dd(ddd) ") &amp; "오후 21:00"</f>
        <v>2021-07-03(토) 오후 21:00</v>
      </c>
      <c r="K96" s="241"/>
      <c r="L96" s="242"/>
      <c r="M96" s="240" t="str">
        <f>TEXT($G$1+1, "[$-ko-KR]yyyy-mm-dd(ddd) ") &amp; "오전 00:00"</f>
        <v>2021-07-04(일) 오전 00:00</v>
      </c>
      <c r="N96" s="241"/>
      <c r="O96" s="242"/>
      <c r="Q96" s="226"/>
      <c r="R96" s="226"/>
      <c r="S96" s="226"/>
    </row>
    <row r="97" spans="1:19" ht="17.25" thickBot="1">
      <c r="A97" s="27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6" t="s">
        <v>58</v>
      </c>
      <c r="H97" s="167" t="s">
        <v>269</v>
      </c>
      <c r="I97" s="16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6"/>
      <c r="R97" s="216"/>
      <c r="S97" s="216"/>
    </row>
    <row r="98" spans="1:19" ht="17.25" thickBot="1">
      <c r="A98" s="123" t="s">
        <v>204</v>
      </c>
      <c r="B98" s="124">
        <v>11.7</v>
      </c>
      <c r="C98" s="76">
        <v>0.23940677969999999</v>
      </c>
      <c r="D98" s="13">
        <v>11.3</v>
      </c>
      <c r="E98" s="14">
        <f>IF(ISNUMBER(D98), (D98 - $B98) / $B98, "")</f>
        <v>-3.4188034188034067E-2</v>
      </c>
      <c r="F98" s="16">
        <f>IF(ISNUMBER(D98), $B118 * E98, "")</f>
        <v>-3418.8034188034067</v>
      </c>
      <c r="G98" s="29">
        <v>11.2</v>
      </c>
      <c r="H98" s="14">
        <f>IF(ISNUMBER(G98), (G98 - $B98) / $B98, "")</f>
        <v>-4.2735042735042736E-2</v>
      </c>
      <c r="I98" s="100">
        <f>IF(ISNUMBER(G98), $B118 * H98, "")</f>
        <v>-4273.5042735042734</v>
      </c>
      <c r="J98" s="13">
        <v>11.4</v>
      </c>
      <c r="K98" s="14">
        <f>IF(ISNUMBER(J98), (J98 - $B98) / $B98, "")</f>
        <v>-2.564102564102555E-2</v>
      </c>
      <c r="L98" s="16">
        <f>IF(ISNUMBER(J98), $B118 * K98, "")</f>
        <v>-2564.1025641025549</v>
      </c>
      <c r="M98" s="29">
        <v>11.2</v>
      </c>
      <c r="N98" s="14">
        <f>IF(ISNUMBER(M98), (M98 - $B98) / $B98, "")</f>
        <v>-4.2735042735042736E-2</v>
      </c>
      <c r="O98" s="16">
        <f>IF(ISNUMBER(M98), $B118 * N98, "")</f>
        <v>-4273.5042735042734</v>
      </c>
      <c r="Q98" s="226"/>
      <c r="R98" s="226"/>
      <c r="S98" s="226"/>
    </row>
    <row r="99" spans="1:19" ht="17.25" thickBot="1">
      <c r="A99" s="125" t="s">
        <v>200</v>
      </c>
      <c r="B99" s="126">
        <v>99.8</v>
      </c>
      <c r="C99" s="77">
        <v>0.14057142859999999</v>
      </c>
      <c r="D99" s="15">
        <v>91.3</v>
      </c>
      <c r="E99" s="32">
        <f t="shared" ref="E99:E102" si="46">IF(ISNUMBER(D99), (D99 - $B99) / $B99, "")</f>
        <v>-8.5170340681362727E-2</v>
      </c>
      <c r="F99" s="18">
        <f>IF(ISNUMBER(D99), $B118 * E99, "")</f>
        <v>-8517.0340681362723</v>
      </c>
      <c r="G99" s="31">
        <v>94.2</v>
      </c>
      <c r="H99" s="32">
        <f t="shared" ref="H99:H102" si="47">IF(ISNUMBER(G99), (G99 - $B99) / $B99, "")</f>
        <v>-5.6112224448897741E-2</v>
      </c>
      <c r="I99" s="101">
        <f>IF(ISNUMBER(G99), $B118 * H99, "")</f>
        <v>-5611.2224448897741</v>
      </c>
      <c r="J99" s="15">
        <v>93.7</v>
      </c>
      <c r="K99" s="32">
        <f t="shared" ref="K99:K102" si="48">IF(ISNUMBER(J99), (J99 - $B99) / $B99, "")</f>
        <v>-6.1122244488977899E-2</v>
      </c>
      <c r="L99" s="18">
        <f>IF(ISNUMBER(J99), $B118 * K99, "")</f>
        <v>-6112.2244488977904</v>
      </c>
      <c r="M99" s="31">
        <v>96.6</v>
      </c>
      <c r="N99" s="32">
        <f t="shared" ref="N99:N102" si="49">IF(ISNUMBER(M99), (M99 - $B99) / $B99, "")</f>
        <v>-3.2064128256513058E-2</v>
      </c>
      <c r="O99" s="18">
        <f>IF(ISNUMBER(M99), $B118 * N99, "")</f>
        <v>-3206.4128256513059</v>
      </c>
      <c r="Q99" s="226"/>
      <c r="R99" s="226"/>
      <c r="S99" s="226"/>
    </row>
    <row r="100" spans="1:19" ht="17.25" thickBot="1">
      <c r="A100" s="125" t="s">
        <v>239</v>
      </c>
      <c r="B100" s="126">
        <v>80.400000000000006</v>
      </c>
      <c r="C100" s="77">
        <v>0.1292134831</v>
      </c>
      <c r="D100" s="15">
        <v>72.5</v>
      </c>
      <c r="E100" s="32">
        <f t="shared" si="46"/>
        <v>-9.8258706467661758E-2</v>
      </c>
      <c r="F100" s="18">
        <f>IF(ISNUMBER(D100), $B118 * E100, "")</f>
        <v>-9825.8706467661759</v>
      </c>
      <c r="G100" s="31">
        <v>77</v>
      </c>
      <c r="H100" s="32">
        <f t="shared" si="47"/>
        <v>-4.2288557213930413E-2</v>
      </c>
      <c r="I100" s="101">
        <f>IF(ISNUMBER(G100), $B118 * H100, "")</f>
        <v>-4228.8557213930417</v>
      </c>
      <c r="J100" s="15">
        <v>76.400000000000006</v>
      </c>
      <c r="K100" s="32">
        <f t="shared" si="48"/>
        <v>-4.9751243781094523E-2</v>
      </c>
      <c r="L100" s="18">
        <f>IF(ISNUMBER(J100), $B118 * K100, "")</f>
        <v>-4975.1243781094527</v>
      </c>
      <c r="M100" s="31">
        <v>76</v>
      </c>
      <c r="N100" s="32">
        <f t="shared" si="49"/>
        <v>-5.472636815920405E-2</v>
      </c>
      <c r="O100" s="18">
        <f>IF(ISNUMBER(M100), $B118 * N100, "")</f>
        <v>-5472.6368159204048</v>
      </c>
      <c r="Q100" s="216"/>
      <c r="R100" s="216"/>
      <c r="S100" s="216"/>
    </row>
    <row r="101" spans="1:19" ht="17.25" thickBot="1">
      <c r="A101" s="125" t="s">
        <v>72</v>
      </c>
      <c r="B101" s="126">
        <v>20.399999999999999</v>
      </c>
      <c r="C101" s="77">
        <v>0.1147540984</v>
      </c>
      <c r="D101" s="15">
        <v>18.100000000000001</v>
      </c>
      <c r="E101" s="32">
        <f t="shared" si="46"/>
        <v>-0.11274509803921555</v>
      </c>
      <c r="F101" s="18">
        <f>IF(ISNUMBER(D101), $B118 * E101, "")</f>
        <v>-11274.509803921555</v>
      </c>
      <c r="G101" s="31">
        <v>18.600000000000001</v>
      </c>
      <c r="H101" s="32">
        <f t="shared" si="47"/>
        <v>-8.8235294117646926E-2</v>
      </c>
      <c r="I101" s="101">
        <f>IF(ISNUMBER(G101), $B118 * H101, "")</f>
        <v>-8823.5294117646918</v>
      </c>
      <c r="J101" s="15">
        <v>19.100000000000001</v>
      </c>
      <c r="K101" s="32">
        <f t="shared" si="48"/>
        <v>-6.3725490196078302E-2</v>
      </c>
      <c r="L101" s="18">
        <f>IF(ISNUMBER(J101), $B118 * K101, "")</f>
        <v>-6372.5490196078299</v>
      </c>
      <c r="M101" s="31">
        <v>19</v>
      </c>
      <c r="N101" s="32">
        <f t="shared" si="49"/>
        <v>-6.8627450980392093E-2</v>
      </c>
      <c r="O101" s="18">
        <f>IF(ISNUMBER(M101), $B118 * N101, "")</f>
        <v>-6862.7450980392096</v>
      </c>
      <c r="Q101" s="216"/>
      <c r="R101" s="216"/>
      <c r="S101" s="216"/>
    </row>
    <row r="102" spans="1:19" ht="17.25" thickBot="1">
      <c r="A102" s="127" t="s">
        <v>160</v>
      </c>
      <c r="B102" s="128">
        <v>1005</v>
      </c>
      <c r="C102" s="78">
        <v>7.3717948699999994E-2</v>
      </c>
      <c r="D102" s="20">
        <v>962</v>
      </c>
      <c r="E102" s="21">
        <f t="shared" si="46"/>
        <v>-4.2786069651741296E-2</v>
      </c>
      <c r="F102" s="22">
        <f>IF(ISNUMBER(D102), $B118 * E102, "")</f>
        <v>-4278.60696517413</v>
      </c>
      <c r="G102" s="30">
        <v>1000</v>
      </c>
      <c r="H102" s="21">
        <f t="shared" si="47"/>
        <v>-4.9751243781094526E-3</v>
      </c>
      <c r="I102" s="105">
        <f>IF(ISNUMBER(G102), $B118 * H102, "")</f>
        <v>-497.51243781094524</v>
      </c>
      <c r="J102" s="20">
        <v>998</v>
      </c>
      <c r="K102" s="21">
        <f t="shared" si="48"/>
        <v>-6.965174129353234E-3</v>
      </c>
      <c r="L102" s="22">
        <f>IF(ISNUMBER(J102), $B118 * K102, "")</f>
        <v>-696.51741293532336</v>
      </c>
      <c r="M102" s="30">
        <v>986</v>
      </c>
      <c r="N102" s="21">
        <f t="shared" si="49"/>
        <v>-1.8905472636815919E-2</v>
      </c>
      <c r="O102" s="22">
        <f>IF(ISNUMBER(M102), $B118 * N102, "")</f>
        <v>-1890.5472636815919</v>
      </c>
      <c r="Q102" s="216"/>
      <c r="R102" s="216"/>
      <c r="S102" s="216"/>
    </row>
    <row r="103" spans="1:19" ht="17.25" thickBot="1">
      <c r="A103" s="125" t="s">
        <v>172</v>
      </c>
      <c r="B103" s="129">
        <v>2060</v>
      </c>
      <c r="C103" s="80">
        <v>7.2916666699999994E-2</v>
      </c>
      <c r="D103" s="106">
        <v>2090</v>
      </c>
      <c r="E103" s="107">
        <f>IF(ISNUMBER(D103), (D103 - $B103) / $B103, "")</f>
        <v>1.4563106796116505E-2</v>
      </c>
      <c r="F103" s="108">
        <f>IF(ISNUMBER(D103), $B118 * E103, "")</f>
        <v>1456.3106796116506</v>
      </c>
      <c r="G103" s="109">
        <v>2065</v>
      </c>
      <c r="H103" s="107">
        <f>IF(ISNUMBER(G103), (G103 - $B103) / $B103, "")</f>
        <v>2.4271844660194173E-3</v>
      </c>
      <c r="I103" s="110">
        <f>IF(ISNUMBER(G103), $B118 * H103, "")</f>
        <v>242.71844660194174</v>
      </c>
      <c r="J103" s="106">
        <v>2075</v>
      </c>
      <c r="K103" s="107">
        <f>IF(ISNUMBER(J103), (J103 - $B103) / $B103, "")</f>
        <v>7.2815533980582527E-3</v>
      </c>
      <c r="L103" s="108">
        <f>IF(ISNUMBER(J103), $B118 * K103, "")</f>
        <v>728.15533980582529</v>
      </c>
      <c r="M103" s="109">
        <v>2095</v>
      </c>
      <c r="N103" s="107">
        <f>IF(ISNUMBER(M103), (M103 - $B103) / $B103, "")</f>
        <v>1.6990291262135922E-2</v>
      </c>
      <c r="O103" s="108">
        <f>IF(ISNUMBER(M103), $B118 * N103, "")</f>
        <v>1699.0291262135922</v>
      </c>
      <c r="Q103" s="216"/>
      <c r="R103" s="216"/>
      <c r="S103" s="216"/>
    </row>
    <row r="104" spans="1:19" ht="17.25" thickBot="1">
      <c r="A104" s="125" t="s">
        <v>196</v>
      </c>
      <c r="B104" s="126">
        <v>2535</v>
      </c>
      <c r="C104" s="77">
        <v>7.1881606799999997E-2</v>
      </c>
      <c r="D104" s="15">
        <v>2310</v>
      </c>
      <c r="E104" s="32">
        <f t="shared" ref="E104:E107" si="50">IF(ISNUMBER(D104), (D104 - $B104) / $B104, "")</f>
        <v>-8.8757396449704137E-2</v>
      </c>
      <c r="F104" s="18">
        <f>IF(ISNUMBER(D104), $B118 * E104, "")</f>
        <v>-8875.7396449704138</v>
      </c>
      <c r="G104" s="31">
        <v>2435</v>
      </c>
      <c r="H104" s="32">
        <f t="shared" ref="H104:H107" si="51">IF(ISNUMBER(G104), (G104 - $B104) / $B104, "")</f>
        <v>-3.9447731755424063E-2</v>
      </c>
      <c r="I104" s="101">
        <f>IF(ISNUMBER(G104), $B118 * H104, "")</f>
        <v>-3944.7731755424065</v>
      </c>
      <c r="J104" s="15">
        <v>2475</v>
      </c>
      <c r="K104" s="32">
        <f t="shared" ref="K104:K107" si="52">IF(ISNUMBER(J104), (J104 - $B104) / $B104, "")</f>
        <v>-2.3668639053254437E-2</v>
      </c>
      <c r="L104" s="18">
        <f>IF(ISNUMBER(J104), $B118 * K104, "")</f>
        <v>-2366.8639053254437</v>
      </c>
      <c r="M104" s="31">
        <v>2520</v>
      </c>
      <c r="N104" s="32">
        <f t="shared" ref="N104:N107" si="53">IF(ISNUMBER(M104), (M104 - $B104) / $B104, "")</f>
        <v>-5.9171597633136093E-3</v>
      </c>
      <c r="O104" s="18">
        <f>IF(ISNUMBER(M104), $B118 * N104, "")</f>
        <v>-591.71597633136093</v>
      </c>
      <c r="Q104" s="216"/>
      <c r="R104" s="216"/>
      <c r="S104" s="216"/>
    </row>
    <row r="105" spans="1:19" ht="17.25" thickBot="1">
      <c r="A105" s="125" t="s">
        <v>65</v>
      </c>
      <c r="B105" s="126">
        <v>27</v>
      </c>
      <c r="C105" s="77">
        <v>7.1428571400000002E-2</v>
      </c>
      <c r="D105" s="15">
        <v>27.4</v>
      </c>
      <c r="E105" s="32">
        <f t="shared" si="50"/>
        <v>1.4814814814814762E-2</v>
      </c>
      <c r="F105" s="18">
        <f>IF(ISNUMBER(D105), $B118 * E105, "")</f>
        <v>1481.4814814814761</v>
      </c>
      <c r="G105" s="31">
        <v>27.9</v>
      </c>
      <c r="H105" s="32">
        <f t="shared" si="51"/>
        <v>3.3333333333333277E-2</v>
      </c>
      <c r="I105" s="101">
        <f>IF(ISNUMBER(G105), $B118 * H105, "")</f>
        <v>3333.3333333333276</v>
      </c>
      <c r="J105" s="15">
        <v>28</v>
      </c>
      <c r="K105" s="32">
        <f t="shared" si="52"/>
        <v>3.7037037037037035E-2</v>
      </c>
      <c r="L105" s="18">
        <f>IF(ISNUMBER(J105), $B118 * K105, "")</f>
        <v>3703.7037037037035</v>
      </c>
      <c r="M105" s="31">
        <v>28.7</v>
      </c>
      <c r="N105" s="32">
        <f t="shared" si="53"/>
        <v>6.2962962962962943E-2</v>
      </c>
      <c r="O105" s="18">
        <f>IF(ISNUMBER(M105), $B118 * N105, "")</f>
        <v>6296.2962962962947</v>
      </c>
      <c r="Q105" s="216"/>
      <c r="R105" s="216"/>
      <c r="S105" s="216"/>
    </row>
    <row r="106" spans="1:19" ht="17.25" thickBot="1">
      <c r="A106" s="125" t="s">
        <v>154</v>
      </c>
      <c r="B106" s="126">
        <v>7160</v>
      </c>
      <c r="C106" s="77">
        <v>6.3103192299999999E-2</v>
      </c>
      <c r="D106" s="15">
        <v>6785</v>
      </c>
      <c r="E106" s="32">
        <f t="shared" si="50"/>
        <v>-5.2374301675977654E-2</v>
      </c>
      <c r="F106" s="18">
        <f>IF(ISNUMBER(D106), $B118 * E106, "")</f>
        <v>-5237.4301675977658</v>
      </c>
      <c r="G106" s="31">
        <v>7805</v>
      </c>
      <c r="H106" s="32">
        <f t="shared" si="51"/>
        <v>9.0083798882681559E-2</v>
      </c>
      <c r="I106" s="101">
        <f>IF(ISNUMBER(G106), $B118 * H106, "")</f>
        <v>9008.3798882681567</v>
      </c>
      <c r="J106" s="15">
        <v>8115</v>
      </c>
      <c r="K106" s="32">
        <f t="shared" si="52"/>
        <v>0.13337988826815642</v>
      </c>
      <c r="L106" s="18">
        <f>IF(ISNUMBER(J106), $B118 * K106, "")</f>
        <v>13337.988826815641</v>
      </c>
      <c r="M106" s="31">
        <v>8260</v>
      </c>
      <c r="N106" s="32">
        <f t="shared" si="53"/>
        <v>0.15363128491620112</v>
      </c>
      <c r="O106" s="18">
        <f>IF(ISNUMBER(M106), $B118 * N106, "")</f>
        <v>15363.128491620113</v>
      </c>
      <c r="Q106" s="33"/>
      <c r="R106" s="33"/>
    </row>
    <row r="107" spans="1:19" ht="17.25" thickBot="1">
      <c r="A107" s="130" t="s">
        <v>222</v>
      </c>
      <c r="B107" s="131">
        <v>92.7</v>
      </c>
      <c r="C107" s="79">
        <v>6.3073394500000005E-2</v>
      </c>
      <c r="D107" s="24">
        <v>90.6</v>
      </c>
      <c r="E107" s="25">
        <f t="shared" si="50"/>
        <v>-2.2653721682847988E-2</v>
      </c>
      <c r="F107" s="104">
        <f>IF(ISNUMBER(D107), $B118 * E107, "")</f>
        <v>-2265.3721682847986</v>
      </c>
      <c r="G107" s="102">
        <v>92.3</v>
      </c>
      <c r="H107" s="25">
        <f t="shared" si="51"/>
        <v>-4.3149946062568034E-3</v>
      </c>
      <c r="I107" s="103">
        <f>IF(ISNUMBER(G107), $B118 * H107, "")</f>
        <v>-431.49946062568034</v>
      </c>
      <c r="J107" s="24">
        <v>92.9</v>
      </c>
      <c r="K107" s="25">
        <f t="shared" si="52"/>
        <v>2.1574973031284017E-3</v>
      </c>
      <c r="L107" s="104">
        <f>IF(ISNUMBER(J107), $B118 * K107, "")</f>
        <v>215.74973031284017</v>
      </c>
      <c r="M107" s="102">
        <v>93.5</v>
      </c>
      <c r="N107" s="25">
        <f t="shared" si="53"/>
        <v>8.6299892125134541E-3</v>
      </c>
      <c r="O107" s="104">
        <f>IF(ISNUMBER(M107), $B118 * N107, "")</f>
        <v>862.99892125134545</v>
      </c>
      <c r="Q107" s="217"/>
      <c r="R107" s="218"/>
      <c r="S107" s="219"/>
    </row>
    <row r="108" spans="1:19">
      <c r="A108" s="123" t="s">
        <v>208</v>
      </c>
      <c r="B108" s="124">
        <v>9.7100000000000009</v>
      </c>
      <c r="C108" s="76">
        <v>5.8887677200000002E-2</v>
      </c>
      <c r="D108" s="13">
        <v>9.4700000000000006</v>
      </c>
      <c r="E108" s="14">
        <f>IF(ISNUMBER(D108), (D108 - $B108) / $B108, "")</f>
        <v>-2.4716786817713717E-2</v>
      </c>
      <c r="F108" s="16">
        <f>IF(ISNUMBER(D108), $B118 * E108, "")</f>
        <v>-2471.6786817713719</v>
      </c>
      <c r="G108" s="29">
        <v>9.6</v>
      </c>
      <c r="H108" s="14">
        <f>IF(ISNUMBER(G108), (G108 - $B108) / $B108, "")</f>
        <v>-1.1328527291452235E-2</v>
      </c>
      <c r="I108" s="100">
        <f>IF(ISNUMBER(G108), $B118 * H108, "")</f>
        <v>-1132.8527291452235</v>
      </c>
      <c r="J108" s="13">
        <v>9.57</v>
      </c>
      <c r="K108" s="14">
        <f>IF(ISNUMBER(J108), (J108 - $B108) / $B108, "")</f>
        <v>-1.4418125643666381E-2</v>
      </c>
      <c r="L108" s="16">
        <f>IF(ISNUMBER(J108), $B118 * K108, "")</f>
        <v>-1441.8125643666381</v>
      </c>
      <c r="M108" s="29">
        <v>9.86</v>
      </c>
      <c r="N108" s="14">
        <f>IF(ISNUMBER(M108), (M108 - $B108) / $B108, "")</f>
        <v>1.5447991761070912E-2</v>
      </c>
      <c r="O108" s="16">
        <f>IF(ISNUMBER(M108), $B118 * N108, "")</f>
        <v>1544.7991761070912</v>
      </c>
      <c r="Q108" s="220"/>
      <c r="R108" s="221"/>
      <c r="S108" s="222"/>
    </row>
    <row r="109" spans="1:19" ht="17.25" thickBot="1">
      <c r="A109" s="125" t="s">
        <v>122</v>
      </c>
      <c r="B109" s="126">
        <v>25.3</v>
      </c>
      <c r="C109" s="77">
        <v>5.8577405899999997E-2</v>
      </c>
      <c r="D109" s="15">
        <v>23.9</v>
      </c>
      <c r="E109" s="32">
        <f t="shared" ref="E109:E112" si="54">IF(ISNUMBER(D109), (D109 - $B109) / $B109, "")</f>
        <v>-5.5335968379446723E-2</v>
      </c>
      <c r="F109" s="18">
        <f>IF(ISNUMBER(D109), $B118 * E109, "")</f>
        <v>-5533.5968379446722</v>
      </c>
      <c r="G109" s="31">
        <v>24.3</v>
      </c>
      <c r="H109" s="32">
        <f t="shared" ref="H109:H112" si="55">IF(ISNUMBER(G109), (G109 - $B109) / $B109, "")</f>
        <v>-3.9525691699604744E-2</v>
      </c>
      <c r="I109" s="101">
        <f>IF(ISNUMBER(G109), $B118 * H109, "")</f>
        <v>-3952.5691699604745</v>
      </c>
      <c r="J109" s="15">
        <v>24.3</v>
      </c>
      <c r="K109" s="32">
        <f t="shared" ref="K109:K112" si="56">IF(ISNUMBER(J109), (J109 - $B109) / $B109, "")</f>
        <v>-3.9525691699604744E-2</v>
      </c>
      <c r="L109" s="18">
        <f>IF(ISNUMBER(J109), $B118 * K109, "")</f>
        <v>-3952.5691699604745</v>
      </c>
      <c r="M109" s="31">
        <v>24.5</v>
      </c>
      <c r="N109" s="32">
        <f t="shared" ref="N109:N112" si="57">IF(ISNUMBER(M109), (M109 - $B109) / $B109, "")</f>
        <v>-3.162055335968382E-2</v>
      </c>
      <c r="O109" s="18">
        <f>IF(ISNUMBER(M109), $B118 * N109, "")</f>
        <v>-3162.0553359683822</v>
      </c>
      <c r="Q109" s="223"/>
      <c r="R109" s="224"/>
      <c r="S109" s="225"/>
    </row>
    <row r="110" spans="1:19" ht="17.25" thickBot="1">
      <c r="A110" s="125" t="s">
        <v>150</v>
      </c>
      <c r="B110" s="126">
        <v>8.91</v>
      </c>
      <c r="C110" s="77">
        <v>3.8461538500000003E-2</v>
      </c>
      <c r="D110" s="15">
        <v>8.82</v>
      </c>
      <c r="E110" s="32">
        <f t="shared" si="54"/>
        <v>-1.0101010101010085E-2</v>
      </c>
      <c r="F110" s="18">
        <f>IF(ISNUMBER(D110), $B118 * E110, "")</f>
        <v>-1010.1010101010085</v>
      </c>
      <c r="G110" s="31">
        <v>8.98</v>
      </c>
      <c r="H110" s="32">
        <f t="shared" si="55"/>
        <v>7.8563411896745549E-3</v>
      </c>
      <c r="I110" s="101">
        <f>IF(ISNUMBER(G110), $B118 * H110, "")</f>
        <v>785.63411896745549</v>
      </c>
      <c r="J110" s="15">
        <v>8.9600000000000009</v>
      </c>
      <c r="K110" s="32">
        <f t="shared" si="56"/>
        <v>5.6116722783390244E-3</v>
      </c>
      <c r="L110" s="18">
        <f>IF(ISNUMBER(J110), $B118 * K110, "")</f>
        <v>561.16722783390242</v>
      </c>
      <c r="M110" s="31">
        <v>9.09</v>
      </c>
      <c r="N110" s="32">
        <f t="shared" si="57"/>
        <v>2.0202020202020169E-2</v>
      </c>
      <c r="O110" s="18">
        <f>IF(ISNUMBER(M110), $B118 * N110, "")</f>
        <v>2020.2020202020169</v>
      </c>
      <c r="Q110" s="216"/>
      <c r="R110" s="216"/>
      <c r="S110" s="216"/>
    </row>
    <row r="111" spans="1:19" ht="17.25" thickBot="1">
      <c r="A111" s="125" t="s">
        <v>198</v>
      </c>
      <c r="B111" s="126">
        <v>11120</v>
      </c>
      <c r="C111" s="77">
        <v>3.82819795E-2</v>
      </c>
      <c r="D111" s="15">
        <v>11870</v>
      </c>
      <c r="E111" s="32">
        <f t="shared" si="54"/>
        <v>6.7446043165467623E-2</v>
      </c>
      <c r="F111" s="18">
        <f>IF(ISNUMBER(D111), $B118 * E111, "")</f>
        <v>6744.6043165467627</v>
      </c>
      <c r="G111" s="31">
        <v>11680</v>
      </c>
      <c r="H111" s="32">
        <f t="shared" si="55"/>
        <v>5.0359712230215826E-2</v>
      </c>
      <c r="I111" s="101">
        <f>IF(ISNUMBER(G111), $B118 * H111, "")</f>
        <v>5035.9712230215828</v>
      </c>
      <c r="J111" s="15">
        <v>11710</v>
      </c>
      <c r="K111" s="32">
        <f t="shared" si="56"/>
        <v>5.3057553956834536E-2</v>
      </c>
      <c r="L111" s="18">
        <f>IF(ISNUMBER(J111), $B118 * K111, "")</f>
        <v>5305.7553956834536</v>
      </c>
      <c r="M111" s="31">
        <v>11850</v>
      </c>
      <c r="N111" s="32">
        <f t="shared" si="57"/>
        <v>6.5647482014388484E-2</v>
      </c>
      <c r="O111" s="18">
        <f>IF(ISNUMBER(M111), $B118 * N111, "")</f>
        <v>6564.7482014388479</v>
      </c>
      <c r="Q111" s="226"/>
      <c r="R111" s="226"/>
      <c r="S111" s="226"/>
    </row>
    <row r="112" spans="1:19" ht="17.25" thickBot="1">
      <c r="A112" s="127" t="s">
        <v>190</v>
      </c>
      <c r="B112" s="128">
        <v>14.6</v>
      </c>
      <c r="C112" s="78">
        <v>2.8169014100000001E-2</v>
      </c>
      <c r="D112" s="20">
        <v>14.6</v>
      </c>
      <c r="E112" s="21">
        <f t="shared" si="54"/>
        <v>0</v>
      </c>
      <c r="F112" s="22">
        <f>IF(ISNUMBER(D112), $B118 * E112, "")</f>
        <v>0</v>
      </c>
      <c r="G112" s="30">
        <v>14.8</v>
      </c>
      <c r="H112" s="21">
        <f t="shared" si="55"/>
        <v>1.3698630136986375E-2</v>
      </c>
      <c r="I112" s="105">
        <f>IF(ISNUMBER(G112), $B118 * H112, "")</f>
        <v>1369.8630136986376</v>
      </c>
      <c r="J112" s="20">
        <v>14.6</v>
      </c>
      <c r="K112" s="21">
        <f t="shared" si="56"/>
        <v>0</v>
      </c>
      <c r="L112" s="22">
        <f>IF(ISNUMBER(J112), $B118 * K112, "")</f>
        <v>0</v>
      </c>
      <c r="M112" s="30">
        <v>14.8</v>
      </c>
      <c r="N112" s="21">
        <f t="shared" si="57"/>
        <v>1.3698630136986375E-2</v>
      </c>
      <c r="O112" s="22">
        <f>IF(ISNUMBER(M112), $B118 * N112, "")</f>
        <v>1369.8630136986376</v>
      </c>
      <c r="Q112" s="226"/>
      <c r="R112" s="226"/>
      <c r="S112" s="226"/>
    </row>
    <row r="113" spans="1:19" ht="17.25" thickBot="1">
      <c r="A113" s="125" t="s">
        <v>168</v>
      </c>
      <c r="B113" s="129">
        <v>936</v>
      </c>
      <c r="C113" s="80">
        <v>2.4070021899999999E-2</v>
      </c>
      <c r="D113" s="106">
        <v>917</v>
      </c>
      <c r="E113" s="107">
        <f>IF(ISNUMBER(D113), (D113 - $B113) / $B113, "")</f>
        <v>-2.02991452991453E-2</v>
      </c>
      <c r="F113" s="108">
        <f>IF(ISNUMBER(D113), $B118 * E113, "")</f>
        <v>-2029.91452991453</v>
      </c>
      <c r="G113" s="109">
        <v>938</v>
      </c>
      <c r="H113" s="107">
        <f>IF(ISNUMBER(G113), (G113 - $B113) / $B113, "")</f>
        <v>2.136752136752137E-3</v>
      </c>
      <c r="I113" s="110">
        <f>IF(ISNUMBER(G113), $B118 * H113, "")</f>
        <v>213.67521367521368</v>
      </c>
      <c r="J113" s="106">
        <v>942</v>
      </c>
      <c r="K113" s="107">
        <f>IF(ISNUMBER(J113), (J113 - $B113) / $B113, "")</f>
        <v>6.41025641025641E-3</v>
      </c>
      <c r="L113" s="108">
        <f>IF(ISNUMBER(J113), $B118 * K113, "")</f>
        <v>641.02564102564099</v>
      </c>
      <c r="M113" s="109">
        <v>959</v>
      </c>
      <c r="N113" s="107">
        <f>IF(ISNUMBER(M113), (M113 - $B113) / $B113, "")</f>
        <v>2.4572649572649572E-2</v>
      </c>
      <c r="O113" s="108">
        <f>IF(ISNUMBER(M113), $B118 * N113, "")</f>
        <v>2457.264957264957</v>
      </c>
      <c r="Q113" s="216"/>
      <c r="R113" s="216"/>
      <c r="S113" s="216"/>
    </row>
    <row r="114" spans="1:19" ht="17.25" thickBot="1">
      <c r="A114" s="125" t="s">
        <v>245</v>
      </c>
      <c r="B114" s="126">
        <v>1085</v>
      </c>
      <c r="C114" s="77">
        <v>1.4018691600000001E-2</v>
      </c>
      <c r="D114" s="15">
        <v>1065</v>
      </c>
      <c r="E114" s="32">
        <f t="shared" ref="E114:E117" si="58">IF(ISNUMBER(D114), (D114 - $B114) / $B114, "")</f>
        <v>-1.8433179723502304E-2</v>
      </c>
      <c r="F114" s="18">
        <f>IF(ISNUMBER(D114), $B118 * E114, "")</f>
        <v>-1843.3179723502303</v>
      </c>
      <c r="G114" s="31">
        <v>1080</v>
      </c>
      <c r="H114" s="32">
        <f t="shared" ref="H114:H117" si="59">IF(ISNUMBER(G114), (G114 - $B114) / $B114, "")</f>
        <v>-4.608294930875576E-3</v>
      </c>
      <c r="I114" s="101">
        <f>IF(ISNUMBER(G114), $B118 * H114, "")</f>
        <v>-460.82949308755758</v>
      </c>
      <c r="J114" s="15">
        <v>1080</v>
      </c>
      <c r="K114" s="32">
        <f t="shared" ref="K114:K117" si="60">IF(ISNUMBER(J114), (J114 - $B114) / $B114, "")</f>
        <v>-4.608294930875576E-3</v>
      </c>
      <c r="L114" s="18">
        <f>IF(ISNUMBER(J114), $B118 * K114, "")</f>
        <v>-460.82949308755758</v>
      </c>
      <c r="M114" s="31">
        <v>1095</v>
      </c>
      <c r="N114" s="32">
        <f t="shared" ref="N114:N117" si="61">IF(ISNUMBER(M114), (M114 - $B114) / $B114, "")</f>
        <v>9.2165898617511521E-3</v>
      </c>
      <c r="O114" s="18">
        <f>IF(ISNUMBER(M114), $B118 * N114, "")</f>
        <v>921.65898617511516</v>
      </c>
      <c r="Q114" s="216"/>
      <c r="R114" s="216"/>
      <c r="S114" s="216"/>
    </row>
    <row r="115" spans="1:19" ht="17.25" thickBot="1">
      <c r="A115" s="125" t="s">
        <v>235</v>
      </c>
      <c r="B115" s="126">
        <v>51.1</v>
      </c>
      <c r="C115" s="77">
        <v>1.38888889E-2</v>
      </c>
      <c r="D115" s="15">
        <v>51.7</v>
      </c>
      <c r="E115" s="32">
        <f t="shared" si="58"/>
        <v>1.1741682974559714E-2</v>
      </c>
      <c r="F115" s="18">
        <f>IF(ISNUMBER(D115), $B118 * E115, "")</f>
        <v>1174.1682974559715</v>
      </c>
      <c r="G115" s="31">
        <v>52.7</v>
      </c>
      <c r="H115" s="32">
        <f t="shared" si="59"/>
        <v>3.1311154598825858E-2</v>
      </c>
      <c r="I115" s="101">
        <f>IF(ISNUMBER(G115), $B118 * H115, "")</f>
        <v>3131.1154598825856</v>
      </c>
      <c r="J115" s="15">
        <v>52.5</v>
      </c>
      <c r="K115" s="32">
        <f t="shared" si="60"/>
        <v>2.7397260273972573E-2</v>
      </c>
      <c r="L115" s="18">
        <f>IF(ISNUMBER(J115), $B118 * K115, "")</f>
        <v>2739.7260273972574</v>
      </c>
      <c r="M115" s="31">
        <v>53.1</v>
      </c>
      <c r="N115" s="32">
        <f t="shared" si="61"/>
        <v>3.9138943248532287E-2</v>
      </c>
      <c r="O115" s="18">
        <f>IF(ISNUMBER(M115), $B118 * N115, "")</f>
        <v>3913.8943248532287</v>
      </c>
      <c r="Q115" s="216"/>
      <c r="R115" s="216"/>
      <c r="S115" s="216"/>
    </row>
    <row r="116" spans="1:19">
      <c r="A116" s="125" t="s">
        <v>74</v>
      </c>
      <c r="B116" s="126">
        <v>13170</v>
      </c>
      <c r="C116" s="77">
        <v>1.30769231E-2</v>
      </c>
      <c r="D116" s="15">
        <v>13770</v>
      </c>
      <c r="E116" s="32">
        <f t="shared" si="58"/>
        <v>4.5558086560364468E-2</v>
      </c>
      <c r="F116" s="18">
        <f>IF(ISNUMBER(D116), $B118 * E116, "")</f>
        <v>4555.8086560364463</v>
      </c>
      <c r="G116" s="31">
        <v>13880</v>
      </c>
      <c r="H116" s="32">
        <f t="shared" si="59"/>
        <v>5.3910402429764616E-2</v>
      </c>
      <c r="I116" s="101">
        <f>IF(ISNUMBER(G116), $B118 * H116, "")</f>
        <v>5391.0402429764617</v>
      </c>
      <c r="J116" s="15">
        <v>13760</v>
      </c>
      <c r="K116" s="32">
        <f t="shared" si="60"/>
        <v>4.4798785117691725E-2</v>
      </c>
      <c r="L116" s="18">
        <f>IF(ISNUMBER(J116), $B118 * K116, "")</f>
        <v>4479.8785117691723</v>
      </c>
      <c r="M116" s="31">
        <v>13710</v>
      </c>
      <c r="N116" s="32">
        <f t="shared" si="61"/>
        <v>4.1002277904328019E-2</v>
      </c>
      <c r="O116" s="18">
        <f>IF(ISNUMBER(M116), $B118 * N116, "")</f>
        <v>4100.2277904328021</v>
      </c>
      <c r="Q116" s="205"/>
      <c r="R116" s="206"/>
      <c r="S116" s="207"/>
    </row>
    <row r="117" spans="1:19" ht="17.25" thickBot="1">
      <c r="A117" s="130" t="s">
        <v>82</v>
      </c>
      <c r="B117" s="131">
        <v>1580</v>
      </c>
      <c r="C117" s="79">
        <v>1.2820512799999999E-2</v>
      </c>
      <c r="D117" s="24">
        <v>1595</v>
      </c>
      <c r="E117" s="25">
        <f t="shared" si="58"/>
        <v>9.4936708860759497E-3</v>
      </c>
      <c r="F117" s="104">
        <f>IF(ISNUMBER(D117), $B118 * E117, "")</f>
        <v>949.36708860759495</v>
      </c>
      <c r="G117" s="102">
        <v>1650</v>
      </c>
      <c r="H117" s="25">
        <f t="shared" si="59"/>
        <v>4.4303797468354431E-2</v>
      </c>
      <c r="I117" s="103">
        <f>IF(ISNUMBER(G117), $B118 * H117, "")</f>
        <v>4430.3797468354433</v>
      </c>
      <c r="J117" s="24">
        <v>1650</v>
      </c>
      <c r="K117" s="25">
        <f t="shared" si="60"/>
        <v>4.4303797468354431E-2</v>
      </c>
      <c r="L117" s="104">
        <f>IF(ISNUMBER(J117), $B118 * K117, "")</f>
        <v>4430.3797468354433</v>
      </c>
      <c r="M117" s="102">
        <v>1655</v>
      </c>
      <c r="N117" s="25">
        <f t="shared" si="61"/>
        <v>4.746835443037975E-2</v>
      </c>
      <c r="O117" s="104">
        <f>IF(ISNUMBER(M117), $B118 * N117, "")</f>
        <v>4746.835443037975</v>
      </c>
      <c r="Q117" s="208"/>
      <c r="R117" s="209"/>
      <c r="S117" s="210"/>
    </row>
    <row r="118" spans="1:19" ht="17.25" thickBot="1">
      <c r="A118" s="132" t="s">
        <v>271</v>
      </c>
      <c r="B118" s="269">
        <f>$B$37</f>
        <v>100000</v>
      </c>
      <c r="C118" s="270"/>
      <c r="D118" s="26" t="s">
        <v>272</v>
      </c>
      <c r="E118" s="27">
        <f>IF(COUNT(E98:E117), SUM(E98:E117) / COUNT(E98:E117), 0)</f>
        <v>-2.5110117697998219E-2</v>
      </c>
      <c r="F118" s="28">
        <f>SUM(F98:F117)</f>
        <v>-50220.235395996431</v>
      </c>
      <c r="G118" s="26" t="s">
        <v>272</v>
      </c>
      <c r="H118" s="27">
        <f>IF(COUNT(H98:H117), SUM(H98:H117) / COUNT(H98:H117), 0)</f>
        <v>-2.0751881523163493E-4</v>
      </c>
      <c r="I118" s="28">
        <f>SUM(I98:I117)</f>
        <v>-415.03763046326185</v>
      </c>
      <c r="J118" s="26" t="s">
        <v>272</v>
      </c>
      <c r="K118" s="27">
        <f>IF(COUNT(K98:K117), SUM(K98:K117) / COUNT(K98:K117), 0)</f>
        <v>3.600468597394906E-3</v>
      </c>
      <c r="L118" s="28">
        <f>SUM(L98:L117)</f>
        <v>7200.9371947898144</v>
      </c>
      <c r="M118" s="26" t="s">
        <v>272</v>
      </c>
      <c r="N118" s="27">
        <f>IF(COUNT(N98:N117), SUM(N98:N117) / COUNT(N98:N117), 0)</f>
        <v>1.320066457974774E-2</v>
      </c>
      <c r="O118" s="28">
        <f>SUM(O98:O117)</f>
        <v>26401.329159495486</v>
      </c>
      <c r="Q118" s="211"/>
      <c r="R118" s="212"/>
      <c r="S118" s="213"/>
    </row>
    <row r="120" spans="1:19" ht="17.25" thickBot="1"/>
    <row r="121" spans="1:19" ht="17.25" thickBot="1">
      <c r="A121" s="227" t="s">
        <v>259</v>
      </c>
      <c r="B121" s="228"/>
      <c r="C121" s="228"/>
      <c r="D121" s="228"/>
      <c r="E121" s="228"/>
      <c r="F121" s="228"/>
      <c r="G121" s="228"/>
      <c r="H121" s="228"/>
      <c r="I121" s="228"/>
      <c r="J121" s="228"/>
      <c r="K121" s="228"/>
      <c r="L121" s="228"/>
      <c r="M121" s="228"/>
      <c r="N121" s="228"/>
      <c r="O121" s="229"/>
      <c r="Q121" s="226"/>
      <c r="R121" s="226"/>
      <c r="S121" s="226"/>
    </row>
    <row r="122" spans="1:19" ht="17.25" thickBot="1">
      <c r="A122" s="165" t="s">
        <v>268</v>
      </c>
      <c r="B122" s="227" t="s">
        <v>49</v>
      </c>
      <c r="C122" s="229"/>
      <c r="D122" s="227" t="s">
        <v>58</v>
      </c>
      <c r="E122" s="228"/>
      <c r="F122" s="229"/>
      <c r="G122" s="230">
        <f>_xlfn.IFNA(VLOOKUP(B122, 현재가테이블!$B$2:$D$200, 2, FALSE), "-")</f>
        <v>39916000</v>
      </c>
      <c r="H122" s="231"/>
      <c r="I122" s="232"/>
      <c r="J122" s="227" t="s">
        <v>59</v>
      </c>
      <c r="K122" s="228"/>
      <c r="L122" s="229"/>
      <c r="M122" s="233">
        <f>_xlfn.IFNA(VLOOKUP(B122, 현재가테이블!$B$2:$D$200, 3, FALSE), "-")</f>
        <v>7.3184273000000003E-3</v>
      </c>
      <c r="N122" s="234"/>
      <c r="O122" s="235"/>
      <c r="Q122" s="226"/>
      <c r="R122" s="226"/>
      <c r="S122" s="226"/>
    </row>
    <row r="123" spans="1:19" ht="17.25" thickBot="1">
      <c r="A123" s="271" t="s">
        <v>55</v>
      </c>
      <c r="B123" s="267" t="str">
        <f>TEXT($G$1, "[$-ko-KR]yyyy-mm-dd(ddd) ") &amp; "오전 00:00"</f>
        <v>2021-07-03(토) 오전 00:00</v>
      </c>
      <c r="C123" s="268"/>
      <c r="D123" s="240" t="str">
        <f>TEXT($G$1, "[$-ko-KR]yyyy-mm-dd(ddd) ") &amp; "오후 14:00"</f>
        <v>2021-07-03(토) 오후 14:00</v>
      </c>
      <c r="E123" s="241"/>
      <c r="F123" s="242"/>
      <c r="G123" s="240" t="str">
        <f>TEXT($G$1, "[$-ko-KR]yyyy-mm-dd(ddd) ") &amp; "오후 19:00"</f>
        <v>2021-07-03(토) 오후 19:00</v>
      </c>
      <c r="H123" s="241"/>
      <c r="I123" s="242"/>
      <c r="J123" s="240" t="str">
        <f>TEXT($G$1, "[$-ko-KR]yyyy-mm-dd(ddd) ") &amp; "오후 21:00"</f>
        <v>2021-07-03(토) 오후 21:00</v>
      </c>
      <c r="K123" s="241"/>
      <c r="L123" s="242"/>
      <c r="M123" s="240" t="str">
        <f>TEXT($G$1+1, "[$-ko-KR]yyyy-mm-dd(ddd) ") &amp; "오전 00:00"</f>
        <v>2021-07-04(일) 오전 00:00</v>
      </c>
      <c r="N123" s="241"/>
      <c r="O123" s="242"/>
      <c r="Q123" s="226"/>
      <c r="R123" s="226"/>
      <c r="S123" s="226"/>
    </row>
    <row r="124" spans="1:19" ht="17.25" thickBot="1">
      <c r="A124" s="27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6" t="s">
        <v>58</v>
      </c>
      <c r="H124" s="167" t="s">
        <v>269</v>
      </c>
      <c r="I124" s="16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6"/>
      <c r="R124" s="216"/>
      <c r="S124" s="216"/>
    </row>
    <row r="125" spans="1:19" ht="17.25" thickBot="1">
      <c r="A125" s="123" t="s">
        <v>122</v>
      </c>
      <c r="B125" s="124">
        <v>25.3</v>
      </c>
      <c r="C125" s="76">
        <v>5.8577405899999997E-2</v>
      </c>
      <c r="D125" s="13">
        <v>23.9</v>
      </c>
      <c r="E125" s="14">
        <f>IF(ISNUMBER(D125), (D125 - $B125) / $B125, "")</f>
        <v>-5.5335968379446723E-2</v>
      </c>
      <c r="F125" s="16">
        <f>IF(ISNUMBER(D125), $B145 * E125, "")</f>
        <v>-5533.5968379446722</v>
      </c>
      <c r="G125" s="29">
        <v>24.3</v>
      </c>
      <c r="H125" s="14">
        <f>IF(ISNUMBER(G125), (G125 - $B125) / $B125, "")</f>
        <v>-3.9525691699604744E-2</v>
      </c>
      <c r="I125" s="100">
        <f>IF(ISNUMBER(G125), $B145 * H125, "")</f>
        <v>-3952.5691699604745</v>
      </c>
      <c r="J125" s="13">
        <v>24.3</v>
      </c>
      <c r="K125" s="14">
        <f>IF(ISNUMBER(J125), (J125 - $B125) / $B125, "")</f>
        <v>-3.9525691699604744E-2</v>
      </c>
      <c r="L125" s="16">
        <f>IF(ISNUMBER(J125), $B145 * K125, "")</f>
        <v>-3952.5691699604745</v>
      </c>
      <c r="M125" s="29">
        <v>24.5</v>
      </c>
      <c r="N125" s="14">
        <f>IF(ISNUMBER(M125), (M125 - $B125) / $B125, "")</f>
        <v>-3.162055335968382E-2</v>
      </c>
      <c r="O125" s="16">
        <f>IF(ISNUMBER(M125), $B145 * N125, "")</f>
        <v>-3162.0553359683822</v>
      </c>
      <c r="Q125" s="226"/>
      <c r="R125" s="226"/>
      <c r="S125" s="226"/>
    </row>
    <row r="126" spans="1:19" ht="17.25" thickBot="1">
      <c r="A126" s="125" t="s">
        <v>150</v>
      </c>
      <c r="B126" s="126">
        <v>8.91</v>
      </c>
      <c r="C126" s="77">
        <v>3.8461538500000003E-2</v>
      </c>
      <c r="D126" s="15">
        <v>8.82</v>
      </c>
      <c r="E126" s="32">
        <f t="shared" ref="E126:E129" si="62">IF(ISNUMBER(D126), (D126 - $B126) / $B126, "")</f>
        <v>-1.0101010101010085E-2</v>
      </c>
      <c r="F126" s="18">
        <f>IF(ISNUMBER(D126), $B145 * E126, "")</f>
        <v>-1010.1010101010085</v>
      </c>
      <c r="G126" s="31">
        <v>8.98</v>
      </c>
      <c r="H126" s="32">
        <f t="shared" ref="H126:H129" si="63">IF(ISNUMBER(G126), (G126 - $B126) / $B126, "")</f>
        <v>7.8563411896745549E-3</v>
      </c>
      <c r="I126" s="101">
        <f>IF(ISNUMBER(G126), $B145 * H126, "")</f>
        <v>785.63411896745549</v>
      </c>
      <c r="J126" s="15">
        <v>8.9600000000000009</v>
      </c>
      <c r="K126" s="32">
        <f t="shared" ref="K126:K129" si="64">IF(ISNUMBER(J126), (J126 - $B126) / $B126, "")</f>
        <v>5.6116722783390244E-3</v>
      </c>
      <c r="L126" s="18">
        <f>IF(ISNUMBER(J126), $B145 * K126, "")</f>
        <v>561.16722783390242</v>
      </c>
      <c r="M126" s="31">
        <v>9.09</v>
      </c>
      <c r="N126" s="32">
        <f t="shared" ref="N126:N129" si="65">IF(ISNUMBER(M126), (M126 - $B126) / $B126, "")</f>
        <v>2.0202020202020169E-2</v>
      </c>
      <c r="O126" s="18">
        <f>IF(ISNUMBER(M126), $B145 * N126, "")</f>
        <v>2020.2020202020169</v>
      </c>
      <c r="Q126" s="226"/>
      <c r="R126" s="226"/>
      <c r="S126" s="226"/>
    </row>
    <row r="127" spans="1:19" ht="17.25" thickBot="1">
      <c r="A127" s="125" t="s">
        <v>190</v>
      </c>
      <c r="B127" s="126">
        <v>14.6</v>
      </c>
      <c r="C127" s="77">
        <v>2.8169014100000001E-2</v>
      </c>
      <c r="D127" s="15">
        <v>14.6</v>
      </c>
      <c r="E127" s="32">
        <f t="shared" si="62"/>
        <v>0</v>
      </c>
      <c r="F127" s="18">
        <f>IF(ISNUMBER(D127), $B145 * E127, "")</f>
        <v>0</v>
      </c>
      <c r="G127" s="31">
        <v>14.8</v>
      </c>
      <c r="H127" s="32">
        <f t="shared" si="63"/>
        <v>1.3698630136986375E-2</v>
      </c>
      <c r="I127" s="101">
        <f>IF(ISNUMBER(G127), $B145 * H127, "")</f>
        <v>1369.8630136986376</v>
      </c>
      <c r="J127" s="15">
        <v>14.6</v>
      </c>
      <c r="K127" s="32">
        <f t="shared" si="64"/>
        <v>0</v>
      </c>
      <c r="L127" s="18">
        <f>IF(ISNUMBER(J127), $B145 * K127, "")</f>
        <v>0</v>
      </c>
      <c r="M127" s="31">
        <v>14.8</v>
      </c>
      <c r="N127" s="32">
        <f t="shared" si="65"/>
        <v>1.3698630136986375E-2</v>
      </c>
      <c r="O127" s="18">
        <f>IF(ISNUMBER(M127), $B145 * N127, "")</f>
        <v>1369.8630136986376</v>
      </c>
      <c r="Q127" s="216"/>
      <c r="R127" s="216"/>
      <c r="S127" s="216"/>
    </row>
    <row r="128" spans="1:19" ht="17.25" thickBot="1">
      <c r="A128" s="125" t="s">
        <v>235</v>
      </c>
      <c r="B128" s="126">
        <v>51.1</v>
      </c>
      <c r="C128" s="77">
        <v>1.38888889E-2</v>
      </c>
      <c r="D128" s="15">
        <v>51.7</v>
      </c>
      <c r="E128" s="32">
        <f t="shared" si="62"/>
        <v>1.1741682974559714E-2</v>
      </c>
      <c r="F128" s="18">
        <f>IF(ISNUMBER(D128), $B145 * E128, "")</f>
        <v>1174.1682974559715</v>
      </c>
      <c r="G128" s="31">
        <v>52.7</v>
      </c>
      <c r="H128" s="32">
        <f t="shared" si="63"/>
        <v>3.1311154598825858E-2</v>
      </c>
      <c r="I128" s="101">
        <f>IF(ISNUMBER(G128), $B145 * H128, "")</f>
        <v>3131.1154598825856</v>
      </c>
      <c r="J128" s="15">
        <v>52.5</v>
      </c>
      <c r="K128" s="32">
        <f t="shared" si="64"/>
        <v>2.7397260273972573E-2</v>
      </c>
      <c r="L128" s="18">
        <f>IF(ISNUMBER(J128), $B145 * K128, "")</f>
        <v>2739.7260273972574</v>
      </c>
      <c r="M128" s="31">
        <v>53.1</v>
      </c>
      <c r="N128" s="32">
        <f t="shared" si="65"/>
        <v>3.9138943248532287E-2</v>
      </c>
      <c r="O128" s="18">
        <f>IF(ISNUMBER(M128), $B145 * N128, "")</f>
        <v>3913.8943248532287</v>
      </c>
      <c r="Q128" s="216"/>
      <c r="R128" s="216"/>
      <c r="S128" s="216"/>
    </row>
    <row r="129" spans="1:19" ht="17.25" thickBot="1">
      <c r="A129" s="127" t="s">
        <v>218</v>
      </c>
      <c r="B129" s="128">
        <v>91.2</v>
      </c>
      <c r="C129" s="78">
        <v>1.10864745E-2</v>
      </c>
      <c r="D129" s="20">
        <v>90.9</v>
      </c>
      <c r="E129" s="21">
        <f t="shared" si="62"/>
        <v>-3.2894736842104949E-3</v>
      </c>
      <c r="F129" s="22">
        <f>IF(ISNUMBER(D129), $B145 * E129, "")</f>
        <v>-328.94736842104948</v>
      </c>
      <c r="G129" s="30">
        <v>92.1</v>
      </c>
      <c r="H129" s="21">
        <f t="shared" si="63"/>
        <v>9.8684210526314847E-3</v>
      </c>
      <c r="I129" s="105">
        <f>IF(ISNUMBER(G129), $B145 * H129, "")</f>
        <v>986.84210526314848</v>
      </c>
      <c r="J129" s="20">
        <v>92.5</v>
      </c>
      <c r="K129" s="21">
        <f t="shared" si="64"/>
        <v>1.4254385964912249E-2</v>
      </c>
      <c r="L129" s="22">
        <f>IF(ISNUMBER(J129), $B145 * K129, "")</f>
        <v>1425.4385964912249</v>
      </c>
      <c r="M129" s="30">
        <v>96.1</v>
      </c>
      <c r="N129" s="21">
        <f t="shared" si="65"/>
        <v>5.37280701754385E-2</v>
      </c>
      <c r="O129" s="22">
        <f>IF(ISNUMBER(M129), $B145 * N129, "")</f>
        <v>5372.8070175438497</v>
      </c>
      <c r="Q129" s="216"/>
      <c r="R129" s="216"/>
      <c r="S129" s="216"/>
    </row>
    <row r="130" spans="1:19" ht="17.25" thickBot="1">
      <c r="A130" s="125" t="s">
        <v>210</v>
      </c>
      <c r="B130" s="129">
        <v>8.6300000000000008</v>
      </c>
      <c r="C130" s="80">
        <v>9.3567250999999994E-3</v>
      </c>
      <c r="D130" s="106">
        <v>9.1199999999999992</v>
      </c>
      <c r="E130" s="107">
        <f>IF(ISNUMBER(D130), (D130 - $B130) / $B130, "")</f>
        <v>5.6778679026651027E-2</v>
      </c>
      <c r="F130" s="108">
        <f>IF(ISNUMBER(D130), $B145 * E130, "")</f>
        <v>5677.8679026651025</v>
      </c>
      <c r="G130" s="109">
        <v>9.58</v>
      </c>
      <c r="H130" s="107">
        <f>IF(ISNUMBER(G130), (G130 - $B130) / $B130, "")</f>
        <v>0.1100811123986094</v>
      </c>
      <c r="I130" s="110">
        <f>IF(ISNUMBER(G130), $B145 * H130, "")</f>
        <v>11008.11123986094</v>
      </c>
      <c r="J130" s="106">
        <v>9.5</v>
      </c>
      <c r="K130" s="107">
        <f>IF(ISNUMBER(J130), (J130 - $B130) / $B130, "")</f>
        <v>0.10081112398609492</v>
      </c>
      <c r="L130" s="108">
        <f>IF(ISNUMBER(J130), $B145 * K130, "")</f>
        <v>10081.112398609492</v>
      </c>
      <c r="M130" s="109">
        <v>9.91</v>
      </c>
      <c r="N130" s="107">
        <f>IF(ISNUMBER(M130), (M130 - $B130) / $B130, "")</f>
        <v>0.14831981460023166</v>
      </c>
      <c r="O130" s="108">
        <f>IF(ISNUMBER(M130), $B145 * N130, "")</f>
        <v>14831.981460023166</v>
      </c>
      <c r="Q130" s="216"/>
      <c r="R130" s="216"/>
      <c r="S130" s="216"/>
    </row>
    <row r="131" spans="1:19" ht="17.25" thickBot="1">
      <c r="A131" s="125" t="s">
        <v>128</v>
      </c>
      <c r="B131" s="126">
        <v>99.7</v>
      </c>
      <c r="C131" s="77">
        <v>5.0403226000000001E-3</v>
      </c>
      <c r="D131" s="15">
        <v>99.2</v>
      </c>
      <c r="E131" s="32">
        <f t="shared" ref="E131:E134" si="66">IF(ISNUMBER(D131), (D131 - $B131) / $B131, "")</f>
        <v>-5.0150451354062184E-3</v>
      </c>
      <c r="F131" s="18">
        <f>IF(ISNUMBER(D131), $B145 * E131, "")</f>
        <v>-501.50451354062187</v>
      </c>
      <c r="G131" s="31">
        <v>103</v>
      </c>
      <c r="H131" s="32">
        <f t="shared" ref="H131:H134" si="67">IF(ISNUMBER(G131), (G131 - $B131) / $B131, "")</f>
        <v>3.3099297893681011E-2</v>
      </c>
      <c r="I131" s="101">
        <f>IF(ISNUMBER(G131), $B145 * H131, "")</f>
        <v>3309.929789368101</v>
      </c>
      <c r="J131" s="15">
        <v>104</v>
      </c>
      <c r="K131" s="32">
        <f t="shared" ref="K131:K134" si="68">IF(ISNUMBER(J131), (J131 - $B131) / $B131, "")</f>
        <v>4.3129388164493451E-2</v>
      </c>
      <c r="L131" s="18">
        <f>IF(ISNUMBER(J131), $B145 * K131, "")</f>
        <v>4312.9388164493448</v>
      </c>
      <c r="M131" s="31">
        <v>103</v>
      </c>
      <c r="N131" s="32">
        <f t="shared" ref="N131:N134" si="69">IF(ISNUMBER(M131), (M131 - $B131) / $B131, "")</f>
        <v>3.3099297893681011E-2</v>
      </c>
      <c r="O131" s="18">
        <f>IF(ISNUMBER(M131), $B145 * N131, "")</f>
        <v>3309.929789368101</v>
      </c>
      <c r="Q131" s="216"/>
      <c r="R131" s="216"/>
      <c r="S131" s="216"/>
    </row>
    <row r="132" spans="1:19" ht="17.25" thickBot="1">
      <c r="A132" s="125" t="s">
        <v>188</v>
      </c>
      <c r="B132" s="126">
        <v>8.76</v>
      </c>
      <c r="C132" s="77">
        <v>2.2883295000000001E-3</v>
      </c>
      <c r="D132" s="15">
        <v>8.84</v>
      </c>
      <c r="E132" s="32">
        <f t="shared" si="66"/>
        <v>9.1324200913242091E-3</v>
      </c>
      <c r="F132" s="18">
        <f>IF(ISNUMBER(D132), $B145 * E132, "")</f>
        <v>913.24200913242089</v>
      </c>
      <c r="G132" s="31">
        <v>8.9600000000000009</v>
      </c>
      <c r="H132" s="32">
        <f t="shared" si="67"/>
        <v>2.2831050228310626E-2</v>
      </c>
      <c r="I132" s="101">
        <f>IF(ISNUMBER(G132), $B145 * H132, "")</f>
        <v>2283.1050228310628</v>
      </c>
      <c r="J132" s="15">
        <v>8.98</v>
      </c>
      <c r="K132" s="32">
        <f t="shared" si="68"/>
        <v>2.5114155251141627E-2</v>
      </c>
      <c r="L132" s="18">
        <f>IF(ISNUMBER(J132), $B145 * K132, "")</f>
        <v>2511.4155251141628</v>
      </c>
      <c r="M132" s="31">
        <v>9.1</v>
      </c>
      <c r="N132" s="32">
        <f t="shared" si="69"/>
        <v>3.8812785388127838E-2</v>
      </c>
      <c r="O132" s="18">
        <f>IF(ISNUMBER(M132), $B145 * N132, "")</f>
        <v>3881.2785388127836</v>
      </c>
      <c r="Q132" s="216"/>
      <c r="R132" s="216"/>
      <c r="S132" s="216"/>
    </row>
    <row r="133" spans="1:19" ht="17.25" thickBot="1">
      <c r="A133" s="125" t="s">
        <v>178</v>
      </c>
      <c r="B133" s="126">
        <v>14.8</v>
      </c>
      <c r="C133" s="77">
        <v>0</v>
      </c>
      <c r="D133" s="15">
        <v>15</v>
      </c>
      <c r="E133" s="32">
        <f t="shared" si="66"/>
        <v>1.3513513513513466E-2</v>
      </c>
      <c r="F133" s="18">
        <f>IF(ISNUMBER(D133), $B145 * E133, "")</f>
        <v>1351.3513513513465</v>
      </c>
      <c r="G133" s="31">
        <v>15.2</v>
      </c>
      <c r="H133" s="32">
        <f t="shared" si="67"/>
        <v>2.7027027027026931E-2</v>
      </c>
      <c r="I133" s="101">
        <f>IF(ISNUMBER(G133), $B145 * H133, "")</f>
        <v>2702.7027027026929</v>
      </c>
      <c r="J133" s="15">
        <v>15.2</v>
      </c>
      <c r="K133" s="32">
        <f t="shared" si="68"/>
        <v>2.7027027027026931E-2</v>
      </c>
      <c r="L133" s="18">
        <f>IF(ISNUMBER(J133), $B145 * K133, "")</f>
        <v>2702.7027027026929</v>
      </c>
      <c r="M133" s="31">
        <v>15.3</v>
      </c>
      <c r="N133" s="32">
        <f t="shared" si="69"/>
        <v>3.3783783783783779E-2</v>
      </c>
      <c r="O133" s="18">
        <f>IF(ISNUMBER(M133), $B145 * N133, "")</f>
        <v>3378.3783783783779</v>
      </c>
      <c r="Q133" s="33"/>
      <c r="R133" s="33"/>
    </row>
    <row r="134" spans="1:19" ht="17.25" thickBot="1">
      <c r="A134" s="130" t="s">
        <v>152</v>
      </c>
      <c r="B134" s="131">
        <v>76</v>
      </c>
      <c r="C134" s="79">
        <v>-2.6246719000000002E-3</v>
      </c>
      <c r="D134" s="24">
        <v>76.400000000000006</v>
      </c>
      <c r="E134" s="25">
        <f t="shared" si="66"/>
        <v>5.2631578947369166E-3</v>
      </c>
      <c r="F134" s="104">
        <f>IF(ISNUMBER(D134), $B145 * E134, "")</f>
        <v>526.31578947369167</v>
      </c>
      <c r="G134" s="102">
        <v>77.7</v>
      </c>
      <c r="H134" s="25">
        <f t="shared" si="67"/>
        <v>2.2368421052631617E-2</v>
      </c>
      <c r="I134" s="103">
        <f>IF(ISNUMBER(G134), $B145 * H134, "")</f>
        <v>2236.8421052631616</v>
      </c>
      <c r="J134" s="24">
        <v>78</v>
      </c>
      <c r="K134" s="25">
        <f t="shared" si="68"/>
        <v>2.6315789473684209E-2</v>
      </c>
      <c r="L134" s="104">
        <f>IF(ISNUMBER(J134), $B145 * K134, "")</f>
        <v>2631.5789473684208</v>
      </c>
      <c r="M134" s="102">
        <v>78</v>
      </c>
      <c r="N134" s="25">
        <f t="shared" si="69"/>
        <v>2.6315789473684209E-2</v>
      </c>
      <c r="O134" s="104">
        <f>IF(ISNUMBER(M134), $B145 * N134, "")</f>
        <v>2631.5789473684208</v>
      </c>
      <c r="Q134" s="217"/>
      <c r="R134" s="218"/>
      <c r="S134" s="219"/>
    </row>
    <row r="135" spans="1:19">
      <c r="A135" s="123" t="s">
        <v>251</v>
      </c>
      <c r="B135" s="124">
        <v>58.4</v>
      </c>
      <c r="C135" s="76">
        <v>-8.4889643000000004E-3</v>
      </c>
      <c r="D135" s="13">
        <v>59.4</v>
      </c>
      <c r="E135" s="14">
        <f>IF(ISNUMBER(D135), (D135 - $B135) / $B135, "")</f>
        <v>1.7123287671232876E-2</v>
      </c>
      <c r="F135" s="16">
        <f>IF(ISNUMBER(D135), $B145 * E135, "")</f>
        <v>1712.3287671232877</v>
      </c>
      <c r="G135" s="29">
        <v>60.6</v>
      </c>
      <c r="H135" s="14">
        <f>IF(ISNUMBER(G135), (G135 - $B135) / $B135, "")</f>
        <v>3.7671232876712375E-2</v>
      </c>
      <c r="I135" s="100">
        <f>IF(ISNUMBER(G135), $B145 * H135, "")</f>
        <v>3767.1232876712374</v>
      </c>
      <c r="J135" s="13">
        <v>60.4</v>
      </c>
      <c r="K135" s="14">
        <f>IF(ISNUMBER(J135), (J135 - $B135) / $B135, "")</f>
        <v>3.4246575342465752E-2</v>
      </c>
      <c r="L135" s="16">
        <f>IF(ISNUMBER(J135), $B145 * K135, "")</f>
        <v>3424.6575342465753</v>
      </c>
      <c r="M135" s="29">
        <v>61.1</v>
      </c>
      <c r="N135" s="14">
        <f>IF(ISNUMBER(M135), (M135 - $B135) / $B135, "")</f>
        <v>4.623287671232882E-2</v>
      </c>
      <c r="O135" s="16">
        <f>IF(ISNUMBER(M135), $B145 * N135, "")</f>
        <v>4623.2876712328816</v>
      </c>
      <c r="Q135" s="220"/>
      <c r="R135" s="221"/>
      <c r="S135" s="222"/>
    </row>
    <row r="136" spans="1:19" ht="17.25" thickBot="1">
      <c r="A136" s="125" t="s">
        <v>98</v>
      </c>
      <c r="B136" s="126">
        <v>3.06</v>
      </c>
      <c r="C136" s="77">
        <v>-9.7087379000000001E-3</v>
      </c>
      <c r="D136" s="15">
        <v>3.08</v>
      </c>
      <c r="E136" s="32">
        <f t="shared" ref="E136:E139" si="70">IF(ISNUMBER(D136), (D136 - $B136) / $B136, "")</f>
        <v>6.5359477124183061E-3</v>
      </c>
      <c r="F136" s="18">
        <f>IF(ISNUMBER(D136), $B145 * E136, "")</f>
        <v>653.59477124183059</v>
      </c>
      <c r="G136" s="31">
        <v>3.12</v>
      </c>
      <c r="H136" s="32">
        <f t="shared" ref="H136:H139" si="71">IF(ISNUMBER(G136), (G136 - $B136) / $B136, "")</f>
        <v>1.9607843137254919E-2</v>
      </c>
      <c r="I136" s="101">
        <f>IF(ISNUMBER(G136), $B145 * H136, "")</f>
        <v>1960.784313725492</v>
      </c>
      <c r="J136" s="15">
        <v>3.13</v>
      </c>
      <c r="K136" s="32">
        <f t="shared" ref="K136:K139" si="72">IF(ISNUMBER(J136), (J136 - $B136) / $B136, "")</f>
        <v>2.2875816993463999E-2</v>
      </c>
      <c r="L136" s="18">
        <f>IF(ISNUMBER(J136), $B145 * K136, "")</f>
        <v>2287.5816993464</v>
      </c>
      <c r="M136" s="31">
        <v>3.14</v>
      </c>
      <c r="N136" s="32">
        <f t="shared" ref="N136:N139" si="73">IF(ISNUMBER(M136), (M136 - $B136) / $B136, "")</f>
        <v>2.6143790849673224E-2</v>
      </c>
      <c r="O136" s="18">
        <f>IF(ISNUMBER(M136), $B145 * N136, "")</f>
        <v>2614.3790849673223</v>
      </c>
      <c r="Q136" s="223"/>
      <c r="R136" s="224"/>
      <c r="S136" s="225"/>
    </row>
    <row r="137" spans="1:19" ht="17.25" thickBot="1">
      <c r="A137" s="125" t="s">
        <v>216</v>
      </c>
      <c r="B137" s="126">
        <v>7.69</v>
      </c>
      <c r="C137" s="77">
        <v>-1.2836970499999999E-2</v>
      </c>
      <c r="D137" s="15">
        <v>7.78</v>
      </c>
      <c r="E137" s="32">
        <f t="shared" si="70"/>
        <v>1.1703511053315976E-2</v>
      </c>
      <c r="F137" s="18">
        <f>IF(ISNUMBER(D137), $B145 * E137, "")</f>
        <v>1170.3511053315976</v>
      </c>
      <c r="G137" s="31">
        <v>7.99</v>
      </c>
      <c r="H137" s="32">
        <f t="shared" si="71"/>
        <v>3.9011703511053292E-2</v>
      </c>
      <c r="I137" s="101">
        <f>IF(ISNUMBER(G137), $B145 * H137, "")</f>
        <v>3901.1703511053292</v>
      </c>
      <c r="J137" s="15">
        <v>7.95</v>
      </c>
      <c r="K137" s="32">
        <f t="shared" si="72"/>
        <v>3.3810143042912848E-2</v>
      </c>
      <c r="L137" s="18">
        <f>IF(ISNUMBER(J137), $B145 * K137, "")</f>
        <v>3381.0143042912846</v>
      </c>
      <c r="M137" s="31">
        <v>8.1</v>
      </c>
      <c r="N137" s="32">
        <f t="shared" si="73"/>
        <v>5.3315994798439431E-2</v>
      </c>
      <c r="O137" s="18">
        <f>IF(ISNUMBER(M137), $B145 * N137, "")</f>
        <v>5331.5994798439433</v>
      </c>
      <c r="Q137" s="216"/>
      <c r="R137" s="216"/>
      <c r="S137" s="216"/>
    </row>
    <row r="138" spans="1:19" ht="17.25" thickBot="1">
      <c r="A138" s="125" t="s">
        <v>144</v>
      </c>
      <c r="B138" s="126">
        <v>86</v>
      </c>
      <c r="C138" s="77">
        <v>-2.82485876E-2</v>
      </c>
      <c r="D138" s="15">
        <v>84.8</v>
      </c>
      <c r="E138" s="32">
        <f t="shared" si="70"/>
        <v>-1.3953488372093056E-2</v>
      </c>
      <c r="F138" s="18">
        <f>IF(ISNUMBER(D138), $B145 * E138, "")</f>
        <v>-1395.3488372093057</v>
      </c>
      <c r="G138" s="31">
        <v>87.1</v>
      </c>
      <c r="H138" s="32">
        <f t="shared" si="71"/>
        <v>1.2790697674418539E-2</v>
      </c>
      <c r="I138" s="101">
        <f>IF(ISNUMBER(G138), $B145 * H138, "")</f>
        <v>1279.0697674418539</v>
      </c>
      <c r="J138" s="15">
        <v>87.3</v>
      </c>
      <c r="K138" s="32">
        <f t="shared" si="72"/>
        <v>1.5116279069767409E-2</v>
      </c>
      <c r="L138" s="18">
        <f>IF(ISNUMBER(J138), $B145 * K138, "")</f>
        <v>1511.6279069767409</v>
      </c>
      <c r="M138" s="31">
        <v>86.8</v>
      </c>
      <c r="N138" s="32">
        <f t="shared" si="73"/>
        <v>9.3023255813953157E-3</v>
      </c>
      <c r="O138" s="18">
        <f>IF(ISNUMBER(M138), $B145 * N138, "")</f>
        <v>930.23255813953153</v>
      </c>
      <c r="Q138" s="226"/>
      <c r="R138" s="226"/>
      <c r="S138" s="226"/>
    </row>
    <row r="139" spans="1:19" ht="17.25" thickBot="1">
      <c r="A139" s="127" t="s">
        <v>202</v>
      </c>
      <c r="B139" s="128">
        <v>56.3</v>
      </c>
      <c r="C139" s="78">
        <v>-3.0981067099999999E-2</v>
      </c>
      <c r="D139" s="20">
        <v>55.6</v>
      </c>
      <c r="E139" s="21">
        <f t="shared" si="70"/>
        <v>-1.2433392539964401E-2</v>
      </c>
      <c r="F139" s="22">
        <f>IF(ISNUMBER(D139), $B145 * E139, "")</f>
        <v>-1243.33925399644</v>
      </c>
      <c r="G139" s="30">
        <v>57.2</v>
      </c>
      <c r="H139" s="21">
        <f t="shared" si="71"/>
        <v>1.5985790408525855E-2</v>
      </c>
      <c r="I139" s="105">
        <f>IF(ISNUMBER(G139), $B145 * H139, "")</f>
        <v>1598.5790408525854</v>
      </c>
      <c r="J139" s="20">
        <v>57.2</v>
      </c>
      <c r="K139" s="21">
        <f t="shared" si="72"/>
        <v>1.5985790408525855E-2</v>
      </c>
      <c r="L139" s="22">
        <f>IF(ISNUMBER(J139), $B145 * K139, "")</f>
        <v>1598.5790408525854</v>
      </c>
      <c r="M139" s="30">
        <v>57.6</v>
      </c>
      <c r="N139" s="21">
        <f t="shared" si="73"/>
        <v>2.3090586145648389E-2</v>
      </c>
      <c r="O139" s="22">
        <f>IF(ISNUMBER(M139), $B145 * N139, "")</f>
        <v>2309.058614564839</v>
      </c>
      <c r="Q139" s="226"/>
      <c r="R139" s="226"/>
      <c r="S139" s="226"/>
    </row>
    <row r="140" spans="1:19" ht="17.25" thickBot="1">
      <c r="A140" s="125" t="s">
        <v>148</v>
      </c>
      <c r="B140" s="129">
        <v>14.9</v>
      </c>
      <c r="C140" s="80">
        <v>-3.24675325E-2</v>
      </c>
      <c r="D140" s="106">
        <v>15.1</v>
      </c>
      <c r="E140" s="107">
        <f>IF(ISNUMBER(D140), (D140 - $B140) / $B140, "")</f>
        <v>1.342281879194626E-2</v>
      </c>
      <c r="F140" s="108">
        <f>IF(ISNUMBER(D140), $B145 * E140, "")</f>
        <v>1342.2818791946261</v>
      </c>
      <c r="G140" s="109">
        <v>15.3</v>
      </c>
      <c r="H140" s="107">
        <f>IF(ISNUMBER(G140), (G140 - $B140) / $B140, "")</f>
        <v>2.6845637583892641E-2</v>
      </c>
      <c r="I140" s="110">
        <f>IF(ISNUMBER(G140), $B145 * H140, "")</f>
        <v>2684.563758389264</v>
      </c>
      <c r="J140" s="106">
        <v>15.3</v>
      </c>
      <c r="K140" s="107">
        <f>IF(ISNUMBER(J140), (J140 - $B140) / $B140, "")</f>
        <v>2.6845637583892641E-2</v>
      </c>
      <c r="L140" s="108">
        <f>IF(ISNUMBER(J140), $B145 * K140, "")</f>
        <v>2684.563758389264</v>
      </c>
      <c r="M140" s="109">
        <v>15.4</v>
      </c>
      <c r="N140" s="107">
        <f>IF(ISNUMBER(M140), (M140 - $B140) / $B140, "")</f>
        <v>3.3557046979865772E-2</v>
      </c>
      <c r="O140" s="108">
        <f>IF(ISNUMBER(M140), $B145 * N140, "")</f>
        <v>3355.7046979865772</v>
      </c>
      <c r="Q140" s="216"/>
      <c r="R140" s="216"/>
      <c r="S140" s="216"/>
    </row>
    <row r="141" spans="1:19" ht="17.25" thickBot="1">
      <c r="A141" s="125" t="s">
        <v>132</v>
      </c>
      <c r="B141" s="126">
        <v>92.9</v>
      </c>
      <c r="C141" s="77">
        <v>-3.7305699499999997E-2</v>
      </c>
      <c r="D141" s="15">
        <v>93</v>
      </c>
      <c r="E141" s="32">
        <f t="shared" ref="E141:E144" si="74">IF(ISNUMBER(D141), (D141 - $B141) / $B141, "")</f>
        <v>1.0764262648007999E-3</v>
      </c>
      <c r="F141" s="18">
        <f>IF(ISNUMBER(D141), $B145 * E141, "")</f>
        <v>107.64262648007998</v>
      </c>
      <c r="G141" s="31">
        <v>95.6</v>
      </c>
      <c r="H141" s="32">
        <f t="shared" ref="H141:H144" si="75">IF(ISNUMBER(G141), (G141 - $B141) / $B141, "")</f>
        <v>2.9063509149623128E-2</v>
      </c>
      <c r="I141" s="101">
        <f>IF(ISNUMBER(G141), $B145 * H141, "")</f>
        <v>2906.3509149623128</v>
      </c>
      <c r="J141" s="15">
        <v>95.7</v>
      </c>
      <c r="K141" s="32">
        <f t="shared" ref="K141:K144" si="76">IF(ISNUMBER(J141), (J141 - $B141) / $B141, "")</f>
        <v>3.0139935414424078E-2</v>
      </c>
      <c r="L141" s="18">
        <f>IF(ISNUMBER(J141), $B145 * K141, "")</f>
        <v>3013.9935414424076</v>
      </c>
      <c r="M141" s="31">
        <v>95.7</v>
      </c>
      <c r="N141" s="32">
        <f t="shared" ref="N141:N144" si="77">IF(ISNUMBER(M141), (M141 - $B141) / $B141, "")</f>
        <v>3.0139935414424078E-2</v>
      </c>
      <c r="O141" s="18">
        <f>IF(ISNUMBER(M141), $B145 * N141, "")</f>
        <v>3013.9935414424076</v>
      </c>
      <c r="Q141" s="216"/>
      <c r="R141" s="216"/>
      <c r="S141" s="216"/>
    </row>
    <row r="142" spans="1:19" ht="17.25" thickBot="1">
      <c r="A142" s="125" t="s">
        <v>241</v>
      </c>
      <c r="B142" s="126">
        <v>49.5</v>
      </c>
      <c r="C142" s="77">
        <v>-4.8076923100000002E-2</v>
      </c>
      <c r="D142" s="15">
        <v>50.6</v>
      </c>
      <c r="E142" s="32">
        <f t="shared" si="74"/>
        <v>2.2222222222222251E-2</v>
      </c>
      <c r="F142" s="18">
        <f>IF(ISNUMBER(D142), $B145 * E142, "")</f>
        <v>2222.2222222222249</v>
      </c>
      <c r="G142" s="31">
        <v>51.4</v>
      </c>
      <c r="H142" s="32">
        <f t="shared" si="75"/>
        <v>3.8383838383838353E-2</v>
      </c>
      <c r="I142" s="101">
        <f>IF(ISNUMBER(G142), $B145 * H142, "")</f>
        <v>3838.3838383838352</v>
      </c>
      <c r="J142" s="15">
        <v>51.7</v>
      </c>
      <c r="K142" s="32">
        <f t="shared" si="76"/>
        <v>4.4444444444444502E-2</v>
      </c>
      <c r="L142" s="18">
        <f>IF(ISNUMBER(J142), $B145 * K142, "")</f>
        <v>4444.4444444444498</v>
      </c>
      <c r="M142" s="31">
        <v>53.3</v>
      </c>
      <c r="N142" s="32">
        <f t="shared" si="77"/>
        <v>7.6767676767676707E-2</v>
      </c>
      <c r="O142" s="18">
        <f>IF(ISNUMBER(M142), $B145 * N142, "")</f>
        <v>7676.7676767676703</v>
      </c>
      <c r="Q142" s="216"/>
      <c r="R142" s="216"/>
      <c r="S142" s="216"/>
    </row>
    <row r="143" spans="1:19">
      <c r="A143" s="125" t="s">
        <v>162</v>
      </c>
      <c r="B143" s="126">
        <v>78.400000000000006</v>
      </c>
      <c r="C143" s="77">
        <v>-4.8543689299999998E-2</v>
      </c>
      <c r="D143" s="15">
        <v>82.8</v>
      </c>
      <c r="E143" s="32">
        <f t="shared" si="74"/>
        <v>5.6122448979591726E-2</v>
      </c>
      <c r="F143" s="18">
        <f>IF(ISNUMBER(D143), $B145 * E143, "")</f>
        <v>5612.2448979591727</v>
      </c>
      <c r="G143" s="31">
        <v>85.6</v>
      </c>
      <c r="H143" s="32">
        <f t="shared" si="75"/>
        <v>9.1836734693877403E-2</v>
      </c>
      <c r="I143" s="101">
        <f>IF(ISNUMBER(G143), $B145 * H143, "")</f>
        <v>9183.6734693877406</v>
      </c>
      <c r="J143" s="15">
        <v>85.4</v>
      </c>
      <c r="K143" s="32">
        <f t="shared" si="76"/>
        <v>8.9285714285714274E-2</v>
      </c>
      <c r="L143" s="18">
        <f>IF(ISNUMBER(J143), $B145 * K143, "")</f>
        <v>8928.5714285714275</v>
      </c>
      <c r="M143" s="31">
        <v>84.6</v>
      </c>
      <c r="N143" s="32">
        <f t="shared" si="77"/>
        <v>7.9081632653061076E-2</v>
      </c>
      <c r="O143" s="18">
        <f>IF(ISNUMBER(M143), $B145 * N143, "")</f>
        <v>7908.1632653061079</v>
      </c>
      <c r="Q143" s="205"/>
      <c r="R143" s="206"/>
      <c r="S143" s="207"/>
    </row>
    <row r="144" spans="1:19" ht="17.25" thickBot="1">
      <c r="A144" s="130" t="s">
        <v>130</v>
      </c>
      <c r="B144" s="131">
        <v>76</v>
      </c>
      <c r="C144" s="79">
        <v>-5.9405940599999998E-2</v>
      </c>
      <c r="D144" s="24">
        <v>77.3</v>
      </c>
      <c r="E144" s="25">
        <f t="shared" si="74"/>
        <v>1.71052631578947E-2</v>
      </c>
      <c r="F144" s="104">
        <f>IF(ISNUMBER(D144), $B145 * E144, "")</f>
        <v>1710.5263157894699</v>
      </c>
      <c r="G144" s="102">
        <v>79</v>
      </c>
      <c r="H144" s="25">
        <f t="shared" si="75"/>
        <v>3.9473684210526314E-2</v>
      </c>
      <c r="I144" s="103">
        <f>IF(ISNUMBER(G144), $B145 * H144, "")</f>
        <v>3947.3684210526312</v>
      </c>
      <c r="J144" s="24">
        <v>79.5</v>
      </c>
      <c r="K144" s="25">
        <f t="shared" si="76"/>
        <v>4.6052631578947366E-2</v>
      </c>
      <c r="L144" s="104">
        <f>IF(ISNUMBER(J144), $B145 * K144, "")</f>
        <v>4605.2631578947367</v>
      </c>
      <c r="M144" s="102">
        <v>80.3</v>
      </c>
      <c r="N144" s="25">
        <f t="shared" si="77"/>
        <v>5.6578947368421013E-2</v>
      </c>
      <c r="O144" s="104">
        <f>IF(ISNUMBER(M144), $B145 * N144, "")</f>
        <v>5657.8947368421013</v>
      </c>
      <c r="Q144" s="208"/>
      <c r="R144" s="209"/>
      <c r="S144" s="210"/>
    </row>
    <row r="145" spans="1:19" ht="17.25" thickBot="1">
      <c r="A145" s="132" t="s">
        <v>271</v>
      </c>
      <c r="B145" s="269">
        <f>$B$37</f>
        <v>100000</v>
      </c>
      <c r="C145" s="270"/>
      <c r="D145" s="26" t="s">
        <v>272</v>
      </c>
      <c r="E145" s="27">
        <f>IF(COUNT(E125:E144), SUM(E125:E144) / COUNT(E125:E144), 0)</f>
        <v>7.0806500571038624E-3</v>
      </c>
      <c r="F145" s="28">
        <f>SUM(F125:F144)</f>
        <v>14161.300114207726</v>
      </c>
      <c r="G145" s="26" t="s">
        <v>272</v>
      </c>
      <c r="H145" s="27">
        <f>IF(COUNT(H125:H144), SUM(H125:H144) / COUNT(H125:H144), 0)</f>
        <v>2.9464321775424802E-2</v>
      </c>
      <c r="I145" s="28">
        <f>SUM(I125:I144)</f>
        <v>58928.6435508496</v>
      </c>
      <c r="J145" s="26" t="s">
        <v>272</v>
      </c>
      <c r="K145" s="27">
        <f>IF(COUNT(K125:K144), SUM(K125:K144) / COUNT(K125:K144), 0)</f>
        <v>2.9446903944230947E-2</v>
      </c>
      <c r="L145" s="28">
        <f>SUM(L125:L144)</f>
        <v>58893.807888461903</v>
      </c>
      <c r="M145" s="26" t="s">
        <v>272</v>
      </c>
      <c r="N145" s="27">
        <f>IF(COUNT(N125:N144), SUM(N125:N144) / COUNT(N125:N144), 0)</f>
        <v>4.0484469740686799E-2</v>
      </c>
      <c r="O145" s="28">
        <f>SUM(O125:O144)</f>
        <v>80968.9394813736</v>
      </c>
      <c r="Q145" s="211"/>
      <c r="R145" s="212"/>
      <c r="S145" s="213"/>
    </row>
    <row r="147" spans="1:19" ht="17.25" thickBot="1"/>
    <row r="148" spans="1:19" ht="17.25" thickBot="1">
      <c r="A148" s="227" t="s">
        <v>260</v>
      </c>
      <c r="B148" s="228"/>
      <c r="C148" s="228"/>
      <c r="D148" s="228"/>
      <c r="E148" s="228"/>
      <c r="F148" s="228"/>
      <c r="G148" s="228"/>
      <c r="H148" s="228"/>
      <c r="I148" s="228"/>
      <c r="J148" s="228"/>
      <c r="K148" s="228"/>
      <c r="L148" s="228"/>
      <c r="M148" s="228"/>
      <c r="N148" s="228"/>
      <c r="O148" s="229"/>
      <c r="Q148" s="226"/>
      <c r="R148" s="226"/>
      <c r="S148" s="226"/>
    </row>
    <row r="149" spans="1:19" ht="17.25" thickBot="1">
      <c r="A149" s="165" t="s">
        <v>268</v>
      </c>
      <c r="B149" s="227" t="s">
        <v>49</v>
      </c>
      <c r="C149" s="229"/>
      <c r="D149" s="227" t="s">
        <v>58</v>
      </c>
      <c r="E149" s="228"/>
      <c r="F149" s="229"/>
      <c r="G149" s="230">
        <f>_xlfn.IFNA(VLOOKUP(B149, 현재가테이블!$B$2:$D$200, 2, FALSE), "-")</f>
        <v>39916000</v>
      </c>
      <c r="H149" s="231"/>
      <c r="I149" s="232"/>
      <c r="J149" s="227" t="s">
        <v>59</v>
      </c>
      <c r="K149" s="228"/>
      <c r="L149" s="229"/>
      <c r="M149" s="233">
        <f>_xlfn.IFNA(VLOOKUP(B149, 현재가테이블!$B$2:$D$200, 3, FALSE), "-")</f>
        <v>7.3184273000000003E-3</v>
      </c>
      <c r="N149" s="234"/>
      <c r="O149" s="235"/>
      <c r="Q149" s="226"/>
      <c r="R149" s="226"/>
      <c r="S149" s="226"/>
    </row>
    <row r="150" spans="1:19" ht="17.25" thickBot="1">
      <c r="A150" s="271" t="s">
        <v>55</v>
      </c>
      <c r="B150" s="267" t="str">
        <f>TEXT($G$1, "[$-ko-KR]yyyy-mm-dd(ddd) ") &amp; "오전 00:00"</f>
        <v>2021-07-03(토) 오전 00:00</v>
      </c>
      <c r="C150" s="268"/>
      <c r="D150" s="240" t="str">
        <f>TEXT($G$1, "[$-ko-KR]yyyy-mm-dd(ddd) ") &amp; "오후 14:00"</f>
        <v>2021-07-03(토) 오후 14:00</v>
      </c>
      <c r="E150" s="241"/>
      <c r="F150" s="242"/>
      <c r="G150" s="240" t="str">
        <f>TEXT($G$1, "[$-ko-KR]yyyy-mm-dd(ddd) ") &amp; "오후 19:00"</f>
        <v>2021-07-03(토) 오후 19:00</v>
      </c>
      <c r="H150" s="241"/>
      <c r="I150" s="242"/>
      <c r="J150" s="240" t="str">
        <f>TEXT($G$1, "[$-ko-KR]yyyy-mm-dd(ddd) ") &amp; "오후 21:00"</f>
        <v>2021-07-03(토) 오후 21:00</v>
      </c>
      <c r="K150" s="241"/>
      <c r="L150" s="242"/>
      <c r="M150" s="240" t="str">
        <f>TEXT($G$1+1, "[$-ko-KR]yyyy-mm-dd(ddd) ") &amp; "오전 00:00"</f>
        <v>2021-07-04(일) 오전 00:00</v>
      </c>
      <c r="N150" s="241"/>
      <c r="O150" s="242"/>
      <c r="Q150" s="226"/>
      <c r="R150" s="226"/>
      <c r="S150" s="226"/>
    </row>
    <row r="151" spans="1:19" ht="17.25" thickBot="1">
      <c r="A151" s="27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6" t="s">
        <v>58</v>
      </c>
      <c r="H151" s="167" t="s">
        <v>269</v>
      </c>
      <c r="I151" s="16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6"/>
      <c r="R151" s="216"/>
      <c r="S151" s="216"/>
    </row>
    <row r="152" spans="1:19" ht="17.25" thickBot="1">
      <c r="A152" s="123" t="s">
        <v>124</v>
      </c>
      <c r="B152" s="124">
        <v>268</v>
      </c>
      <c r="C152" s="76">
        <v>-4.9645390099999999E-2</v>
      </c>
      <c r="D152" s="13">
        <v>267</v>
      </c>
      <c r="E152" s="14">
        <f>IF(ISNUMBER(D152), (D152 - $B152) / $B152, "")</f>
        <v>-3.7313432835820895E-3</v>
      </c>
      <c r="F152" s="16">
        <f>IF(ISNUMBER(D152), $B172 * E152, "")</f>
        <v>-373.13432835820896</v>
      </c>
      <c r="G152" s="29">
        <v>273</v>
      </c>
      <c r="H152" s="14">
        <f>IF(ISNUMBER(G152), (G152 - $B152) / $B152, "")</f>
        <v>1.8656716417910446E-2</v>
      </c>
      <c r="I152" s="100">
        <f>IF(ISNUMBER(G152), $B172 * H152, "")</f>
        <v>1865.6716417910445</v>
      </c>
      <c r="J152" s="13">
        <v>272</v>
      </c>
      <c r="K152" s="14">
        <f>IF(ISNUMBER(J152), (J152 - $B152) / $B152, "")</f>
        <v>1.4925373134328358E-2</v>
      </c>
      <c r="L152" s="16">
        <f>IF(ISNUMBER(J152), $B172 * K152, "")</f>
        <v>1492.5373134328358</v>
      </c>
      <c r="M152" s="29">
        <v>276</v>
      </c>
      <c r="N152" s="14">
        <f>IF(ISNUMBER(M152), (M152 - $B152) / $B152, "")</f>
        <v>2.9850746268656716E-2</v>
      </c>
      <c r="O152" s="16">
        <f>IF(ISNUMBER(M152), $B172 * N152, "")</f>
        <v>2985.0746268656717</v>
      </c>
      <c r="Q152" s="226"/>
      <c r="R152" s="226"/>
      <c r="S152" s="226"/>
    </row>
    <row r="153" spans="1:19" ht="17.25" thickBot="1">
      <c r="A153" s="125" t="s">
        <v>253</v>
      </c>
      <c r="B153" s="126">
        <v>678</v>
      </c>
      <c r="C153" s="77">
        <v>-5.57103064E-2</v>
      </c>
      <c r="D153" s="15">
        <v>695</v>
      </c>
      <c r="E153" s="32">
        <f t="shared" ref="E153:E156" si="78">IF(ISNUMBER(D153), (D153 - $B153) / $B153, "")</f>
        <v>2.5073746312684365E-2</v>
      </c>
      <c r="F153" s="18">
        <f>IF(ISNUMBER(D153), $B172 * E153, "")</f>
        <v>2507.3746312684366</v>
      </c>
      <c r="G153" s="31">
        <v>702</v>
      </c>
      <c r="H153" s="32">
        <f t="shared" ref="H153:H156" si="79">IF(ISNUMBER(G153), (G153 - $B153) / $B153, "")</f>
        <v>3.5398230088495575E-2</v>
      </c>
      <c r="I153" s="101">
        <f>IF(ISNUMBER(G153), $B172 * H153, "")</f>
        <v>3539.8230088495575</v>
      </c>
      <c r="J153" s="15">
        <v>707</v>
      </c>
      <c r="K153" s="32">
        <f t="shared" ref="K153:K156" si="80">IF(ISNUMBER(J153), (J153 - $B153) / $B153, "")</f>
        <v>4.2772861356932153E-2</v>
      </c>
      <c r="L153" s="18">
        <f>IF(ISNUMBER(J153), $B172 * K153, "")</f>
        <v>4277.2861356932153</v>
      </c>
      <c r="M153" s="31">
        <v>705</v>
      </c>
      <c r="N153" s="32">
        <f t="shared" ref="N153:N156" si="81">IF(ISNUMBER(M153), (M153 - $B153) / $B153, "")</f>
        <v>3.9823008849557522E-2</v>
      </c>
      <c r="O153" s="18">
        <f>IF(ISNUMBER(M153), $B172 * N153, "")</f>
        <v>3982.3008849557523</v>
      </c>
      <c r="Q153" s="226"/>
      <c r="R153" s="226"/>
      <c r="S153" s="226"/>
    </row>
    <row r="154" spans="1:19" ht="17.25" thickBot="1">
      <c r="A154" s="125" t="s">
        <v>138</v>
      </c>
      <c r="B154" s="126">
        <v>423</v>
      </c>
      <c r="C154" s="77">
        <v>-5.5803571400000002E-2</v>
      </c>
      <c r="D154" s="15">
        <v>419</v>
      </c>
      <c r="E154" s="32">
        <f t="shared" si="78"/>
        <v>-9.4562647754137114E-3</v>
      </c>
      <c r="F154" s="18">
        <f>IF(ISNUMBER(D154), $B172 * E154, "")</f>
        <v>-945.62647754137117</v>
      </c>
      <c r="G154" s="31">
        <v>424</v>
      </c>
      <c r="H154" s="32">
        <f t="shared" si="79"/>
        <v>2.3640661938534278E-3</v>
      </c>
      <c r="I154" s="101">
        <f>IF(ISNUMBER(G154), $B172 * H154, "")</f>
        <v>236.40661938534279</v>
      </c>
      <c r="J154" s="15">
        <v>424</v>
      </c>
      <c r="K154" s="32">
        <f t="shared" si="80"/>
        <v>2.3640661938534278E-3</v>
      </c>
      <c r="L154" s="18">
        <f>IF(ISNUMBER(J154), $B172 * K154, "")</f>
        <v>236.40661938534279</v>
      </c>
      <c r="M154" s="31">
        <v>433</v>
      </c>
      <c r="N154" s="32">
        <f t="shared" si="81"/>
        <v>2.3640661938534278E-2</v>
      </c>
      <c r="O154" s="18">
        <f>IF(ISNUMBER(M154), $B172 * N154, "")</f>
        <v>2364.0661938534276</v>
      </c>
      <c r="Q154" s="216"/>
      <c r="R154" s="216"/>
      <c r="S154" s="216"/>
    </row>
    <row r="155" spans="1:19" ht="17.25" thickBot="1">
      <c r="A155" s="125" t="s">
        <v>212</v>
      </c>
      <c r="B155" s="126">
        <v>924</v>
      </c>
      <c r="C155" s="77">
        <v>-6.3829787200000002E-2</v>
      </c>
      <c r="D155" s="15">
        <v>972</v>
      </c>
      <c r="E155" s="32">
        <f t="shared" si="78"/>
        <v>5.1948051948051951E-2</v>
      </c>
      <c r="F155" s="18">
        <f>IF(ISNUMBER(D155), $B172 * E155, "")</f>
        <v>5194.8051948051952</v>
      </c>
      <c r="G155" s="31">
        <v>964</v>
      </c>
      <c r="H155" s="32">
        <f t="shared" si="79"/>
        <v>4.3290043290043288E-2</v>
      </c>
      <c r="I155" s="101">
        <f>IF(ISNUMBER(G155), $B172 * H155, "")</f>
        <v>4329.0043290043286</v>
      </c>
      <c r="J155" s="15">
        <v>960</v>
      </c>
      <c r="K155" s="32">
        <f t="shared" si="80"/>
        <v>3.896103896103896E-2</v>
      </c>
      <c r="L155" s="18">
        <f>IF(ISNUMBER(J155), $B172 * K155, "")</f>
        <v>3896.1038961038962</v>
      </c>
      <c r="M155" s="31">
        <v>966</v>
      </c>
      <c r="N155" s="32">
        <f t="shared" si="81"/>
        <v>4.5454545454545456E-2</v>
      </c>
      <c r="O155" s="18">
        <f>IF(ISNUMBER(M155), $B172 * N155, "")</f>
        <v>4545.454545454546</v>
      </c>
      <c r="Q155" s="216"/>
      <c r="R155" s="216"/>
      <c r="S155" s="216"/>
    </row>
    <row r="156" spans="1:19" ht="17.25" thickBot="1">
      <c r="A156" s="127" t="s">
        <v>184</v>
      </c>
      <c r="B156" s="128">
        <v>805</v>
      </c>
      <c r="C156" s="78">
        <v>-6.7207416000000006E-2</v>
      </c>
      <c r="D156" s="20">
        <v>807</v>
      </c>
      <c r="E156" s="21">
        <f t="shared" si="78"/>
        <v>2.4844720496894411E-3</v>
      </c>
      <c r="F156" s="22">
        <f>IF(ISNUMBER(D156), $B172 * E156, "")</f>
        <v>248.44720496894411</v>
      </c>
      <c r="G156" s="30">
        <v>824</v>
      </c>
      <c r="H156" s="21">
        <f t="shared" si="79"/>
        <v>2.3602484472049691E-2</v>
      </c>
      <c r="I156" s="105">
        <f>IF(ISNUMBER(G156), $B172 * H156, "")</f>
        <v>2360.2484472049691</v>
      </c>
      <c r="J156" s="20">
        <v>828</v>
      </c>
      <c r="K156" s="21">
        <f t="shared" si="80"/>
        <v>2.8571428571428571E-2</v>
      </c>
      <c r="L156" s="22">
        <f>IF(ISNUMBER(J156), $B172 * K156, "")</f>
        <v>2857.1428571428569</v>
      </c>
      <c r="M156" s="30">
        <v>844</v>
      </c>
      <c r="N156" s="21">
        <f t="shared" si="81"/>
        <v>4.8447204968944099E-2</v>
      </c>
      <c r="O156" s="22">
        <f>IF(ISNUMBER(M156), $B172 * N156, "")</f>
        <v>4844.7204968944097</v>
      </c>
      <c r="Q156" s="216"/>
      <c r="R156" s="216"/>
      <c r="S156" s="216"/>
    </row>
    <row r="157" spans="1:19" ht="17.25" thickBot="1">
      <c r="A157" s="125" t="s">
        <v>194</v>
      </c>
      <c r="B157" s="129">
        <v>119</v>
      </c>
      <c r="C157" s="80">
        <v>-7.03125E-2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119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121</v>
      </c>
      <c r="K157" s="107">
        <f>IF(ISNUMBER(J157), (J157 - $B157) / $B157, "")</f>
        <v>1.680672268907563E-2</v>
      </c>
      <c r="L157" s="108">
        <f>IF(ISNUMBER(J157), $B172 * K157, "")</f>
        <v>1680.672268907563</v>
      </c>
      <c r="M157" s="109">
        <v>124</v>
      </c>
      <c r="N157" s="107">
        <f>IF(ISNUMBER(M157), (M157 - $B157) / $B157, "")</f>
        <v>4.2016806722689079E-2</v>
      </c>
      <c r="O157" s="108">
        <f>IF(ISNUMBER(M157), $B172 * N157, "")</f>
        <v>4201.680672268908</v>
      </c>
      <c r="Q157" s="216"/>
      <c r="R157" s="216"/>
      <c r="S157" s="216"/>
    </row>
    <row r="158" spans="1:19" ht="17.25" thickBot="1">
      <c r="A158" s="125" t="s">
        <v>110</v>
      </c>
      <c r="B158" s="126">
        <v>103</v>
      </c>
      <c r="C158" s="77">
        <v>-8.0357142899999998E-2</v>
      </c>
      <c r="D158" s="15">
        <v>111</v>
      </c>
      <c r="E158" s="32">
        <f t="shared" ref="E158:E161" si="82">IF(ISNUMBER(D158), (D158 - $B158) / $B158, "")</f>
        <v>7.7669902912621352E-2</v>
      </c>
      <c r="F158" s="18">
        <f>IF(ISNUMBER(D158), $B172 * E158, "")</f>
        <v>7766.9902912621355</v>
      </c>
      <c r="G158" s="31">
        <v>117</v>
      </c>
      <c r="H158" s="32">
        <f t="shared" ref="H158:H161" si="83">IF(ISNUMBER(G158), (G158 - $B158) / $B158, "")</f>
        <v>0.13592233009708737</v>
      </c>
      <c r="I158" s="101">
        <f>IF(ISNUMBER(G158), $B172 * H158, "")</f>
        <v>13592.233009708738</v>
      </c>
      <c r="J158" s="15">
        <v>117</v>
      </c>
      <c r="K158" s="32">
        <f t="shared" ref="K158:K161" si="84">IF(ISNUMBER(J158), (J158 - $B158) / $B158, "")</f>
        <v>0.13592233009708737</v>
      </c>
      <c r="L158" s="18">
        <f>IF(ISNUMBER(J158), $B172 * K158, "")</f>
        <v>13592.233009708738</v>
      </c>
      <c r="M158" s="31">
        <v>121</v>
      </c>
      <c r="N158" s="32">
        <f t="shared" ref="N158:N161" si="85">IF(ISNUMBER(M158), (M158 - $B158) / $B158, "")</f>
        <v>0.17475728155339806</v>
      </c>
      <c r="O158" s="18">
        <f>IF(ISNUMBER(M158), $B172 * N158, "")</f>
        <v>17475.728155339806</v>
      </c>
      <c r="Q158" s="216"/>
      <c r="R158" s="216"/>
      <c r="S158" s="216"/>
    </row>
    <row r="159" spans="1:19" ht="17.25" thickBot="1">
      <c r="A159" s="125" t="s">
        <v>243</v>
      </c>
      <c r="B159" s="126">
        <v>332</v>
      </c>
      <c r="C159" s="77">
        <v>-8.2872928200000001E-2</v>
      </c>
      <c r="D159" s="15">
        <v>330</v>
      </c>
      <c r="E159" s="32">
        <f t="shared" si="82"/>
        <v>-6.024096385542169E-3</v>
      </c>
      <c r="F159" s="18">
        <f>IF(ISNUMBER(D159), $B172 * E159, "")</f>
        <v>-602.40963855421694</v>
      </c>
      <c r="G159" s="31">
        <v>334</v>
      </c>
      <c r="H159" s="32">
        <f t="shared" si="83"/>
        <v>6.024096385542169E-3</v>
      </c>
      <c r="I159" s="101">
        <f>IF(ISNUMBER(G159), $B172 * H159, "")</f>
        <v>602.40963855421694</v>
      </c>
      <c r="J159" s="15">
        <v>336</v>
      </c>
      <c r="K159" s="32">
        <f t="shared" si="84"/>
        <v>1.2048192771084338E-2</v>
      </c>
      <c r="L159" s="18">
        <f>IF(ISNUMBER(J159), $B172 * K159, "")</f>
        <v>1204.8192771084339</v>
      </c>
      <c r="M159" s="31">
        <v>340</v>
      </c>
      <c r="N159" s="32">
        <f t="shared" si="85"/>
        <v>2.4096385542168676E-2</v>
      </c>
      <c r="O159" s="18">
        <f>IF(ISNUMBER(M159), $B172 * N159, "")</f>
        <v>2409.6385542168678</v>
      </c>
      <c r="Q159" s="216"/>
      <c r="R159" s="216"/>
      <c r="S159" s="216"/>
    </row>
    <row r="160" spans="1:19" ht="17.25" thickBot="1">
      <c r="A160" s="125" t="s">
        <v>231</v>
      </c>
      <c r="B160" s="126">
        <v>132</v>
      </c>
      <c r="C160" s="77">
        <v>-8.3333333300000006E-2</v>
      </c>
      <c r="D160" s="15">
        <v>132</v>
      </c>
      <c r="E160" s="32">
        <f t="shared" si="82"/>
        <v>0</v>
      </c>
      <c r="F160" s="18">
        <f>IF(ISNUMBER(D160), $B172 * E160, "")</f>
        <v>0</v>
      </c>
      <c r="G160" s="31">
        <v>134</v>
      </c>
      <c r="H160" s="32">
        <f t="shared" si="83"/>
        <v>1.5151515151515152E-2</v>
      </c>
      <c r="I160" s="101">
        <f>IF(ISNUMBER(G160), $B172 * H160, "")</f>
        <v>1515.1515151515152</v>
      </c>
      <c r="J160" s="15">
        <v>135</v>
      </c>
      <c r="K160" s="32">
        <f t="shared" si="84"/>
        <v>2.2727272727272728E-2</v>
      </c>
      <c r="L160" s="18">
        <f>IF(ISNUMBER(J160), $B172 * K160, "")</f>
        <v>2272.727272727273</v>
      </c>
      <c r="M160" s="31">
        <v>137</v>
      </c>
      <c r="N160" s="32">
        <f t="shared" si="85"/>
        <v>3.787878787878788E-2</v>
      </c>
      <c r="O160" s="18">
        <f>IF(ISNUMBER(M160), $B172 * N160, "")</f>
        <v>3787.878787878788</v>
      </c>
      <c r="Q160" s="33"/>
      <c r="R160" s="33"/>
    </row>
    <row r="161" spans="1:19" ht="17.25" thickBot="1">
      <c r="A161" s="130" t="s">
        <v>214</v>
      </c>
      <c r="B161" s="131">
        <v>204</v>
      </c>
      <c r="C161" s="79">
        <v>-8.9285714299999999E-2</v>
      </c>
      <c r="D161" s="24">
        <v>225</v>
      </c>
      <c r="E161" s="25">
        <f t="shared" si="82"/>
        <v>0.10294117647058823</v>
      </c>
      <c r="F161" s="104">
        <f>IF(ISNUMBER(D161), $B172 * E161, "")</f>
        <v>10294.117647058823</v>
      </c>
      <c r="G161" s="102">
        <v>227</v>
      </c>
      <c r="H161" s="25">
        <f t="shared" si="83"/>
        <v>0.11274509803921569</v>
      </c>
      <c r="I161" s="103">
        <f>IF(ISNUMBER(G161), $B172 * H161, "")</f>
        <v>11274.509803921568</v>
      </c>
      <c r="J161" s="24">
        <v>228</v>
      </c>
      <c r="K161" s="25">
        <f t="shared" si="84"/>
        <v>0.11764705882352941</v>
      </c>
      <c r="L161" s="104">
        <f>IF(ISNUMBER(J161), $B172 * K161, "")</f>
        <v>11764.705882352941</v>
      </c>
      <c r="M161" s="102">
        <v>228</v>
      </c>
      <c r="N161" s="25">
        <f t="shared" si="85"/>
        <v>0.11764705882352941</v>
      </c>
      <c r="O161" s="104">
        <f>IF(ISNUMBER(M161), $B172 * N161, "")</f>
        <v>11764.705882352941</v>
      </c>
      <c r="Q161" s="217"/>
      <c r="R161" s="218"/>
      <c r="S161" s="219"/>
    </row>
    <row r="162" spans="1:19">
      <c r="A162" s="123" t="s">
        <v>114</v>
      </c>
      <c r="B162" s="124">
        <v>270</v>
      </c>
      <c r="C162" s="76">
        <v>-9.0909090900000003E-2</v>
      </c>
      <c r="D162" s="13">
        <v>280</v>
      </c>
      <c r="E162" s="14">
        <f>IF(ISNUMBER(D162), (D162 - $B162) / $B162, "")</f>
        <v>3.7037037037037035E-2</v>
      </c>
      <c r="F162" s="16">
        <f>IF(ISNUMBER(D162), $B172 * E162, "")</f>
        <v>3703.7037037037035</v>
      </c>
      <c r="G162" s="29">
        <v>295</v>
      </c>
      <c r="H162" s="14">
        <f>IF(ISNUMBER(G162), (G162 - $B162) / $B162, "")</f>
        <v>9.2592592592592587E-2</v>
      </c>
      <c r="I162" s="100">
        <f>IF(ISNUMBER(G162), $B172 * H162, "")</f>
        <v>9259.2592592592591</v>
      </c>
      <c r="J162" s="13">
        <v>300</v>
      </c>
      <c r="K162" s="14">
        <f>IF(ISNUMBER(J162), (J162 - $B162) / $B162, "")</f>
        <v>0.1111111111111111</v>
      </c>
      <c r="L162" s="16">
        <f>IF(ISNUMBER(J162), $B172 * K162, "")</f>
        <v>11111.111111111111</v>
      </c>
      <c r="M162" s="29">
        <v>309</v>
      </c>
      <c r="N162" s="14">
        <f>IF(ISNUMBER(M162), (M162 - $B162) / $B162, "")</f>
        <v>0.14444444444444443</v>
      </c>
      <c r="O162" s="16">
        <f>IF(ISNUMBER(M162), $B172 * N162, "")</f>
        <v>14444.444444444443</v>
      </c>
      <c r="Q162" s="220"/>
      <c r="R162" s="221"/>
      <c r="S162" s="222"/>
    </row>
    <row r="163" spans="1:19" ht="17.25" thickBot="1">
      <c r="A163" s="125" t="s">
        <v>164</v>
      </c>
      <c r="B163" s="126">
        <v>229</v>
      </c>
      <c r="C163" s="77">
        <v>-9.1269841300000001E-2</v>
      </c>
      <c r="D163" s="15">
        <v>236</v>
      </c>
      <c r="E163" s="32">
        <f t="shared" ref="E163:E166" si="86">IF(ISNUMBER(D163), (D163 - $B163) / $B163, "")</f>
        <v>3.0567685589519649E-2</v>
      </c>
      <c r="F163" s="18">
        <f>IF(ISNUMBER(D163), $B172 * E163, "")</f>
        <v>3056.7685589519651</v>
      </c>
      <c r="G163" s="31">
        <v>236</v>
      </c>
      <c r="H163" s="32">
        <f t="shared" ref="H163:H166" si="87">IF(ISNUMBER(G163), (G163 - $B163) / $B163, "")</f>
        <v>3.0567685589519649E-2</v>
      </c>
      <c r="I163" s="101">
        <f>IF(ISNUMBER(G163), $B172 * H163, "")</f>
        <v>3056.7685589519651</v>
      </c>
      <c r="J163" s="15">
        <v>236</v>
      </c>
      <c r="K163" s="32">
        <f t="shared" ref="K163:K166" si="88">IF(ISNUMBER(J163), (J163 - $B163) / $B163, "")</f>
        <v>3.0567685589519649E-2</v>
      </c>
      <c r="L163" s="18">
        <f>IF(ISNUMBER(J163), $B172 * K163, "")</f>
        <v>3056.7685589519651</v>
      </c>
      <c r="M163" s="31">
        <v>237</v>
      </c>
      <c r="N163" s="32">
        <f t="shared" ref="N163:N166" si="89">IF(ISNUMBER(M163), (M163 - $B163) / $B163, "")</f>
        <v>3.4934497816593885E-2</v>
      </c>
      <c r="O163" s="18">
        <f>IF(ISNUMBER(M163), $B172 * N163, "")</f>
        <v>3493.4497816593885</v>
      </c>
      <c r="Q163" s="223"/>
      <c r="R163" s="224"/>
      <c r="S163" s="225"/>
    </row>
    <row r="164" spans="1:19" ht="17.25" thickBot="1">
      <c r="A164" s="125" t="s">
        <v>54</v>
      </c>
      <c r="B164" s="126">
        <v>225</v>
      </c>
      <c r="C164" s="77">
        <v>-9.2741935499999997E-2</v>
      </c>
      <c r="D164" s="15">
        <v>220</v>
      </c>
      <c r="E164" s="32">
        <f t="shared" si="86"/>
        <v>-2.2222222222222223E-2</v>
      </c>
      <c r="F164" s="18">
        <f>IF(ISNUMBER(D164), $B172 * E164, "")</f>
        <v>-2222.2222222222222</v>
      </c>
      <c r="G164" s="31">
        <v>224</v>
      </c>
      <c r="H164" s="32">
        <f t="shared" si="87"/>
        <v>-4.4444444444444444E-3</v>
      </c>
      <c r="I164" s="101">
        <f>IF(ISNUMBER(G164), $B172 * H164, "")</f>
        <v>-444.44444444444446</v>
      </c>
      <c r="J164" s="15">
        <v>224</v>
      </c>
      <c r="K164" s="32">
        <f t="shared" si="88"/>
        <v>-4.4444444444444444E-3</v>
      </c>
      <c r="L164" s="18">
        <f>IF(ISNUMBER(J164), $B172 * K164, "")</f>
        <v>-444.44444444444446</v>
      </c>
      <c r="M164" s="31">
        <v>226</v>
      </c>
      <c r="N164" s="32">
        <f t="shared" si="89"/>
        <v>4.4444444444444444E-3</v>
      </c>
      <c r="O164" s="18">
        <f>IF(ISNUMBER(M164), $B172 * N164, "")</f>
        <v>444.44444444444446</v>
      </c>
      <c r="Q164" s="216"/>
      <c r="R164" s="216"/>
      <c r="S164" s="216"/>
    </row>
    <row r="165" spans="1:19" ht="17.25" thickBot="1">
      <c r="A165" s="125" t="s">
        <v>233</v>
      </c>
      <c r="B165" s="126">
        <v>356</v>
      </c>
      <c r="C165" s="77">
        <v>-0.1274509804</v>
      </c>
      <c r="D165" s="15">
        <v>433</v>
      </c>
      <c r="E165" s="32">
        <f t="shared" si="86"/>
        <v>0.21629213483146068</v>
      </c>
      <c r="F165" s="18">
        <f>IF(ISNUMBER(D165), $B172 * E165, "")</f>
        <v>21629.213483146068</v>
      </c>
      <c r="G165" s="31">
        <v>417</v>
      </c>
      <c r="H165" s="32">
        <f t="shared" si="87"/>
        <v>0.17134831460674158</v>
      </c>
      <c r="I165" s="101">
        <f>IF(ISNUMBER(G165), $B172 * H165, "")</f>
        <v>17134.831460674159</v>
      </c>
      <c r="J165" s="15">
        <v>402</v>
      </c>
      <c r="K165" s="32">
        <f t="shared" si="88"/>
        <v>0.12921348314606743</v>
      </c>
      <c r="L165" s="18">
        <f>IF(ISNUMBER(J165), $B172 * K165, "")</f>
        <v>12921.348314606743</v>
      </c>
      <c r="M165" s="31">
        <v>396</v>
      </c>
      <c r="N165" s="32">
        <f t="shared" si="89"/>
        <v>0.11235955056179775</v>
      </c>
      <c r="O165" s="18">
        <f>IF(ISNUMBER(M165), $B172 * N165, "")</f>
        <v>11235.955056179775</v>
      </c>
      <c r="Q165" s="226"/>
      <c r="R165" s="226"/>
      <c r="S165" s="226"/>
    </row>
    <row r="166" spans="1:19" ht="17.25" thickBot="1">
      <c r="A166" s="127" t="s">
        <v>206</v>
      </c>
      <c r="B166" s="128">
        <v>211</v>
      </c>
      <c r="C166" s="78">
        <v>-0.1280991736</v>
      </c>
      <c r="D166" s="20">
        <v>213</v>
      </c>
      <c r="E166" s="21">
        <f t="shared" si="86"/>
        <v>9.4786729857819912E-3</v>
      </c>
      <c r="F166" s="22">
        <f>IF(ISNUMBER(D166), $B172 * E166, "")</f>
        <v>947.8672985781991</v>
      </c>
      <c r="G166" s="30">
        <v>220</v>
      </c>
      <c r="H166" s="21">
        <f t="shared" si="87"/>
        <v>4.2654028436018961E-2</v>
      </c>
      <c r="I166" s="105">
        <f>IF(ISNUMBER(G166), $B172 * H166, "")</f>
        <v>4265.4028436018962</v>
      </c>
      <c r="J166" s="20">
        <v>222</v>
      </c>
      <c r="K166" s="21">
        <f t="shared" si="88"/>
        <v>5.2132701421800945E-2</v>
      </c>
      <c r="L166" s="22">
        <f>IF(ISNUMBER(J166), $B172 * K166, "")</f>
        <v>5213.2701421800948</v>
      </c>
      <c r="M166" s="30">
        <v>223</v>
      </c>
      <c r="N166" s="21">
        <f t="shared" si="89"/>
        <v>5.6872037914691941E-2</v>
      </c>
      <c r="O166" s="22">
        <f>IF(ISNUMBER(M166), $B172 * N166, "")</f>
        <v>5687.2037914691937</v>
      </c>
      <c r="Q166" s="226"/>
      <c r="R166" s="226"/>
      <c r="S166" s="226"/>
    </row>
    <row r="167" spans="1:19" ht="17.25" thickBot="1">
      <c r="A167" s="125" t="s">
        <v>255</v>
      </c>
      <c r="B167" s="129">
        <v>188</v>
      </c>
      <c r="C167" s="80">
        <v>-0.12962962959999999</v>
      </c>
      <c r="D167" s="106">
        <v>194</v>
      </c>
      <c r="E167" s="107">
        <f>IF(ISNUMBER(D167), (D167 - $B167) / $B167, "")</f>
        <v>3.1914893617021274E-2</v>
      </c>
      <c r="F167" s="108">
        <f>IF(ISNUMBER(D167), $B172 * E167, "")</f>
        <v>3191.4893617021276</v>
      </c>
      <c r="G167" s="109">
        <v>193</v>
      </c>
      <c r="H167" s="107">
        <f>IF(ISNUMBER(G167), (G167 - $B167) / $B167, "")</f>
        <v>2.6595744680851064E-2</v>
      </c>
      <c r="I167" s="110">
        <f>IF(ISNUMBER(G167), $B172 * H167, "")</f>
        <v>2659.5744680851062</v>
      </c>
      <c r="J167" s="106">
        <v>191</v>
      </c>
      <c r="K167" s="107">
        <f>IF(ISNUMBER(J167), (J167 - $B167) / $B167, "")</f>
        <v>1.5957446808510637E-2</v>
      </c>
      <c r="L167" s="108">
        <f>IF(ISNUMBER(J167), $B172 * K167, "")</f>
        <v>1595.7446808510638</v>
      </c>
      <c r="M167" s="109">
        <v>192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216"/>
      <c r="R167" s="216"/>
      <c r="S167" s="216"/>
    </row>
    <row r="168" spans="1:19" ht="17.25" thickBot="1">
      <c r="A168" s="125" t="s">
        <v>192</v>
      </c>
      <c r="B168" s="126">
        <v>179</v>
      </c>
      <c r="C168" s="77">
        <v>-0.1394230769</v>
      </c>
      <c r="D168" s="15">
        <v>196</v>
      </c>
      <c r="E168" s="32">
        <f t="shared" ref="E168:E171" si="90">IF(ISNUMBER(D168), (D168 - $B168) / $B168, "")</f>
        <v>9.4972067039106142E-2</v>
      </c>
      <c r="F168" s="18">
        <f>IF(ISNUMBER(D168), $B172 * E168, "")</f>
        <v>9497.206703910615</v>
      </c>
      <c r="G168" s="31">
        <v>195</v>
      </c>
      <c r="H168" s="32">
        <f t="shared" ref="H168:H171" si="91">IF(ISNUMBER(G168), (G168 - $B168) / $B168, "")</f>
        <v>8.9385474860335198E-2</v>
      </c>
      <c r="I168" s="101">
        <f>IF(ISNUMBER(G168), $B172 * H168, "")</f>
        <v>8938.5474860335198</v>
      </c>
      <c r="J168" s="15">
        <v>196</v>
      </c>
      <c r="K168" s="32">
        <f t="shared" ref="K168:K171" si="92">IF(ISNUMBER(J168), (J168 - $B168) / $B168, "")</f>
        <v>9.4972067039106142E-2</v>
      </c>
      <c r="L168" s="18">
        <f>IF(ISNUMBER(J168), $B172 * K168, "")</f>
        <v>9497.206703910615</v>
      </c>
      <c r="M168" s="31">
        <v>196</v>
      </c>
      <c r="N168" s="32">
        <f t="shared" ref="N168:N171" si="93">IF(ISNUMBER(M168), (M168 - $B168) / $B168, "")</f>
        <v>9.4972067039106142E-2</v>
      </c>
      <c r="O168" s="18">
        <f>IF(ISNUMBER(M168), $B172 * N168, "")</f>
        <v>9497.206703910615</v>
      </c>
      <c r="Q168" s="216"/>
      <c r="R168" s="216"/>
      <c r="S168" s="216"/>
    </row>
    <row r="169" spans="1:19" ht="17.25" thickBot="1">
      <c r="A169" s="125" t="s">
        <v>228</v>
      </c>
      <c r="B169" s="126">
        <v>256</v>
      </c>
      <c r="C169" s="77">
        <v>-0.14950166109999999</v>
      </c>
      <c r="D169" s="15">
        <v>339</v>
      </c>
      <c r="E169" s="32">
        <f t="shared" si="90"/>
        <v>0.32421875</v>
      </c>
      <c r="F169" s="18">
        <f>IF(ISNUMBER(D169), $B172 * E169, "")</f>
        <v>32421.875</v>
      </c>
      <c r="G169" s="31">
        <v>327</v>
      </c>
      <c r="H169" s="32">
        <f t="shared" si="91"/>
        <v>0.27734375</v>
      </c>
      <c r="I169" s="101">
        <f>IF(ISNUMBER(G169), $B172 * H169, "")</f>
        <v>27734.375</v>
      </c>
      <c r="J169" s="15">
        <v>328</v>
      </c>
      <c r="K169" s="32">
        <f t="shared" si="92"/>
        <v>0.28125</v>
      </c>
      <c r="L169" s="18">
        <f>IF(ISNUMBER(J169), $B172 * K169, "")</f>
        <v>28125</v>
      </c>
      <c r="M169" s="31">
        <v>320</v>
      </c>
      <c r="N169" s="32">
        <f t="shared" si="93"/>
        <v>0.25</v>
      </c>
      <c r="O169" s="18">
        <f>IF(ISNUMBER(M169), $B172 * N169, "")</f>
        <v>25000</v>
      </c>
      <c r="Q169" s="216"/>
      <c r="R169" s="216"/>
      <c r="S169" s="216"/>
    </row>
    <row r="170" spans="1:19">
      <c r="A170" s="125" t="s">
        <v>174</v>
      </c>
      <c r="B170" s="126">
        <v>240</v>
      </c>
      <c r="C170" s="77">
        <v>-0.29203539820000002</v>
      </c>
      <c r="D170" s="15">
        <v>230</v>
      </c>
      <c r="E170" s="32">
        <f t="shared" si="90"/>
        <v>-4.1666666666666664E-2</v>
      </c>
      <c r="F170" s="18">
        <f>IF(ISNUMBER(D170), $B172 * E170, "")</f>
        <v>-4166.6666666666661</v>
      </c>
      <c r="G170" s="31">
        <v>236</v>
      </c>
      <c r="H170" s="32">
        <f t="shared" si="91"/>
        <v>-1.6666666666666666E-2</v>
      </c>
      <c r="I170" s="101">
        <f>IF(ISNUMBER(G170), $B172 * H170, "")</f>
        <v>-1666.6666666666667</v>
      </c>
      <c r="J170" s="15">
        <v>236</v>
      </c>
      <c r="K170" s="32">
        <f t="shared" si="92"/>
        <v>-1.6666666666666666E-2</v>
      </c>
      <c r="L170" s="18">
        <f>IF(ISNUMBER(J170), $B172 * K170, "")</f>
        <v>-1666.6666666666667</v>
      </c>
      <c r="M170" s="31">
        <v>242</v>
      </c>
      <c r="N170" s="32">
        <f t="shared" si="93"/>
        <v>8.3333333333333332E-3</v>
      </c>
      <c r="O170" s="18">
        <f>IF(ISNUMBER(M170), $B172 * N170, "")</f>
        <v>833.33333333333337</v>
      </c>
      <c r="Q170" s="205"/>
      <c r="R170" s="206"/>
      <c r="S170" s="207"/>
    </row>
    <row r="171" spans="1:19" ht="17.25" thickBot="1">
      <c r="A171" s="130" t="s">
        <v>229</v>
      </c>
      <c r="B171" s="131">
        <v>189</v>
      </c>
      <c r="C171" s="79">
        <v>-0.50263157889999999</v>
      </c>
      <c r="D171" s="24" t="s">
        <v>330</v>
      </c>
      <c r="E171" s="25" t="str">
        <f t="shared" si="90"/>
        <v/>
      </c>
      <c r="F171" s="104" t="str">
        <f>IF(ISNUMBER(D171), $B172 * E171, "")</f>
        <v/>
      </c>
      <c r="G171" s="102" t="s">
        <v>330</v>
      </c>
      <c r="H171" s="25" t="str">
        <f t="shared" si="91"/>
        <v/>
      </c>
      <c r="I171" s="103" t="str">
        <f>IF(ISNUMBER(G171), $B172 * H171, "")</f>
        <v/>
      </c>
      <c r="J171" s="24" t="s">
        <v>330</v>
      </c>
      <c r="K171" s="25" t="str">
        <f t="shared" si="92"/>
        <v/>
      </c>
      <c r="L171" s="104" t="str">
        <f>IF(ISNUMBER(J171), $B172 * K171, "")</f>
        <v/>
      </c>
      <c r="M171" s="102" t="s">
        <v>330</v>
      </c>
      <c r="N171" s="25" t="str">
        <f t="shared" si="93"/>
        <v/>
      </c>
      <c r="O171" s="104" t="str">
        <f>IF(ISNUMBER(M171), $B172 * N171, "")</f>
        <v/>
      </c>
      <c r="Q171" s="208"/>
      <c r="R171" s="209"/>
      <c r="S171" s="210"/>
    </row>
    <row r="172" spans="1:19" ht="17.25" thickBot="1">
      <c r="A172" s="132" t="s">
        <v>271</v>
      </c>
      <c r="B172" s="269">
        <f>$B$37</f>
        <v>100000</v>
      </c>
      <c r="C172" s="270"/>
      <c r="D172" s="26" t="s">
        <v>272</v>
      </c>
      <c r="E172" s="27">
        <f>IF(COUNT(E152:E171), SUM(E152:E171) / COUNT(E152:E171), 0)</f>
        <v>4.8499894603165013E-2</v>
      </c>
      <c r="F172" s="28">
        <f>SUM(F152:F171)</f>
        <v>92149.799746013523</v>
      </c>
      <c r="G172" s="26" t="s">
        <v>272</v>
      </c>
      <c r="H172" s="27">
        <f>IF(COUNT(H152:H171), SUM(H152:H171) / COUNT(H152:H171), 0)</f>
        <v>5.8027950515297938E-2</v>
      </c>
      <c r="I172" s="28">
        <f>SUM(I152:I171)</f>
        <v>110253.10597906608</v>
      </c>
      <c r="J172" s="26" t="s">
        <v>272</v>
      </c>
      <c r="K172" s="27">
        <f>IF(COUNT(K152:K171), SUM(K152:K171) / COUNT(K152:K171), 0)</f>
        <v>5.930735417529661E-2</v>
      </c>
      <c r="L172" s="28">
        <f>SUM(L152:L171)</f>
        <v>112683.97293306356</v>
      </c>
      <c r="M172" s="26" t="s">
        <v>272</v>
      </c>
      <c r="N172" s="27">
        <f>IF(COUNT(N152:N171), SUM(N152:N171) / COUNT(N152:N171), 0)</f>
        <v>6.9013129436837059E-2</v>
      </c>
      <c r="O172" s="28">
        <f>SUM(O152:O171)</f>
        <v>131124.94592999038</v>
      </c>
      <c r="Q172" s="211"/>
      <c r="R172" s="212"/>
      <c r="S172" s="213"/>
    </row>
    <row r="174" spans="1:19" ht="17.25" thickBot="1"/>
    <row r="175" spans="1:19" ht="17.25" thickBot="1">
      <c r="A175" s="227" t="s">
        <v>256</v>
      </c>
      <c r="B175" s="228"/>
      <c r="C175" s="228"/>
      <c r="D175" s="228"/>
      <c r="E175" s="228"/>
      <c r="F175" s="228"/>
      <c r="G175" s="228"/>
      <c r="H175" s="228"/>
      <c r="I175" s="228"/>
      <c r="J175" s="228"/>
      <c r="K175" s="228"/>
      <c r="L175" s="228"/>
      <c r="M175" s="228"/>
      <c r="N175" s="228"/>
      <c r="O175" s="229"/>
      <c r="Q175" s="226"/>
      <c r="R175" s="226"/>
      <c r="S175" s="226"/>
    </row>
    <row r="176" spans="1:19" ht="17.25" thickBot="1">
      <c r="A176" s="165" t="s">
        <v>268</v>
      </c>
      <c r="B176" s="227" t="s">
        <v>49</v>
      </c>
      <c r="C176" s="229"/>
      <c r="D176" s="227" t="s">
        <v>58</v>
      </c>
      <c r="E176" s="228"/>
      <c r="F176" s="229"/>
      <c r="G176" s="230">
        <f>_xlfn.IFNA(VLOOKUP(B176, 현재가테이블!$B$2:$D$200, 2, FALSE), "-")</f>
        <v>39916000</v>
      </c>
      <c r="H176" s="231"/>
      <c r="I176" s="232"/>
      <c r="J176" s="227" t="s">
        <v>59</v>
      </c>
      <c r="K176" s="228"/>
      <c r="L176" s="229"/>
      <c r="M176" s="233">
        <f>_xlfn.IFNA(VLOOKUP(B176, 현재가테이블!$B$2:$D$200, 3, FALSE), "-")</f>
        <v>7.3184273000000003E-3</v>
      </c>
      <c r="N176" s="234"/>
      <c r="O176" s="235"/>
      <c r="Q176" s="226"/>
      <c r="R176" s="226"/>
      <c r="S176" s="226"/>
    </row>
    <row r="177" spans="1:19" ht="17.25" thickBot="1">
      <c r="A177" s="271" t="s">
        <v>55</v>
      </c>
      <c r="B177" s="267" t="str">
        <f>TEXT($G$1, "[$-ko-KR]yyyy-mm-dd(ddd) ") &amp; "오전 00:00"</f>
        <v>2021-07-03(토) 오전 00:00</v>
      </c>
      <c r="C177" s="268"/>
      <c r="D177" s="240" t="str">
        <f>TEXT($G$1, "[$-ko-KR]yyyy-mm-dd(ddd) ") &amp; "오후 14:00"</f>
        <v>2021-07-03(토) 오후 14:00</v>
      </c>
      <c r="E177" s="241"/>
      <c r="F177" s="242"/>
      <c r="G177" s="240" t="str">
        <f>TEXT($G$1, "[$-ko-KR]yyyy-mm-dd(ddd) ") &amp; "오후 19:00"</f>
        <v>2021-07-03(토) 오후 19:00</v>
      </c>
      <c r="H177" s="241"/>
      <c r="I177" s="242"/>
      <c r="J177" s="240" t="str">
        <f>TEXT($G$1, "[$-ko-KR]yyyy-mm-dd(ddd) ") &amp; "오후 21:00"</f>
        <v>2021-07-03(토) 오후 21:00</v>
      </c>
      <c r="K177" s="241"/>
      <c r="L177" s="242"/>
      <c r="M177" s="240" t="str">
        <f>TEXT($G$1+1, "[$-ko-KR]yyyy-mm-dd(ddd) ") &amp; "오전 00:00"</f>
        <v>2021-07-04(일) 오전 00:00</v>
      </c>
      <c r="N177" s="241"/>
      <c r="O177" s="242"/>
      <c r="Q177" s="226"/>
      <c r="R177" s="226"/>
      <c r="S177" s="226"/>
    </row>
    <row r="178" spans="1:19" ht="17.25" thickBot="1">
      <c r="A178" s="27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6" t="s">
        <v>58</v>
      </c>
      <c r="H178" s="167" t="s">
        <v>269</v>
      </c>
      <c r="I178" s="16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6"/>
      <c r="R178" s="216"/>
      <c r="S178" s="216"/>
    </row>
    <row r="179" spans="1:19" ht="17.25" thickBot="1">
      <c r="A179" s="123" t="s">
        <v>247</v>
      </c>
      <c r="B179" s="124">
        <v>6600</v>
      </c>
      <c r="C179" s="76">
        <v>-5.9829059800000001E-2</v>
      </c>
      <c r="D179" s="13">
        <v>7030</v>
      </c>
      <c r="E179" s="14">
        <f>IF(ISNUMBER(D179), (D179 - $B179) / $B179, "")</f>
        <v>6.5151515151515155E-2</v>
      </c>
      <c r="F179" s="16">
        <f>IF(ISNUMBER(D179), $B199 * E179, "")</f>
        <v>6515.1515151515159</v>
      </c>
      <c r="G179" s="29">
        <v>7040</v>
      </c>
      <c r="H179" s="14">
        <f>IF(ISNUMBER(G179), (G179 - $B179) / $B179, "")</f>
        <v>6.6666666666666666E-2</v>
      </c>
      <c r="I179" s="100">
        <f>IF(ISNUMBER(G179), $B199 * H179, "")</f>
        <v>6666.666666666667</v>
      </c>
      <c r="J179" s="13">
        <v>7030</v>
      </c>
      <c r="K179" s="14">
        <f>IF(ISNUMBER(J179), (J179 - $B179) / $B179, "")</f>
        <v>6.5151515151515155E-2</v>
      </c>
      <c r="L179" s="16">
        <f>IF(ISNUMBER(J179), $B199 * K179, "")</f>
        <v>6515.1515151515159</v>
      </c>
      <c r="M179" s="29">
        <v>7025</v>
      </c>
      <c r="N179" s="14">
        <f>IF(ISNUMBER(M179), (M179 - $B179) / $B179, "")</f>
        <v>6.4393939393939392E-2</v>
      </c>
      <c r="O179" s="16">
        <f>IF(ISNUMBER(M179), $B199 * N179, "")</f>
        <v>6439.393939393939</v>
      </c>
      <c r="Q179" s="226"/>
      <c r="R179" s="226"/>
      <c r="S179" s="226"/>
    </row>
    <row r="180" spans="1:19" ht="17.25" thickBot="1">
      <c r="A180" s="125" t="s">
        <v>249</v>
      </c>
      <c r="B180" s="126">
        <v>1835</v>
      </c>
      <c r="C180" s="77">
        <v>-6.1381074200000003E-2</v>
      </c>
      <c r="D180" s="15">
        <v>2015</v>
      </c>
      <c r="E180" s="32">
        <f t="shared" ref="E180:E183" si="94">IF(ISNUMBER(D180), (D180 - $B180) / $B180, "")</f>
        <v>9.8092643051771122E-2</v>
      </c>
      <c r="F180" s="18">
        <f>IF(ISNUMBER(D180), $B199 * E180, "")</f>
        <v>9809.264305177112</v>
      </c>
      <c r="G180" s="31">
        <v>2020</v>
      </c>
      <c r="H180" s="32">
        <f t="shared" ref="H180:H183" si="95">IF(ISNUMBER(G180), (G180 - $B180) / $B180, "")</f>
        <v>0.1008174386920981</v>
      </c>
      <c r="I180" s="101">
        <f>IF(ISNUMBER(G180), $B199 * H180, "")</f>
        <v>10081.743869209809</v>
      </c>
      <c r="J180" s="15">
        <v>2015</v>
      </c>
      <c r="K180" s="32">
        <f t="shared" ref="K180:K183" si="96">IF(ISNUMBER(J180), (J180 - $B180) / $B180, "")</f>
        <v>9.8092643051771122E-2</v>
      </c>
      <c r="L180" s="18">
        <f>IF(ISNUMBER(J180), $B199 * K180, "")</f>
        <v>9809.264305177112</v>
      </c>
      <c r="M180" s="31">
        <v>2010</v>
      </c>
      <c r="N180" s="32">
        <f t="shared" ref="N180:N183" si="97">IF(ISNUMBER(M180), (M180 - $B180) / $B180, "")</f>
        <v>9.5367847411444148E-2</v>
      </c>
      <c r="O180" s="18">
        <f>IF(ISNUMBER(M180), $B199 * N180, "")</f>
        <v>9536.7847411444145</v>
      </c>
      <c r="Q180" s="226"/>
      <c r="R180" s="226"/>
      <c r="S180" s="226"/>
    </row>
    <row r="181" spans="1:19" ht="17.25" thickBot="1">
      <c r="A181" s="125" t="s">
        <v>212</v>
      </c>
      <c r="B181" s="126">
        <v>924</v>
      </c>
      <c r="C181" s="77">
        <v>-6.3829787200000002E-2</v>
      </c>
      <c r="D181" s="15">
        <v>972</v>
      </c>
      <c r="E181" s="32">
        <f t="shared" si="94"/>
        <v>5.1948051948051951E-2</v>
      </c>
      <c r="F181" s="18">
        <f>IF(ISNUMBER(D181), $B199 * E181, "")</f>
        <v>5194.8051948051952</v>
      </c>
      <c r="G181" s="31">
        <v>964</v>
      </c>
      <c r="H181" s="32">
        <f t="shared" si="95"/>
        <v>4.3290043290043288E-2</v>
      </c>
      <c r="I181" s="101">
        <f>IF(ISNUMBER(G181), $B199 * H181, "")</f>
        <v>4329.0043290043286</v>
      </c>
      <c r="J181" s="15">
        <v>960</v>
      </c>
      <c r="K181" s="32">
        <f t="shared" si="96"/>
        <v>3.896103896103896E-2</v>
      </c>
      <c r="L181" s="18">
        <f>IF(ISNUMBER(J181), $B199 * K181, "")</f>
        <v>3896.1038961038962</v>
      </c>
      <c r="M181" s="31">
        <v>966</v>
      </c>
      <c r="N181" s="32">
        <f t="shared" si="97"/>
        <v>4.5454545454545456E-2</v>
      </c>
      <c r="O181" s="18">
        <f>IF(ISNUMBER(M181), $B199 * N181, "")</f>
        <v>4545.454545454546</v>
      </c>
      <c r="Q181" s="216"/>
      <c r="R181" s="216"/>
      <c r="S181" s="216"/>
    </row>
    <row r="182" spans="1:19" ht="17.25" thickBot="1">
      <c r="A182" s="125" t="s">
        <v>67</v>
      </c>
      <c r="B182" s="126">
        <v>3030</v>
      </c>
      <c r="C182" s="77">
        <v>-6.4814814799999995E-2</v>
      </c>
      <c r="D182" s="15">
        <v>3525</v>
      </c>
      <c r="E182" s="32">
        <f t="shared" si="94"/>
        <v>0.16336633663366337</v>
      </c>
      <c r="F182" s="18">
        <f>IF(ISNUMBER(D182), $B199 * E182, "")</f>
        <v>16336.633663366338</v>
      </c>
      <c r="G182" s="31">
        <v>3495</v>
      </c>
      <c r="H182" s="32">
        <f t="shared" si="95"/>
        <v>0.15346534653465346</v>
      </c>
      <c r="I182" s="101">
        <f>IF(ISNUMBER(G182), $B199 * H182, "")</f>
        <v>15346.534653465345</v>
      </c>
      <c r="J182" s="15">
        <v>3515</v>
      </c>
      <c r="K182" s="32">
        <f t="shared" si="96"/>
        <v>0.16006600660066006</v>
      </c>
      <c r="L182" s="18">
        <f>IF(ISNUMBER(J182), $B199 * K182, "")</f>
        <v>16006.600660066006</v>
      </c>
      <c r="M182" s="31">
        <v>3465</v>
      </c>
      <c r="N182" s="32">
        <f t="shared" si="97"/>
        <v>0.14356435643564355</v>
      </c>
      <c r="O182" s="18">
        <f>IF(ISNUMBER(M182), $B199 * N182, "")</f>
        <v>14356.435643564355</v>
      </c>
      <c r="Q182" s="216"/>
      <c r="R182" s="216"/>
      <c r="S182" s="216"/>
    </row>
    <row r="183" spans="1:19" ht="17.25" thickBot="1">
      <c r="A183" s="127" t="s">
        <v>184</v>
      </c>
      <c r="B183" s="128">
        <v>805</v>
      </c>
      <c r="C183" s="78">
        <v>-6.7207416000000006E-2</v>
      </c>
      <c r="D183" s="20">
        <v>807</v>
      </c>
      <c r="E183" s="21">
        <f t="shared" si="94"/>
        <v>2.4844720496894411E-3</v>
      </c>
      <c r="F183" s="22">
        <f>IF(ISNUMBER(D183), $B199 * E183, "")</f>
        <v>248.44720496894411</v>
      </c>
      <c r="G183" s="30">
        <v>824</v>
      </c>
      <c r="H183" s="21">
        <f t="shared" si="95"/>
        <v>2.3602484472049691E-2</v>
      </c>
      <c r="I183" s="105">
        <f>IF(ISNUMBER(G183), $B199 * H183, "")</f>
        <v>2360.2484472049691</v>
      </c>
      <c r="J183" s="20">
        <v>828</v>
      </c>
      <c r="K183" s="21">
        <f t="shared" si="96"/>
        <v>2.8571428571428571E-2</v>
      </c>
      <c r="L183" s="22">
        <f>IF(ISNUMBER(J183), $B199 * K183, "")</f>
        <v>2857.1428571428569</v>
      </c>
      <c r="M183" s="30">
        <v>844</v>
      </c>
      <c r="N183" s="21">
        <f t="shared" si="97"/>
        <v>4.8447204968944099E-2</v>
      </c>
      <c r="O183" s="22">
        <f>IF(ISNUMBER(M183), $B199 * N183, "")</f>
        <v>4844.7204968944097</v>
      </c>
      <c r="Q183" s="216"/>
      <c r="R183" s="216"/>
      <c r="S183" s="216"/>
    </row>
    <row r="184" spans="1:19" ht="17.25" thickBot="1">
      <c r="A184" s="125" t="s">
        <v>194</v>
      </c>
      <c r="B184" s="129">
        <v>119</v>
      </c>
      <c r="C184" s="80">
        <v>-7.03125E-2</v>
      </c>
      <c r="D184" s="106">
        <v>119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119</v>
      </c>
      <c r="H184" s="107">
        <f>IF(ISNUMBER(G184), (G184 - $B184) / $B184, "")</f>
        <v>0</v>
      </c>
      <c r="I184" s="110">
        <f>IF(ISNUMBER(G184), $B199 * H184, "")</f>
        <v>0</v>
      </c>
      <c r="J184" s="106">
        <v>121</v>
      </c>
      <c r="K184" s="107">
        <f>IF(ISNUMBER(J184), (J184 - $B184) / $B184, "")</f>
        <v>1.680672268907563E-2</v>
      </c>
      <c r="L184" s="108">
        <f>IF(ISNUMBER(J184), $B199 * K184, "")</f>
        <v>1680.672268907563</v>
      </c>
      <c r="M184" s="109">
        <v>124</v>
      </c>
      <c r="N184" s="107">
        <f>IF(ISNUMBER(M184), (M184 - $B184) / $B184, "")</f>
        <v>4.2016806722689079E-2</v>
      </c>
      <c r="O184" s="108">
        <f>IF(ISNUMBER(M184), $B199 * N184, "")</f>
        <v>4201.680672268908</v>
      </c>
      <c r="Q184" s="216"/>
      <c r="R184" s="216"/>
      <c r="S184" s="216"/>
    </row>
    <row r="185" spans="1:19" ht="17.25" thickBot="1">
      <c r="A185" s="125" t="s">
        <v>110</v>
      </c>
      <c r="B185" s="126">
        <v>103</v>
      </c>
      <c r="C185" s="77">
        <v>-8.0357142899999998E-2</v>
      </c>
      <c r="D185" s="15">
        <v>111</v>
      </c>
      <c r="E185" s="32">
        <f t="shared" ref="E185:E188" si="98">IF(ISNUMBER(D185), (D185 - $B185) / $B185, "")</f>
        <v>7.7669902912621352E-2</v>
      </c>
      <c r="F185" s="18">
        <f>IF(ISNUMBER(D185), $B199 * E185, "")</f>
        <v>7766.9902912621355</v>
      </c>
      <c r="G185" s="31">
        <v>117</v>
      </c>
      <c r="H185" s="32">
        <f t="shared" ref="H185:H188" si="99">IF(ISNUMBER(G185), (G185 - $B185) / $B185, "")</f>
        <v>0.13592233009708737</v>
      </c>
      <c r="I185" s="101">
        <f>IF(ISNUMBER(G185), $B199 * H185, "")</f>
        <v>13592.233009708738</v>
      </c>
      <c r="J185" s="15">
        <v>117</v>
      </c>
      <c r="K185" s="32">
        <f t="shared" ref="K185:K188" si="100">IF(ISNUMBER(J185), (J185 - $B185) / $B185, "")</f>
        <v>0.13592233009708737</v>
      </c>
      <c r="L185" s="18">
        <f>IF(ISNUMBER(J185), $B199 * K185, "")</f>
        <v>13592.233009708738</v>
      </c>
      <c r="M185" s="31">
        <v>121</v>
      </c>
      <c r="N185" s="32">
        <f t="shared" ref="N185:N188" si="101">IF(ISNUMBER(M185), (M185 - $B185) / $B185, "")</f>
        <v>0.17475728155339806</v>
      </c>
      <c r="O185" s="18">
        <f>IF(ISNUMBER(M185), $B199 * N185, "")</f>
        <v>17475.728155339806</v>
      </c>
      <c r="Q185" s="216"/>
      <c r="R185" s="216"/>
      <c r="S185" s="216"/>
    </row>
    <row r="186" spans="1:19" ht="17.25" thickBot="1">
      <c r="A186" s="125" t="s">
        <v>243</v>
      </c>
      <c r="B186" s="126">
        <v>332</v>
      </c>
      <c r="C186" s="77">
        <v>-8.2872928200000001E-2</v>
      </c>
      <c r="D186" s="15">
        <v>330</v>
      </c>
      <c r="E186" s="32">
        <f t="shared" si="98"/>
        <v>-6.024096385542169E-3</v>
      </c>
      <c r="F186" s="18">
        <f>IF(ISNUMBER(D186), $B199 * E186, "")</f>
        <v>-602.40963855421694</v>
      </c>
      <c r="G186" s="31">
        <v>334</v>
      </c>
      <c r="H186" s="32">
        <f t="shared" si="99"/>
        <v>6.024096385542169E-3</v>
      </c>
      <c r="I186" s="101">
        <f>IF(ISNUMBER(G186), $B199 * H186, "")</f>
        <v>602.40963855421694</v>
      </c>
      <c r="J186" s="15">
        <v>336</v>
      </c>
      <c r="K186" s="32">
        <f t="shared" si="100"/>
        <v>1.2048192771084338E-2</v>
      </c>
      <c r="L186" s="18">
        <f>IF(ISNUMBER(J186), $B199 * K186, "")</f>
        <v>1204.8192771084339</v>
      </c>
      <c r="M186" s="31">
        <v>340</v>
      </c>
      <c r="N186" s="32">
        <f t="shared" si="101"/>
        <v>2.4096385542168676E-2</v>
      </c>
      <c r="O186" s="18">
        <f>IF(ISNUMBER(M186), $B199 * N186, "")</f>
        <v>2409.6385542168678</v>
      </c>
      <c r="Q186" s="216"/>
      <c r="R186" s="216"/>
      <c r="S186" s="216"/>
    </row>
    <row r="187" spans="1:19" ht="17.25" thickBot="1">
      <c r="A187" s="125" t="s">
        <v>231</v>
      </c>
      <c r="B187" s="126">
        <v>132</v>
      </c>
      <c r="C187" s="77">
        <v>-8.3333333300000006E-2</v>
      </c>
      <c r="D187" s="15">
        <v>132</v>
      </c>
      <c r="E187" s="32">
        <f t="shared" si="98"/>
        <v>0</v>
      </c>
      <c r="F187" s="18">
        <f>IF(ISNUMBER(D187), $B199 * E187, "")</f>
        <v>0</v>
      </c>
      <c r="G187" s="31">
        <v>134</v>
      </c>
      <c r="H187" s="32">
        <f t="shared" si="99"/>
        <v>1.5151515151515152E-2</v>
      </c>
      <c r="I187" s="101">
        <f>IF(ISNUMBER(G187), $B199 * H187, "")</f>
        <v>1515.1515151515152</v>
      </c>
      <c r="J187" s="15">
        <v>135</v>
      </c>
      <c r="K187" s="32">
        <f t="shared" si="100"/>
        <v>2.2727272727272728E-2</v>
      </c>
      <c r="L187" s="18">
        <f>IF(ISNUMBER(J187), $B199 * K187, "")</f>
        <v>2272.727272727273</v>
      </c>
      <c r="M187" s="31">
        <v>137</v>
      </c>
      <c r="N187" s="32">
        <f t="shared" si="101"/>
        <v>3.787878787878788E-2</v>
      </c>
      <c r="O187" s="18">
        <f>IF(ISNUMBER(M187), $B199 * N187, "")</f>
        <v>3787.878787878788</v>
      </c>
      <c r="Q187" s="33"/>
      <c r="R187" s="33"/>
    </row>
    <row r="188" spans="1:19" ht="17.25" thickBot="1">
      <c r="A188" s="130" t="s">
        <v>214</v>
      </c>
      <c r="B188" s="131">
        <v>204</v>
      </c>
      <c r="C188" s="79">
        <v>-8.9285714299999999E-2</v>
      </c>
      <c r="D188" s="24">
        <v>225</v>
      </c>
      <c r="E188" s="25">
        <f t="shared" si="98"/>
        <v>0.10294117647058823</v>
      </c>
      <c r="F188" s="104">
        <f>IF(ISNUMBER(D188), $B199 * E188, "")</f>
        <v>10294.117647058823</v>
      </c>
      <c r="G188" s="102">
        <v>227</v>
      </c>
      <c r="H188" s="25">
        <f t="shared" si="99"/>
        <v>0.11274509803921569</v>
      </c>
      <c r="I188" s="103">
        <f>IF(ISNUMBER(G188), $B199 * H188, "")</f>
        <v>11274.509803921568</v>
      </c>
      <c r="J188" s="24">
        <v>228</v>
      </c>
      <c r="K188" s="25">
        <f t="shared" si="100"/>
        <v>0.11764705882352941</v>
      </c>
      <c r="L188" s="104">
        <f>IF(ISNUMBER(J188), $B199 * K188, "")</f>
        <v>11764.705882352941</v>
      </c>
      <c r="M188" s="102">
        <v>228</v>
      </c>
      <c r="N188" s="25">
        <f t="shared" si="101"/>
        <v>0.11764705882352941</v>
      </c>
      <c r="O188" s="104">
        <f>IF(ISNUMBER(M188), $B199 * N188, "")</f>
        <v>11764.705882352941</v>
      </c>
      <c r="Q188" s="217"/>
      <c r="R188" s="218"/>
      <c r="S188" s="219"/>
    </row>
    <row r="189" spans="1:19">
      <c r="A189" s="123" t="s">
        <v>114</v>
      </c>
      <c r="B189" s="124">
        <v>270</v>
      </c>
      <c r="C189" s="76">
        <v>-9.0909090900000003E-2</v>
      </c>
      <c r="D189" s="13">
        <v>280</v>
      </c>
      <c r="E189" s="14">
        <f>IF(ISNUMBER(D189), (D189 - $B189) / $B189, "")</f>
        <v>3.7037037037037035E-2</v>
      </c>
      <c r="F189" s="16">
        <f>IF(ISNUMBER(D189), $B199 * E189, "")</f>
        <v>3703.7037037037035</v>
      </c>
      <c r="G189" s="29">
        <v>295</v>
      </c>
      <c r="H189" s="14">
        <f>IF(ISNUMBER(G189), (G189 - $B189) / $B189, "")</f>
        <v>9.2592592592592587E-2</v>
      </c>
      <c r="I189" s="100">
        <f>IF(ISNUMBER(G189), $B199 * H189, "")</f>
        <v>9259.2592592592591</v>
      </c>
      <c r="J189" s="13">
        <v>300</v>
      </c>
      <c r="K189" s="14">
        <f>IF(ISNUMBER(J189), (J189 - $B189) / $B189, "")</f>
        <v>0.1111111111111111</v>
      </c>
      <c r="L189" s="16">
        <f>IF(ISNUMBER(J189), $B199 * K189, "")</f>
        <v>11111.111111111111</v>
      </c>
      <c r="M189" s="29">
        <v>309</v>
      </c>
      <c r="N189" s="14">
        <f>IF(ISNUMBER(M189), (M189 - $B189) / $B189, "")</f>
        <v>0.14444444444444443</v>
      </c>
      <c r="O189" s="16">
        <f>IF(ISNUMBER(M189), $B199 * N189, "")</f>
        <v>14444.444444444443</v>
      </c>
      <c r="Q189" s="220"/>
      <c r="R189" s="221"/>
      <c r="S189" s="222"/>
    </row>
    <row r="190" spans="1:19" ht="17.25" thickBot="1">
      <c r="A190" s="125" t="s">
        <v>164</v>
      </c>
      <c r="B190" s="126">
        <v>229</v>
      </c>
      <c r="C190" s="77">
        <v>-9.1269841300000001E-2</v>
      </c>
      <c r="D190" s="15">
        <v>236</v>
      </c>
      <c r="E190" s="32">
        <f t="shared" ref="E190:E193" si="102">IF(ISNUMBER(D190), (D190 - $B190) / $B190, "")</f>
        <v>3.0567685589519649E-2</v>
      </c>
      <c r="F190" s="18">
        <f>IF(ISNUMBER(D190), $B199 * E190, "")</f>
        <v>3056.7685589519651</v>
      </c>
      <c r="G190" s="31">
        <v>236</v>
      </c>
      <c r="H190" s="32">
        <f t="shared" ref="H190:H193" si="103">IF(ISNUMBER(G190), (G190 - $B190) / $B190, "")</f>
        <v>3.0567685589519649E-2</v>
      </c>
      <c r="I190" s="101">
        <f>IF(ISNUMBER(G190), $B199 * H190, "")</f>
        <v>3056.7685589519651</v>
      </c>
      <c r="J190" s="15">
        <v>236</v>
      </c>
      <c r="K190" s="32">
        <f t="shared" ref="K190:K193" si="104">IF(ISNUMBER(J190), (J190 - $B190) / $B190, "")</f>
        <v>3.0567685589519649E-2</v>
      </c>
      <c r="L190" s="18">
        <f>IF(ISNUMBER(J190), $B199 * K190, "")</f>
        <v>3056.7685589519651</v>
      </c>
      <c r="M190" s="31">
        <v>237</v>
      </c>
      <c r="N190" s="32">
        <f t="shared" ref="N190:N193" si="105">IF(ISNUMBER(M190), (M190 - $B190) / $B190, "")</f>
        <v>3.4934497816593885E-2</v>
      </c>
      <c r="O190" s="18">
        <f>IF(ISNUMBER(M190), $B199 * N190, "")</f>
        <v>3493.4497816593885</v>
      </c>
      <c r="Q190" s="223"/>
      <c r="R190" s="224"/>
      <c r="S190" s="225"/>
    </row>
    <row r="191" spans="1:19" ht="17.25" thickBot="1">
      <c r="A191" s="125" t="s">
        <v>54</v>
      </c>
      <c r="B191" s="126">
        <v>225</v>
      </c>
      <c r="C191" s="77">
        <v>-9.2741935499999997E-2</v>
      </c>
      <c r="D191" s="15">
        <v>220</v>
      </c>
      <c r="E191" s="32">
        <f t="shared" si="102"/>
        <v>-2.2222222222222223E-2</v>
      </c>
      <c r="F191" s="18">
        <f>IF(ISNUMBER(D191), $B199 * E191, "")</f>
        <v>-2222.2222222222222</v>
      </c>
      <c r="G191" s="31">
        <v>224</v>
      </c>
      <c r="H191" s="32">
        <f t="shared" si="103"/>
        <v>-4.4444444444444444E-3</v>
      </c>
      <c r="I191" s="101">
        <f>IF(ISNUMBER(G191), $B199 * H191, "")</f>
        <v>-444.44444444444446</v>
      </c>
      <c r="J191" s="15">
        <v>224</v>
      </c>
      <c r="K191" s="32">
        <f t="shared" si="104"/>
        <v>-4.4444444444444444E-3</v>
      </c>
      <c r="L191" s="18">
        <f>IF(ISNUMBER(J191), $B199 * K191, "")</f>
        <v>-444.44444444444446</v>
      </c>
      <c r="M191" s="31">
        <v>226</v>
      </c>
      <c r="N191" s="32">
        <f t="shared" si="105"/>
        <v>4.4444444444444444E-3</v>
      </c>
      <c r="O191" s="18">
        <f>IF(ISNUMBER(M191), $B199 * N191, "")</f>
        <v>444.44444444444446</v>
      </c>
      <c r="Q191" s="216"/>
      <c r="R191" s="216"/>
      <c r="S191" s="216"/>
    </row>
    <row r="192" spans="1:19" ht="17.25" thickBot="1">
      <c r="A192" s="125" t="s">
        <v>233</v>
      </c>
      <c r="B192" s="126">
        <v>356</v>
      </c>
      <c r="C192" s="77">
        <v>-0.1274509804</v>
      </c>
      <c r="D192" s="15">
        <v>433</v>
      </c>
      <c r="E192" s="32">
        <f t="shared" si="102"/>
        <v>0.21629213483146068</v>
      </c>
      <c r="F192" s="18">
        <f>IF(ISNUMBER(D192), $B199 * E192, "")</f>
        <v>21629.213483146068</v>
      </c>
      <c r="G192" s="31">
        <v>417</v>
      </c>
      <c r="H192" s="32">
        <f t="shared" si="103"/>
        <v>0.17134831460674158</v>
      </c>
      <c r="I192" s="101">
        <f>IF(ISNUMBER(G192), $B199 * H192, "")</f>
        <v>17134.831460674159</v>
      </c>
      <c r="J192" s="15">
        <v>402</v>
      </c>
      <c r="K192" s="32">
        <f t="shared" si="104"/>
        <v>0.12921348314606743</v>
      </c>
      <c r="L192" s="18">
        <f>IF(ISNUMBER(J192), $B199 * K192, "")</f>
        <v>12921.348314606743</v>
      </c>
      <c r="M192" s="31">
        <v>396</v>
      </c>
      <c r="N192" s="32">
        <f t="shared" si="105"/>
        <v>0.11235955056179775</v>
      </c>
      <c r="O192" s="18">
        <f>IF(ISNUMBER(M192), $B199 * N192, "")</f>
        <v>11235.955056179775</v>
      </c>
      <c r="Q192" s="226"/>
      <c r="R192" s="226"/>
      <c r="S192" s="226"/>
    </row>
    <row r="193" spans="1:19" ht="17.25" thickBot="1">
      <c r="A193" s="127" t="s">
        <v>206</v>
      </c>
      <c r="B193" s="128">
        <v>211</v>
      </c>
      <c r="C193" s="78">
        <v>-0.1280991736</v>
      </c>
      <c r="D193" s="20">
        <v>213</v>
      </c>
      <c r="E193" s="21">
        <f t="shared" si="102"/>
        <v>9.4786729857819912E-3</v>
      </c>
      <c r="F193" s="22">
        <f>IF(ISNUMBER(D193), $B199 * E193, "")</f>
        <v>947.8672985781991</v>
      </c>
      <c r="G193" s="30">
        <v>220</v>
      </c>
      <c r="H193" s="21">
        <f t="shared" si="103"/>
        <v>4.2654028436018961E-2</v>
      </c>
      <c r="I193" s="105">
        <f>IF(ISNUMBER(G193), $B199 * H193, "")</f>
        <v>4265.4028436018962</v>
      </c>
      <c r="J193" s="20">
        <v>222</v>
      </c>
      <c r="K193" s="21">
        <f t="shared" si="104"/>
        <v>5.2132701421800945E-2</v>
      </c>
      <c r="L193" s="22">
        <f>IF(ISNUMBER(J193), $B199 * K193, "")</f>
        <v>5213.2701421800948</v>
      </c>
      <c r="M193" s="30">
        <v>223</v>
      </c>
      <c r="N193" s="21">
        <f t="shared" si="105"/>
        <v>5.6872037914691941E-2</v>
      </c>
      <c r="O193" s="22">
        <f>IF(ISNUMBER(M193), $B199 * N193, "")</f>
        <v>5687.2037914691937</v>
      </c>
      <c r="Q193" s="226"/>
      <c r="R193" s="226"/>
      <c r="S193" s="226"/>
    </row>
    <row r="194" spans="1:19" ht="17.25" thickBot="1">
      <c r="A194" s="125" t="s">
        <v>255</v>
      </c>
      <c r="B194" s="129">
        <v>188</v>
      </c>
      <c r="C194" s="80">
        <v>-0.12962962959999999</v>
      </c>
      <c r="D194" s="106">
        <v>194</v>
      </c>
      <c r="E194" s="107">
        <f>IF(ISNUMBER(D194), (D194 - $B194) / $B194, "")</f>
        <v>3.1914893617021274E-2</v>
      </c>
      <c r="F194" s="108">
        <f>IF(ISNUMBER(D194), $B199 * E194, "")</f>
        <v>3191.4893617021276</v>
      </c>
      <c r="G194" s="109">
        <v>193</v>
      </c>
      <c r="H194" s="107">
        <f>IF(ISNUMBER(G194), (G194 - $B194) / $B194, "")</f>
        <v>2.6595744680851064E-2</v>
      </c>
      <c r="I194" s="110">
        <f>IF(ISNUMBER(G194), $B199 * H194, "")</f>
        <v>2659.5744680851062</v>
      </c>
      <c r="J194" s="106">
        <v>191</v>
      </c>
      <c r="K194" s="107">
        <f>IF(ISNUMBER(J194), (J194 - $B194) / $B194, "")</f>
        <v>1.5957446808510637E-2</v>
      </c>
      <c r="L194" s="108">
        <f>IF(ISNUMBER(J194), $B199 * K194, "")</f>
        <v>1595.7446808510638</v>
      </c>
      <c r="M194" s="109">
        <v>192</v>
      </c>
      <c r="N194" s="107">
        <f>IF(ISNUMBER(M194), (M194 - $B194) / $B194, "")</f>
        <v>2.1276595744680851E-2</v>
      </c>
      <c r="O194" s="108">
        <f>IF(ISNUMBER(M194), $B199 * N194, "")</f>
        <v>2127.6595744680849</v>
      </c>
      <c r="Q194" s="216"/>
      <c r="R194" s="216"/>
      <c r="S194" s="216"/>
    </row>
    <row r="195" spans="1:19" ht="17.25" thickBot="1">
      <c r="A195" s="125" t="s">
        <v>192</v>
      </c>
      <c r="B195" s="126">
        <v>179</v>
      </c>
      <c r="C195" s="77">
        <v>-0.1394230769</v>
      </c>
      <c r="D195" s="15">
        <v>196</v>
      </c>
      <c r="E195" s="32">
        <f t="shared" ref="E195:E198" si="106">IF(ISNUMBER(D195), (D195 - $B195) / $B195, "")</f>
        <v>9.4972067039106142E-2</v>
      </c>
      <c r="F195" s="18">
        <f>IF(ISNUMBER(D195), $B199 * E195, "")</f>
        <v>9497.206703910615</v>
      </c>
      <c r="G195" s="31">
        <v>195</v>
      </c>
      <c r="H195" s="32">
        <f t="shared" ref="H195:H198" si="107">IF(ISNUMBER(G195), (G195 - $B195) / $B195, "")</f>
        <v>8.9385474860335198E-2</v>
      </c>
      <c r="I195" s="101">
        <f>IF(ISNUMBER(G195), $B199 * H195, "")</f>
        <v>8938.5474860335198</v>
      </c>
      <c r="J195" s="15">
        <v>196</v>
      </c>
      <c r="K195" s="32">
        <f t="shared" ref="K195:K198" si="108">IF(ISNUMBER(J195), (J195 - $B195) / $B195, "")</f>
        <v>9.4972067039106142E-2</v>
      </c>
      <c r="L195" s="18">
        <f>IF(ISNUMBER(J195), $B199 * K195, "")</f>
        <v>9497.206703910615</v>
      </c>
      <c r="M195" s="31">
        <v>196</v>
      </c>
      <c r="N195" s="32">
        <f t="shared" ref="N195:N198" si="109">IF(ISNUMBER(M195), (M195 - $B195) / $B195, "")</f>
        <v>9.4972067039106142E-2</v>
      </c>
      <c r="O195" s="18">
        <f>IF(ISNUMBER(M195), $B199 * N195, "")</f>
        <v>9497.206703910615</v>
      </c>
      <c r="Q195" s="216"/>
      <c r="R195" s="216"/>
      <c r="S195" s="216"/>
    </row>
    <row r="196" spans="1:19" ht="17.25" thickBot="1">
      <c r="A196" s="125" t="s">
        <v>228</v>
      </c>
      <c r="B196" s="126">
        <v>256</v>
      </c>
      <c r="C196" s="77">
        <v>-0.14950166109999999</v>
      </c>
      <c r="D196" s="15">
        <v>339</v>
      </c>
      <c r="E196" s="32">
        <f t="shared" si="106"/>
        <v>0.32421875</v>
      </c>
      <c r="F196" s="18">
        <f>IF(ISNUMBER(D196), $B199 * E196, "")</f>
        <v>32421.875</v>
      </c>
      <c r="G196" s="31">
        <v>327</v>
      </c>
      <c r="H196" s="32">
        <f t="shared" si="107"/>
        <v>0.27734375</v>
      </c>
      <c r="I196" s="101">
        <f>IF(ISNUMBER(G196), $B199 * H196, "")</f>
        <v>27734.375</v>
      </c>
      <c r="J196" s="15">
        <v>328</v>
      </c>
      <c r="K196" s="32">
        <f t="shared" si="108"/>
        <v>0.28125</v>
      </c>
      <c r="L196" s="18">
        <f>IF(ISNUMBER(J196), $B199 * K196, "")</f>
        <v>28125</v>
      </c>
      <c r="M196" s="31">
        <v>320</v>
      </c>
      <c r="N196" s="32">
        <f t="shared" si="109"/>
        <v>0.25</v>
      </c>
      <c r="O196" s="18">
        <f>IF(ISNUMBER(M196), $B199 * N196, "")</f>
        <v>25000</v>
      </c>
      <c r="Q196" s="216"/>
      <c r="R196" s="216"/>
      <c r="S196" s="216"/>
    </row>
    <row r="197" spans="1:19">
      <c r="A197" s="125" t="s">
        <v>174</v>
      </c>
      <c r="B197" s="126">
        <v>240</v>
      </c>
      <c r="C197" s="77">
        <v>-0.29203539820000002</v>
      </c>
      <c r="D197" s="15">
        <v>230</v>
      </c>
      <c r="E197" s="32">
        <f t="shared" si="106"/>
        <v>-4.1666666666666664E-2</v>
      </c>
      <c r="F197" s="18">
        <f>IF(ISNUMBER(D197), $B199 * E197, "")</f>
        <v>-4166.6666666666661</v>
      </c>
      <c r="G197" s="31">
        <v>236</v>
      </c>
      <c r="H197" s="32">
        <f t="shared" si="107"/>
        <v>-1.6666666666666666E-2</v>
      </c>
      <c r="I197" s="101">
        <f>IF(ISNUMBER(G197), $B199 * H197, "")</f>
        <v>-1666.6666666666667</v>
      </c>
      <c r="J197" s="15">
        <v>236</v>
      </c>
      <c r="K197" s="32">
        <f t="shared" si="108"/>
        <v>-1.6666666666666666E-2</v>
      </c>
      <c r="L197" s="18">
        <f>IF(ISNUMBER(J197), $B199 * K197, "")</f>
        <v>-1666.6666666666667</v>
      </c>
      <c r="M197" s="31">
        <v>242</v>
      </c>
      <c r="N197" s="32">
        <f t="shared" si="109"/>
        <v>8.3333333333333332E-3</v>
      </c>
      <c r="O197" s="18">
        <f>IF(ISNUMBER(M197), $B199 * N197, "")</f>
        <v>833.33333333333337</v>
      </c>
      <c r="Q197" s="205"/>
      <c r="R197" s="206"/>
      <c r="S197" s="207"/>
    </row>
    <row r="198" spans="1:19" ht="17.25" thickBot="1">
      <c r="A198" s="130" t="s">
        <v>229</v>
      </c>
      <c r="B198" s="131">
        <v>189</v>
      </c>
      <c r="C198" s="79">
        <v>-0.50263157889999999</v>
      </c>
      <c r="D198" s="24" t="s">
        <v>330</v>
      </c>
      <c r="E198" s="25" t="str">
        <f t="shared" si="106"/>
        <v/>
      </c>
      <c r="F198" s="104" t="str">
        <f>IF(ISNUMBER(D198), $B199 * E198, "")</f>
        <v/>
      </c>
      <c r="G198" s="102" t="s">
        <v>330</v>
      </c>
      <c r="H198" s="25" t="str">
        <f t="shared" si="107"/>
        <v/>
      </c>
      <c r="I198" s="103" t="str">
        <f>IF(ISNUMBER(G198), $B199 * H198, "")</f>
        <v/>
      </c>
      <c r="J198" s="24" t="s">
        <v>330</v>
      </c>
      <c r="K198" s="25" t="str">
        <f t="shared" si="108"/>
        <v/>
      </c>
      <c r="L198" s="104" t="str">
        <f>IF(ISNUMBER(J198), $B199 * K198, "")</f>
        <v/>
      </c>
      <c r="M198" s="102" t="s">
        <v>330</v>
      </c>
      <c r="N198" s="25" t="str">
        <f t="shared" si="109"/>
        <v/>
      </c>
      <c r="O198" s="104" t="str">
        <f>IF(ISNUMBER(M198), $B199 * N198, "")</f>
        <v/>
      </c>
      <c r="Q198" s="208"/>
      <c r="R198" s="209"/>
      <c r="S198" s="210"/>
    </row>
    <row r="199" spans="1:19" ht="17.25" thickBot="1">
      <c r="A199" s="132" t="s">
        <v>271</v>
      </c>
      <c r="B199" s="269">
        <f>$B$37</f>
        <v>100000</v>
      </c>
      <c r="C199" s="270"/>
      <c r="D199" s="26" t="s">
        <v>272</v>
      </c>
      <c r="E199" s="27">
        <f>IF(COUNT(E179:E198), SUM(E179:E198) / COUNT(E179:E198), 0)</f>
        <v>6.5064334423336645E-2</v>
      </c>
      <c r="F199" s="28">
        <f>SUM(F179:F198)</f>
        <v>123622.23540433965</v>
      </c>
      <c r="G199" s="26" t="s">
        <v>272</v>
      </c>
      <c r="H199" s="27">
        <f>IF(COUNT(H179:H198), SUM(H179:H198) / COUNT(H179:H198), 0)</f>
        <v>7.1950605209674709E-2</v>
      </c>
      <c r="I199" s="28">
        <f>SUM(I179:I198)</f>
        <v>136706.14989838199</v>
      </c>
      <c r="J199" s="26" t="s">
        <v>272</v>
      </c>
      <c r="K199" s="27">
        <f>IF(COUNT(K179:K198), SUM(K179:K198) / COUNT(K179:K198), 0)</f>
        <v>7.3162504918393059E-2</v>
      </c>
      <c r="L199" s="28">
        <f>SUM(L179:L198)</f>
        <v>139008.75934494683</v>
      </c>
      <c r="M199" s="26" t="s">
        <v>272</v>
      </c>
      <c r="N199" s="27">
        <f>IF(COUNT(N179:N198), SUM(N179:N198) / COUNT(N179:N198), 0)</f>
        <v>8.0066378183378015E-2</v>
      </c>
      <c r="O199" s="28">
        <f>SUM(O179:O198)</f>
        <v>152126.11854841825</v>
      </c>
      <c r="Q199" s="211"/>
      <c r="R199" s="212"/>
      <c r="S199" s="2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DF62E-A775-4E7C-9BD1-CB31907AD5AD}">
  <sheetPr codeName="Sheet10"/>
  <dimension ref="A1:S199"/>
  <sheetViews>
    <sheetView topLeftCell="A36" zoomScaleNormal="100" workbookViewId="0">
      <selection activeCell="A40" sqref="A40:O6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7" t="s">
        <v>0</v>
      </c>
      <c r="B1" s="228"/>
      <c r="C1" s="228"/>
      <c r="D1" s="228"/>
      <c r="E1" s="228"/>
      <c r="F1" s="229"/>
      <c r="G1" s="258">
        <v>44381</v>
      </c>
      <c r="H1" s="259"/>
      <c r="I1" s="260"/>
      <c r="J1" s="227" t="s">
        <v>1</v>
      </c>
      <c r="K1" s="228"/>
      <c r="L1" s="228"/>
      <c r="M1" s="228"/>
      <c r="N1" s="228"/>
      <c r="O1" s="229"/>
      <c r="Q1" s="227" t="s">
        <v>2</v>
      </c>
      <c r="R1" s="229"/>
    </row>
    <row r="2" spans="1:19" ht="17.25" customHeight="1">
      <c r="A2" s="117" t="s">
        <v>3</v>
      </c>
      <c r="B2" s="261" t="s">
        <v>8</v>
      </c>
      <c r="C2" s="262"/>
      <c r="D2" s="262"/>
      <c r="E2" s="262"/>
      <c r="F2" s="263"/>
      <c r="G2" s="255" t="s">
        <v>46</v>
      </c>
      <c r="H2" s="256"/>
      <c r="I2" s="257"/>
      <c r="J2" s="1" t="s">
        <v>3</v>
      </c>
      <c r="K2" s="261" t="s">
        <v>321</v>
      </c>
      <c r="L2" s="262"/>
      <c r="M2" s="262"/>
      <c r="N2" s="262"/>
      <c r="O2" s="263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329</v>
      </c>
      <c r="C3" s="253"/>
      <c r="D3" s="253"/>
      <c r="E3" s="253"/>
      <c r="F3" s="254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55,877 KRW (2.79%)</v>
      </c>
      <c r="H3" s="249"/>
      <c r="I3" s="250"/>
      <c r="J3" s="4" t="s">
        <v>7</v>
      </c>
      <c r="K3" s="252" t="s">
        <v>322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55" t="s">
        <v>44</v>
      </c>
      <c r="H4" s="256"/>
      <c r="I4" s="257"/>
      <c r="J4" s="4" t="s">
        <v>11</v>
      </c>
      <c r="K4" s="252" t="s">
        <v>323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320</v>
      </c>
      <c r="C5" s="253"/>
      <c r="D5" s="253"/>
      <c r="E5" s="253"/>
      <c r="F5" s="254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129,628 KRW (6.48%)</v>
      </c>
      <c r="H5" s="249"/>
      <c r="I5" s="250"/>
      <c r="J5" s="4" t="s">
        <v>15</v>
      </c>
      <c r="K5" s="252" t="s">
        <v>324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55" t="s">
        <v>45</v>
      </c>
      <c r="H6" s="256"/>
      <c r="I6" s="257"/>
      <c r="J6" s="4" t="s">
        <v>18</v>
      </c>
      <c r="K6" s="252" t="s">
        <v>325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34,749 KRW (1.74%)</v>
      </c>
      <c r="H7" s="249"/>
      <c r="I7" s="250"/>
      <c r="J7" s="4" t="s">
        <v>21</v>
      </c>
      <c r="K7" s="252" t="s">
        <v>326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55" t="s">
        <v>256</v>
      </c>
      <c r="H8" s="256"/>
      <c r="I8" s="257"/>
      <c r="J8" s="4" t="s">
        <v>24</v>
      </c>
      <c r="K8" s="252"/>
      <c r="L8" s="253"/>
      <c r="M8" s="253"/>
      <c r="N8" s="253"/>
      <c r="O8" s="254"/>
      <c r="Q8" s="227" t="s">
        <v>27</v>
      </c>
      <c r="R8" s="229"/>
    </row>
    <row r="9" spans="1:19" ht="17.25" thickBot="1">
      <c r="A9" s="118" t="s">
        <v>28</v>
      </c>
      <c r="B9" s="252"/>
      <c r="C9" s="253"/>
      <c r="D9" s="253"/>
      <c r="E9" s="253"/>
      <c r="F9" s="254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86,647 KRW (4.33%)</v>
      </c>
      <c r="H9" s="249"/>
      <c r="I9" s="250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55" t="s">
        <v>47</v>
      </c>
      <c r="H10" s="256"/>
      <c r="I10" s="257"/>
      <c r="J10" s="4" t="s">
        <v>30</v>
      </c>
      <c r="K10" s="252" t="s">
        <v>327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45" t="s">
        <v>328</v>
      </c>
      <c r="C11" s="246"/>
      <c r="D11" s="246"/>
      <c r="E11" s="246"/>
      <c r="F11" s="247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45" t="s">
        <v>319</v>
      </c>
      <c r="L11" s="246"/>
      <c r="M11" s="246"/>
      <c r="N11" s="246"/>
      <c r="O11" s="247"/>
      <c r="Q11" s="65" t="s">
        <v>33</v>
      </c>
      <c r="R11" s="8">
        <v>1000</v>
      </c>
    </row>
    <row r="12" spans="1:19" ht="17.25" thickBot="1"/>
    <row r="13" spans="1:19" ht="17.25" customHeight="1" thickBot="1">
      <c r="A13" s="227" t="s">
        <v>331</v>
      </c>
      <c r="B13" s="228"/>
      <c r="C13" s="228"/>
      <c r="D13" s="228"/>
      <c r="E13" s="228"/>
      <c r="F13" s="228"/>
      <c r="G13" s="228"/>
      <c r="H13" s="228"/>
      <c r="I13" s="228"/>
      <c r="J13" s="228"/>
      <c r="K13" s="228"/>
      <c r="L13" s="228"/>
      <c r="M13" s="228"/>
      <c r="N13" s="228"/>
      <c r="O13" s="229"/>
      <c r="Q13" s="226"/>
      <c r="R13" s="226"/>
      <c r="S13" s="226"/>
    </row>
    <row r="14" spans="1:19" ht="17.25" customHeight="1" thickBot="1">
      <c r="A14" s="169" t="s">
        <v>35</v>
      </c>
      <c r="B14" s="227" t="s">
        <v>36</v>
      </c>
      <c r="C14" s="229"/>
      <c r="D14" s="227" t="s">
        <v>37</v>
      </c>
      <c r="E14" s="228"/>
      <c r="F14" s="229"/>
      <c r="G14" s="230">
        <f>_xlfn.IFNA(VLOOKUP(B14, 현재가테이블!$B$2:$D$200, 2, FALSE), "-")</f>
        <v>39916000</v>
      </c>
      <c r="H14" s="231"/>
      <c r="I14" s="232"/>
      <c r="J14" s="227" t="s">
        <v>38</v>
      </c>
      <c r="K14" s="228"/>
      <c r="L14" s="229"/>
      <c r="M14" s="233">
        <f>_xlfn.IFNA(VLOOKUP(B14, 현재가테이블!$B$2:$D$200, 3, FALSE), "-")</f>
        <v>7.3184273000000003E-3</v>
      </c>
      <c r="N14" s="234"/>
      <c r="O14" s="235"/>
      <c r="Q14" s="226"/>
      <c r="R14" s="226"/>
      <c r="S14" s="226"/>
    </row>
    <row r="15" spans="1:19" ht="17.25" customHeight="1" thickBot="1">
      <c r="A15" s="264" t="s">
        <v>39</v>
      </c>
      <c r="B15" s="265" t="str">
        <f>TEXT($G$1, "[$-ko-KR]yyyy-mm-dd(ddd) ") &amp; "오전 00:00"</f>
        <v>2021-07-04(일) 오전 00:00</v>
      </c>
      <c r="C15" s="266"/>
      <c r="D15" s="240" t="str">
        <f>TEXT($G$1, "[$-ko-KR]yyyy-mm-dd(ddd) ") &amp; "오후 14:00"</f>
        <v>2021-07-04(일) 오후 14:00</v>
      </c>
      <c r="E15" s="241"/>
      <c r="F15" s="242"/>
      <c r="G15" s="240" t="str">
        <f>TEXT($G$1, "[$-ko-KR]yyyy-mm-dd(ddd) ") &amp; "오후 19:00"</f>
        <v>2021-07-04(일) 오후 19:00</v>
      </c>
      <c r="H15" s="241"/>
      <c r="I15" s="242"/>
      <c r="J15" s="240" t="str">
        <f>TEXT($G$1, "[$-ko-KR]yyyy-mm-dd(ddd) ") &amp; "오후 21:00"</f>
        <v>2021-07-04(일) 오후 21:00</v>
      </c>
      <c r="K15" s="241"/>
      <c r="L15" s="242"/>
      <c r="M15" s="240" t="str">
        <f>TEXT($G$1+1, "[$-ko-KR]yyyy-mm-dd(ddd) ") &amp; "오전 00:00"</f>
        <v>2021-07-05(월) 오전 00:00</v>
      </c>
      <c r="N15" s="241"/>
      <c r="O15" s="242"/>
      <c r="Q15" s="226"/>
      <c r="R15" s="226"/>
      <c r="S15" s="226"/>
    </row>
    <row r="16" spans="1:19" ht="17.25" customHeight="1" thickBot="1">
      <c r="A16" s="26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6"/>
      <c r="R16" s="216"/>
      <c r="S16" s="21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6"/>
      <c r="R19" s="216"/>
      <c r="S19" s="21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6"/>
      <c r="R20" s="216"/>
      <c r="S20" s="21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6"/>
      <c r="R21" s="216"/>
      <c r="S21" s="21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6"/>
      <c r="R22" s="216"/>
      <c r="S22" s="21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6"/>
      <c r="R23" s="216"/>
      <c r="S23" s="21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6"/>
      <c r="R24" s="216"/>
      <c r="S24" s="21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6"/>
      <c r="R29" s="216"/>
      <c r="S29" s="21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6"/>
      <c r="R32" s="216"/>
      <c r="S32" s="21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6"/>
      <c r="R33" s="216"/>
      <c r="S33" s="21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6"/>
      <c r="R34" s="216"/>
      <c r="S34" s="21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5"/>
      <c r="R35" s="206"/>
      <c r="S35" s="2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8"/>
      <c r="R36" s="209"/>
      <c r="S36" s="210"/>
    </row>
    <row r="37" spans="1:19" ht="17.25" customHeight="1" thickBot="1">
      <c r="A37" s="132" t="s">
        <v>42</v>
      </c>
      <c r="B37" s="269">
        <v>100000</v>
      </c>
      <c r="C37" s="27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1"/>
      <c r="R37" s="212"/>
      <c r="S37" s="213"/>
    </row>
    <row r="38" spans="1:19" ht="17.25" customHeight="1"/>
    <row r="39" spans="1:19" ht="17.25" customHeight="1" thickBot="1"/>
    <row r="40" spans="1:19" ht="17.25" customHeight="1" thickBot="1">
      <c r="A40" s="227" t="s">
        <v>44</v>
      </c>
      <c r="B40" s="228"/>
      <c r="C40" s="228"/>
      <c r="D40" s="228"/>
      <c r="E40" s="228"/>
      <c r="F40" s="228"/>
      <c r="G40" s="228"/>
      <c r="H40" s="228"/>
      <c r="I40" s="228"/>
      <c r="J40" s="228"/>
      <c r="K40" s="228"/>
      <c r="L40" s="228"/>
      <c r="M40" s="228"/>
      <c r="N40" s="228"/>
      <c r="O40" s="229"/>
      <c r="Q40" s="226"/>
      <c r="R40" s="226"/>
      <c r="S40" s="226"/>
    </row>
    <row r="41" spans="1:19" ht="17.25" customHeight="1" thickBot="1">
      <c r="A41" s="169" t="s">
        <v>268</v>
      </c>
      <c r="B41" s="227" t="s">
        <v>49</v>
      </c>
      <c r="C41" s="229"/>
      <c r="D41" s="227" t="s">
        <v>58</v>
      </c>
      <c r="E41" s="228"/>
      <c r="F41" s="229"/>
      <c r="G41" s="230">
        <f>_xlfn.IFNA(VLOOKUP(B41, 현재가테이블!$B$2:$D$200, 2, FALSE), "-")</f>
        <v>39916000</v>
      </c>
      <c r="H41" s="231"/>
      <c r="I41" s="232"/>
      <c r="J41" s="227" t="s">
        <v>59</v>
      </c>
      <c r="K41" s="228"/>
      <c r="L41" s="229"/>
      <c r="M41" s="233">
        <f>_xlfn.IFNA(VLOOKUP(B41, 현재가테이블!$B$2:$D$200, 3, FALSE), "-")</f>
        <v>7.3184273000000003E-3</v>
      </c>
      <c r="N41" s="234"/>
      <c r="O41" s="235"/>
      <c r="Q41" s="226"/>
      <c r="R41" s="226"/>
      <c r="S41" s="226"/>
    </row>
    <row r="42" spans="1:19" ht="17.25" customHeight="1" thickBot="1">
      <c r="A42" s="271" t="s">
        <v>55</v>
      </c>
      <c r="B42" s="267" t="str">
        <f>TEXT($G$1, "[$-ko-KR]yyyy-mm-dd(ddd) ") &amp; "오전 00:00"</f>
        <v>2021-07-04(일) 오전 00:00</v>
      </c>
      <c r="C42" s="268"/>
      <c r="D42" s="240" t="str">
        <f>TEXT($G$1, "[$-ko-KR]yyyy-mm-dd(ddd) ") &amp; "오후 14:00"</f>
        <v>2021-07-04(일) 오후 14:00</v>
      </c>
      <c r="E42" s="241"/>
      <c r="F42" s="242"/>
      <c r="G42" s="240" t="str">
        <f>TEXT($G$1, "[$-ko-KR]yyyy-mm-dd(ddd) ") &amp; "오후 19:00"</f>
        <v>2021-07-04(일) 오후 19:00</v>
      </c>
      <c r="H42" s="241"/>
      <c r="I42" s="242"/>
      <c r="J42" s="240" t="str">
        <f>TEXT($G$1, "[$-ko-KR]yyyy-mm-dd(ddd) ") &amp; "오후 21:00"</f>
        <v>2021-07-04(일) 오후 21:00</v>
      </c>
      <c r="K42" s="241"/>
      <c r="L42" s="242"/>
      <c r="M42" s="240" t="str">
        <f>TEXT($G$1+1, "[$-ko-KR]yyyy-mm-dd(ddd) ") &amp; "오전 00:00"</f>
        <v>2021-07-05(월) 오전 00:00</v>
      </c>
      <c r="N42" s="241"/>
      <c r="O42" s="242"/>
      <c r="Q42" s="226"/>
      <c r="R42" s="226"/>
      <c r="S42" s="226"/>
    </row>
    <row r="43" spans="1:19" ht="17.25" customHeight="1" thickBot="1">
      <c r="A43" s="27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0" t="s">
        <v>58</v>
      </c>
      <c r="H43" s="171" t="s">
        <v>269</v>
      </c>
      <c r="I43" s="17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6"/>
      <c r="R43" s="216"/>
      <c r="S43" s="216"/>
    </row>
    <row r="44" spans="1:19" ht="17.25" customHeight="1" thickBot="1">
      <c r="A44" s="123" t="s">
        <v>204</v>
      </c>
      <c r="B44" s="124">
        <v>11.2</v>
      </c>
      <c r="C44" s="76">
        <v>9.8039215700000001E-2</v>
      </c>
      <c r="D44" s="13">
        <v>11.9</v>
      </c>
      <c r="E44" s="14">
        <f>IF(ISNUMBER(D44), (D44 - $B44) / $B44, "")</f>
        <v>6.2500000000000097E-2</v>
      </c>
      <c r="F44" s="16">
        <f>IF(ISNUMBER(D44), $B64 * E44, "")</f>
        <v>6250.00000000001</v>
      </c>
      <c r="G44" s="29">
        <v>11.8</v>
      </c>
      <c r="H44" s="14">
        <f>IF(ISNUMBER(G44), (G44 - $B44) / $B44, "")</f>
        <v>5.35714285714287E-2</v>
      </c>
      <c r="I44" s="100">
        <f>IF(ISNUMBER(G44), $B64 * H44, "")</f>
        <v>5357.1428571428696</v>
      </c>
      <c r="J44" s="13">
        <v>11.8</v>
      </c>
      <c r="K44" s="14">
        <f>IF(ISNUMBER(J44), (J44 - $B44) / $B44, "")</f>
        <v>5.35714285714287E-2</v>
      </c>
      <c r="L44" s="16">
        <f>IF(ISNUMBER(J44), $B64 * K44, "")</f>
        <v>5357.1428571428696</v>
      </c>
      <c r="M44" s="29">
        <v>11.8</v>
      </c>
      <c r="N44" s="14">
        <f>IF(ISNUMBER(M44), (M44 - $B44) / $B44, "")</f>
        <v>5.35714285714287E-2</v>
      </c>
      <c r="O44" s="16">
        <f>IF(ISNUMBER(M44), $B64 * N44, "")</f>
        <v>5357.1428571428696</v>
      </c>
      <c r="Q44" s="226"/>
      <c r="R44" s="226"/>
      <c r="S44" s="226"/>
    </row>
    <row r="45" spans="1:19" ht="17.25" customHeight="1" thickBot="1">
      <c r="A45" s="125" t="s">
        <v>162</v>
      </c>
      <c r="B45" s="126">
        <v>84.6</v>
      </c>
      <c r="C45" s="77">
        <v>7.2243346E-2</v>
      </c>
      <c r="D45" s="15">
        <v>84.1</v>
      </c>
      <c r="E45" s="32">
        <f t="shared" ref="E45:E48" si="14">IF(ISNUMBER(D45), (D45 - $B45) / $B45, "")</f>
        <v>-5.9101654846335705E-3</v>
      </c>
      <c r="F45" s="18">
        <f>IF(ISNUMBER(D45), $B64 * E45, "")</f>
        <v>-591.01654846335703</v>
      </c>
      <c r="G45" s="31">
        <v>85</v>
      </c>
      <c r="H45" s="32">
        <f t="shared" ref="H45:H48" si="15">IF(ISNUMBER(G45), (G45 - $B45) / $B45, "")</f>
        <v>4.7281323877069233E-3</v>
      </c>
      <c r="I45" s="101">
        <f>IF(ISNUMBER(G45), $B64 * H45, "")</f>
        <v>472.81323877069235</v>
      </c>
      <c r="J45" s="15">
        <v>85.1</v>
      </c>
      <c r="K45" s="32">
        <f t="shared" ref="K45:K48" si="16">IF(ISNUMBER(J45), (J45 - $B45) / $B45, "")</f>
        <v>5.9101654846335705E-3</v>
      </c>
      <c r="L45" s="18">
        <f>IF(ISNUMBER(J45), $B64 * K45, "")</f>
        <v>591.01654846335703</v>
      </c>
      <c r="M45" s="31">
        <v>86.1</v>
      </c>
      <c r="N45" s="32">
        <f t="shared" ref="N45:N48" si="17">IF(ISNUMBER(M45), (M45 - $B45) / $B45, "")</f>
        <v>1.7730496453900711E-2</v>
      </c>
      <c r="O45" s="18">
        <f>IF(ISNUMBER(M45), $B64 * N45, "")</f>
        <v>1773.049645390071</v>
      </c>
      <c r="Q45" s="226"/>
      <c r="R45" s="226"/>
      <c r="S45" s="226"/>
    </row>
    <row r="46" spans="1:19" ht="17.25" customHeight="1" thickBot="1">
      <c r="A46" s="125" t="s">
        <v>218</v>
      </c>
      <c r="B46" s="126">
        <v>96.1</v>
      </c>
      <c r="C46" s="77">
        <v>2.67094017E-2</v>
      </c>
      <c r="D46" s="15">
        <v>96.8</v>
      </c>
      <c r="E46" s="32">
        <f t="shared" si="14"/>
        <v>7.2840790842872306E-3</v>
      </c>
      <c r="F46" s="18">
        <f>IF(ISNUMBER(D46), $B64 * E46, "")</f>
        <v>728.40790842872309</v>
      </c>
      <c r="G46" s="31">
        <v>98.8</v>
      </c>
      <c r="H46" s="32">
        <f t="shared" si="15"/>
        <v>2.8095733610822092E-2</v>
      </c>
      <c r="I46" s="101">
        <f>IF(ISNUMBER(G46), $B64 * H46, "")</f>
        <v>2809.573361082209</v>
      </c>
      <c r="J46" s="15">
        <v>99.2</v>
      </c>
      <c r="K46" s="32">
        <f t="shared" si="16"/>
        <v>3.2258064516129122E-2</v>
      </c>
      <c r="L46" s="18">
        <f>IF(ISNUMBER(J46), $B64 * K46, "")</f>
        <v>3225.806451612912</v>
      </c>
      <c r="M46" s="31">
        <v>106</v>
      </c>
      <c r="N46" s="32">
        <f t="shared" si="17"/>
        <v>0.10301768990634762</v>
      </c>
      <c r="O46" s="18">
        <f>IF(ISNUMBER(M46), $B64 * N46, "")</f>
        <v>10301.768990634762</v>
      </c>
      <c r="Q46" s="216"/>
      <c r="R46" s="216"/>
      <c r="S46" s="216"/>
    </row>
    <row r="47" spans="1:19" ht="17.25" customHeight="1" thickBot="1">
      <c r="A47" s="125" t="s">
        <v>200</v>
      </c>
      <c r="B47" s="126">
        <v>96.6</v>
      </c>
      <c r="C47" s="77">
        <v>1.47058824E-2</v>
      </c>
      <c r="D47" s="15">
        <v>111</v>
      </c>
      <c r="E47" s="32">
        <f t="shared" si="14"/>
        <v>0.14906832298136652</v>
      </c>
      <c r="F47" s="18">
        <f>IF(ISNUMBER(D47), $B64 * E47, "")</f>
        <v>14906.832298136653</v>
      </c>
      <c r="G47" s="31">
        <v>110</v>
      </c>
      <c r="H47" s="32">
        <f t="shared" si="15"/>
        <v>0.13871635610766053</v>
      </c>
      <c r="I47" s="101">
        <f>IF(ISNUMBER(G47), $B64 * H47, "")</f>
        <v>13871.635610766054</v>
      </c>
      <c r="J47" s="15">
        <v>121</v>
      </c>
      <c r="K47" s="32">
        <f t="shared" si="16"/>
        <v>0.25258799171842655</v>
      </c>
      <c r="L47" s="18">
        <f>IF(ISNUMBER(J47), $B64 * K47, "")</f>
        <v>25258.799171842657</v>
      </c>
      <c r="M47" s="31">
        <v>133</v>
      </c>
      <c r="N47" s="32">
        <f t="shared" si="17"/>
        <v>0.37681159420289861</v>
      </c>
      <c r="O47" s="18">
        <f>IF(ISNUMBER(M47), $B64 * N47, "")</f>
        <v>37681.159420289863</v>
      </c>
      <c r="Q47" s="216"/>
      <c r="R47" s="216"/>
      <c r="S47" s="216"/>
    </row>
    <row r="48" spans="1:19" ht="17.25" customHeight="1" thickBot="1">
      <c r="A48" s="127" t="s">
        <v>98</v>
      </c>
      <c r="B48" s="128">
        <v>3.14</v>
      </c>
      <c r="C48" s="78">
        <v>1.2903225799999999E-2</v>
      </c>
      <c r="D48" s="20">
        <v>3.14</v>
      </c>
      <c r="E48" s="21">
        <f t="shared" si="14"/>
        <v>0</v>
      </c>
      <c r="F48" s="22">
        <f>IF(ISNUMBER(D48), $B64 * E48, "")</f>
        <v>0</v>
      </c>
      <c r="G48" s="30">
        <v>3.16</v>
      </c>
      <c r="H48" s="21">
        <f t="shared" si="15"/>
        <v>6.3694267515923622E-3</v>
      </c>
      <c r="I48" s="105">
        <f>IF(ISNUMBER(G48), $B64 * H48, "")</f>
        <v>636.94267515923627</v>
      </c>
      <c r="J48" s="20">
        <v>3.17</v>
      </c>
      <c r="K48" s="21">
        <f t="shared" si="16"/>
        <v>9.5541401273884722E-3</v>
      </c>
      <c r="L48" s="22">
        <f>IF(ISNUMBER(J48), $B64 * K48, "")</f>
        <v>955.41401273884719</v>
      </c>
      <c r="M48" s="30">
        <v>3.18</v>
      </c>
      <c r="N48" s="21">
        <f t="shared" si="17"/>
        <v>1.2738853503184724E-2</v>
      </c>
      <c r="O48" s="22">
        <f>IF(ISNUMBER(M48), $B64 * N48, "")</f>
        <v>1273.8853503184725</v>
      </c>
      <c r="Q48" s="216"/>
      <c r="R48" s="216"/>
      <c r="S48" s="216"/>
    </row>
    <row r="49" spans="1:19" ht="17.25" customHeight="1" thickBot="1">
      <c r="A49" s="125" t="s">
        <v>130</v>
      </c>
      <c r="B49" s="129">
        <v>80.3</v>
      </c>
      <c r="C49" s="80">
        <v>1.2610340499999999E-2</v>
      </c>
      <c r="D49" s="106">
        <v>80.3</v>
      </c>
      <c r="E49" s="107">
        <f>IF(ISNUMBER(D49), (D49 - $B49) / $B49, "")</f>
        <v>0</v>
      </c>
      <c r="F49" s="108">
        <f>IF(ISNUMBER(D49), $B64 * E49, "")</f>
        <v>0</v>
      </c>
      <c r="G49" s="109">
        <v>80.8</v>
      </c>
      <c r="H49" s="107">
        <f>IF(ISNUMBER(G49), (G49 - $B49) / $B49, "")</f>
        <v>6.2266500622665012E-3</v>
      </c>
      <c r="I49" s="110">
        <f>IF(ISNUMBER(G49), $B64 * H49, "")</f>
        <v>622.66500622665012</v>
      </c>
      <c r="J49" s="106">
        <v>80.900000000000006</v>
      </c>
      <c r="K49" s="107">
        <f>IF(ISNUMBER(J49), (J49 - $B49) / $B49, "")</f>
        <v>7.4719800747199069E-3</v>
      </c>
      <c r="L49" s="108">
        <f>IF(ISNUMBER(J49), $B64 * K49, "")</f>
        <v>747.19800747199065</v>
      </c>
      <c r="M49" s="109">
        <v>82.5</v>
      </c>
      <c r="N49" s="107">
        <f>IF(ISNUMBER(M49), (M49 - $B49) / $B49, "")</f>
        <v>2.7397260273972639E-2</v>
      </c>
      <c r="O49" s="108">
        <f>IF(ISNUMBER(M49), $B64 * N49, "")</f>
        <v>2739.7260273972638</v>
      </c>
      <c r="Q49" s="216"/>
      <c r="R49" s="216"/>
      <c r="S49" s="216"/>
    </row>
    <row r="50" spans="1:19" ht="17.25" customHeight="1" thickBot="1">
      <c r="A50" s="125" t="s">
        <v>152</v>
      </c>
      <c r="B50" s="126">
        <v>78</v>
      </c>
      <c r="C50" s="77">
        <v>5.1546392E-3</v>
      </c>
      <c r="D50" s="15">
        <v>77.2</v>
      </c>
      <c r="E50" s="32">
        <f t="shared" ref="E50:E53" si="18">IF(ISNUMBER(D50), (D50 - $B50) / $B50, "")</f>
        <v>-1.025641025641022E-2</v>
      </c>
      <c r="F50" s="18">
        <f>IF(ISNUMBER(D50), $B64 * E50, "")</f>
        <v>-1025.641025641022</v>
      </c>
      <c r="G50" s="31">
        <v>77.900000000000006</v>
      </c>
      <c r="H50" s="32">
        <f t="shared" ref="H50:H53" si="19">IF(ISNUMBER(G50), (G50 - $B50) / $B50, "")</f>
        <v>-1.2820512820512092E-3</v>
      </c>
      <c r="I50" s="101">
        <f>IF(ISNUMBER(G50), $B64 * H50, "")</f>
        <v>-128.20512820512093</v>
      </c>
      <c r="J50" s="15">
        <v>78.099999999999994</v>
      </c>
      <c r="K50" s="32">
        <f t="shared" ref="K50:K53" si="20">IF(ISNUMBER(J50), (J50 - $B50) / $B50, "")</f>
        <v>1.2820512820512092E-3</v>
      </c>
      <c r="L50" s="18">
        <f>IF(ISNUMBER(J50), $B64 * K50, "")</f>
        <v>128.20512820512093</v>
      </c>
      <c r="M50" s="31">
        <v>78.8</v>
      </c>
      <c r="N50" s="32">
        <f t="shared" ref="N50:N53" si="21">IF(ISNUMBER(M50), (M50 - $B50) / $B50, "")</f>
        <v>1.025641025641022E-2</v>
      </c>
      <c r="O50" s="18">
        <f>IF(ISNUMBER(M50), $B64 * N50, "")</f>
        <v>1025.641025641022</v>
      </c>
      <c r="Q50" s="216"/>
      <c r="R50" s="216"/>
      <c r="S50" s="216"/>
    </row>
    <row r="51" spans="1:19" ht="17.25" customHeight="1" thickBot="1">
      <c r="A51" s="125" t="s">
        <v>202</v>
      </c>
      <c r="B51" s="126">
        <v>57.6</v>
      </c>
      <c r="C51" s="77">
        <v>3.4843206000000002E-3</v>
      </c>
      <c r="D51" s="15">
        <v>57.6</v>
      </c>
      <c r="E51" s="32">
        <f t="shared" si="18"/>
        <v>0</v>
      </c>
      <c r="F51" s="18">
        <f>IF(ISNUMBER(D51), $B64 * E51, "")</f>
        <v>0</v>
      </c>
      <c r="G51" s="31">
        <v>58.7</v>
      </c>
      <c r="H51" s="32">
        <f t="shared" si="19"/>
        <v>1.9097222222222248E-2</v>
      </c>
      <c r="I51" s="101">
        <f>IF(ISNUMBER(G51), $B64 * H51, "")</f>
        <v>1909.7222222222249</v>
      </c>
      <c r="J51" s="15">
        <v>58.7</v>
      </c>
      <c r="K51" s="32">
        <f t="shared" si="20"/>
        <v>1.9097222222222248E-2</v>
      </c>
      <c r="L51" s="18">
        <f>IF(ISNUMBER(J51), $B64 * K51, "")</f>
        <v>1909.7222222222249</v>
      </c>
      <c r="M51" s="31">
        <v>59.5</v>
      </c>
      <c r="N51" s="32">
        <f t="shared" si="21"/>
        <v>3.2986111111111084E-2</v>
      </c>
      <c r="O51" s="18">
        <f>IF(ISNUMBER(M51), $B64 * N51, "")</f>
        <v>3298.6111111111086</v>
      </c>
      <c r="Q51" s="216"/>
      <c r="R51" s="216"/>
      <c r="S51" s="216"/>
    </row>
    <row r="52" spans="1:19" ht="17.25" customHeight="1" thickBot="1">
      <c r="A52" s="125" t="s">
        <v>132</v>
      </c>
      <c r="B52" s="126">
        <v>95.7</v>
      </c>
      <c r="C52" s="77">
        <v>3.1446540999999998E-3</v>
      </c>
      <c r="D52" s="15">
        <v>95.7</v>
      </c>
      <c r="E52" s="32">
        <f t="shared" si="18"/>
        <v>0</v>
      </c>
      <c r="F52" s="18">
        <f>IF(ISNUMBER(D52), $B64 * E52, "")</f>
        <v>0</v>
      </c>
      <c r="G52" s="31">
        <v>95.9</v>
      </c>
      <c r="H52" s="32">
        <f t="shared" si="19"/>
        <v>2.0898641588297058E-3</v>
      </c>
      <c r="I52" s="101">
        <f>IF(ISNUMBER(G52), $B64 * H52, "")</f>
        <v>208.98641588297059</v>
      </c>
      <c r="J52" s="15">
        <v>96.3</v>
      </c>
      <c r="K52" s="32">
        <f t="shared" si="20"/>
        <v>6.269592476488969E-3</v>
      </c>
      <c r="L52" s="18">
        <f>IF(ISNUMBER(J52), $B64 * K52, "")</f>
        <v>626.95924764889685</v>
      </c>
      <c r="M52" s="31">
        <v>96.4</v>
      </c>
      <c r="N52" s="32">
        <f t="shared" si="21"/>
        <v>7.314524555903896E-3</v>
      </c>
      <c r="O52" s="18">
        <f>IF(ISNUMBER(M52), $B64 * N52, "")</f>
        <v>731.4524555903896</v>
      </c>
      <c r="Q52" s="33"/>
      <c r="R52" s="33"/>
    </row>
    <row r="53" spans="1:19" ht="17.25" customHeight="1" thickBot="1">
      <c r="A53" s="130" t="s">
        <v>144</v>
      </c>
      <c r="B53" s="131">
        <v>86.8</v>
      </c>
      <c r="C53" s="79">
        <v>2.3094688000000001E-3</v>
      </c>
      <c r="D53" s="24">
        <v>86.5</v>
      </c>
      <c r="E53" s="25">
        <f t="shared" si="18"/>
        <v>-3.4562211981566493E-3</v>
      </c>
      <c r="F53" s="104">
        <f>IF(ISNUMBER(D53), $B64 * E53, "")</f>
        <v>-345.62211981566492</v>
      </c>
      <c r="G53" s="102">
        <v>87.3</v>
      </c>
      <c r="H53" s="25">
        <f t="shared" si="19"/>
        <v>5.7603686635944703E-3</v>
      </c>
      <c r="I53" s="103">
        <f>IF(ISNUMBER(G53), $B64 * H53, "")</f>
        <v>576.036866359447</v>
      </c>
      <c r="J53" s="24">
        <v>87.7</v>
      </c>
      <c r="K53" s="25">
        <f t="shared" si="20"/>
        <v>1.0368663594470112E-2</v>
      </c>
      <c r="L53" s="104">
        <f>IF(ISNUMBER(J53), $B64 * K53, "")</f>
        <v>1036.8663594470113</v>
      </c>
      <c r="M53" s="102">
        <v>88.3</v>
      </c>
      <c r="N53" s="25">
        <f t="shared" si="21"/>
        <v>1.7281105990783412E-2</v>
      </c>
      <c r="O53" s="104">
        <f>IF(ISNUMBER(M53), $B64 * N53, "")</f>
        <v>1728.1105990783412</v>
      </c>
      <c r="Q53" s="217"/>
      <c r="R53" s="218"/>
      <c r="S53" s="219"/>
    </row>
    <row r="54" spans="1:19" ht="17.25" customHeight="1">
      <c r="A54" s="123" t="s">
        <v>241</v>
      </c>
      <c r="B54" s="124">
        <v>53.3</v>
      </c>
      <c r="C54" s="76">
        <v>-1.8726591999999999E-3</v>
      </c>
      <c r="D54" s="13">
        <v>53.7</v>
      </c>
      <c r="E54" s="14">
        <f>IF(ISNUMBER(D54), (D54 - $B54) / $B54, "")</f>
        <v>7.5046904315198065E-3</v>
      </c>
      <c r="F54" s="16">
        <f>IF(ISNUMBER(D54), $B64 * E54, "")</f>
        <v>750.4690431519806</v>
      </c>
      <c r="G54" s="29">
        <v>53.4</v>
      </c>
      <c r="H54" s="14">
        <f>IF(ISNUMBER(G54), (G54 - $B54) / $B54, "")</f>
        <v>1.8761726078799516E-3</v>
      </c>
      <c r="I54" s="100">
        <f>IF(ISNUMBER(G54), $B64 * H54, "")</f>
        <v>187.61726078799515</v>
      </c>
      <c r="J54" s="13">
        <v>54.3</v>
      </c>
      <c r="K54" s="14">
        <f>IF(ISNUMBER(J54), (J54 - $B54) / $B54, "")</f>
        <v>1.8761726078799251E-2</v>
      </c>
      <c r="L54" s="16">
        <f>IF(ISNUMBER(J54), $B64 * K54, "")</f>
        <v>1876.1726078799252</v>
      </c>
      <c r="M54" s="29">
        <v>54.6</v>
      </c>
      <c r="N54" s="14">
        <f>IF(ISNUMBER(M54), (M54 - $B54) / $B54, "")</f>
        <v>2.4390243902439105E-2</v>
      </c>
      <c r="O54" s="16">
        <f>IF(ISNUMBER(M54), $B64 * N54, "")</f>
        <v>2439.0243902439106</v>
      </c>
      <c r="Q54" s="220"/>
      <c r="R54" s="221"/>
      <c r="S54" s="222"/>
    </row>
    <row r="55" spans="1:19" ht="17.25" customHeight="1" thickBot="1">
      <c r="A55" s="125" t="s">
        <v>208</v>
      </c>
      <c r="B55" s="126">
        <v>9.86</v>
      </c>
      <c r="C55" s="77">
        <v>-3.0333669999999999E-3</v>
      </c>
      <c r="D55" s="15">
        <v>10.199999999999999</v>
      </c>
      <c r="E55" s="32">
        <f t="shared" ref="E55:E58" si="22">IF(ISNUMBER(D55), (D55 - $B55) / $B55, "")</f>
        <v>3.4482758620689641E-2</v>
      </c>
      <c r="F55" s="18">
        <f>IF(ISNUMBER(D55), $B64 * E55, "")</f>
        <v>3448.2758620689642</v>
      </c>
      <c r="G55" s="31">
        <v>10</v>
      </c>
      <c r="H55" s="32">
        <f t="shared" ref="H55:H58" si="23">IF(ISNUMBER(G55), (G55 - $B55) / $B55, "")</f>
        <v>1.4198782961460505E-2</v>
      </c>
      <c r="I55" s="101">
        <f>IF(ISNUMBER(G55), $B64 * H55, "")</f>
        <v>1419.8782961460506</v>
      </c>
      <c r="J55" s="15">
        <v>10.1</v>
      </c>
      <c r="K55" s="32">
        <f t="shared" ref="K55:K58" si="24">IF(ISNUMBER(J55), (J55 - $B55) / $B55, "")</f>
        <v>2.4340770791075075E-2</v>
      </c>
      <c r="L55" s="18">
        <f>IF(ISNUMBER(J55), $B64 * K55, "")</f>
        <v>2434.0770791075074</v>
      </c>
      <c r="M55" s="31">
        <v>10.7</v>
      </c>
      <c r="N55" s="32">
        <f t="shared" ref="N55:N58" si="25">IF(ISNUMBER(M55), (M55 - $B55) / $B55, "")</f>
        <v>8.5192697768762662E-2</v>
      </c>
      <c r="O55" s="18">
        <f>IF(ISNUMBER(M55), $B64 * N55, "")</f>
        <v>8519.2697768762664</v>
      </c>
      <c r="Q55" s="223"/>
      <c r="R55" s="224"/>
      <c r="S55" s="225"/>
    </row>
    <row r="56" spans="1:19" ht="17.25" customHeight="1" thickBot="1">
      <c r="A56" s="125" t="s">
        <v>222</v>
      </c>
      <c r="B56" s="126">
        <v>93.5</v>
      </c>
      <c r="C56" s="77">
        <v>-3.1982942E-3</v>
      </c>
      <c r="D56" s="15">
        <v>98.7</v>
      </c>
      <c r="E56" s="32">
        <f t="shared" si="22"/>
        <v>5.5614973262032116E-2</v>
      </c>
      <c r="F56" s="18">
        <f>IF(ISNUMBER(D56), $B64 * E56, "")</f>
        <v>5561.4973262032117</v>
      </c>
      <c r="G56" s="31">
        <v>99.3</v>
      </c>
      <c r="H56" s="32">
        <f t="shared" si="23"/>
        <v>6.2032085561497294E-2</v>
      </c>
      <c r="I56" s="101">
        <f>IF(ISNUMBER(G56), $B64 * H56, "")</f>
        <v>6203.2085561497297</v>
      </c>
      <c r="J56" s="15">
        <v>99.9</v>
      </c>
      <c r="K56" s="32">
        <f t="shared" si="24"/>
        <v>6.8449197860962624E-2</v>
      </c>
      <c r="L56" s="18">
        <f>IF(ISNUMBER(J56), $B64 * K56, "")</f>
        <v>6844.9197860962622</v>
      </c>
      <c r="M56" s="31">
        <v>106</v>
      </c>
      <c r="N56" s="32">
        <f t="shared" si="25"/>
        <v>0.13368983957219252</v>
      </c>
      <c r="O56" s="18">
        <f>IF(ISNUMBER(M56), $B64 * N56, "")</f>
        <v>13368.983957219252</v>
      </c>
      <c r="Q56" s="216"/>
      <c r="R56" s="216"/>
      <c r="S56" s="216"/>
    </row>
    <row r="57" spans="1:19" ht="17.25" customHeight="1" thickBot="1">
      <c r="A57" s="125" t="s">
        <v>72</v>
      </c>
      <c r="B57" s="126">
        <v>19</v>
      </c>
      <c r="C57" s="77">
        <v>-5.2356021000000003E-3</v>
      </c>
      <c r="D57" s="15">
        <v>18.8</v>
      </c>
      <c r="E57" s="32">
        <f t="shared" si="22"/>
        <v>-1.0526315789473648E-2</v>
      </c>
      <c r="F57" s="18">
        <f>IF(ISNUMBER(D57), $B64 * E57, "")</f>
        <v>-1052.6315789473647</v>
      </c>
      <c r="G57" s="31">
        <v>19</v>
      </c>
      <c r="H57" s="32">
        <f t="shared" si="23"/>
        <v>0</v>
      </c>
      <c r="I57" s="101">
        <f>IF(ISNUMBER(G57), $B64 * H57, "")</f>
        <v>0</v>
      </c>
      <c r="J57" s="15">
        <v>19.100000000000001</v>
      </c>
      <c r="K57" s="32">
        <f t="shared" si="24"/>
        <v>5.2631578947369166E-3</v>
      </c>
      <c r="L57" s="18">
        <f>IF(ISNUMBER(J57), $B64 * K57, "")</f>
        <v>526.31578947369167</v>
      </c>
      <c r="M57" s="31">
        <v>19.3</v>
      </c>
      <c r="N57" s="32">
        <f t="shared" si="25"/>
        <v>1.5789473684210565E-2</v>
      </c>
      <c r="O57" s="18">
        <f>IF(ISNUMBER(M57), $B64 * N57, "")</f>
        <v>1578.9473684210566</v>
      </c>
      <c r="Q57" s="226"/>
      <c r="R57" s="226"/>
      <c r="S57" s="226"/>
    </row>
    <row r="58" spans="1:19" ht="17.25" customHeight="1" thickBot="1">
      <c r="A58" s="127" t="s">
        <v>150</v>
      </c>
      <c r="B58" s="128">
        <v>9.09</v>
      </c>
      <c r="C58" s="78">
        <v>-7.6419213999999996E-3</v>
      </c>
      <c r="D58" s="20">
        <v>9.5</v>
      </c>
      <c r="E58" s="21">
        <f t="shared" si="22"/>
        <v>4.5104510451045118E-2</v>
      </c>
      <c r="F58" s="22">
        <f>IF(ISNUMBER(D58), $B64 * E58, "")</f>
        <v>4510.4510451045116</v>
      </c>
      <c r="G58" s="30">
        <v>9.49</v>
      </c>
      <c r="H58" s="21">
        <f t="shared" si="23"/>
        <v>4.4004400440044042E-2</v>
      </c>
      <c r="I58" s="105">
        <f>IF(ISNUMBER(G58), $B64 * H58, "")</f>
        <v>4400.4400440044046</v>
      </c>
      <c r="J58" s="20">
        <v>9.65</v>
      </c>
      <c r="K58" s="21">
        <f t="shared" si="24"/>
        <v>6.160616061606166E-2</v>
      </c>
      <c r="L58" s="22">
        <f>IF(ISNUMBER(J58), $B64 * K58, "")</f>
        <v>6160.6160616061661</v>
      </c>
      <c r="M58" s="30">
        <v>9.99</v>
      </c>
      <c r="N58" s="21">
        <f t="shared" si="25"/>
        <v>9.9009900990099056E-2</v>
      </c>
      <c r="O58" s="22">
        <f>IF(ISNUMBER(M58), $B64 * N58, "")</f>
        <v>9900.990099009905</v>
      </c>
      <c r="Q58" s="226"/>
      <c r="R58" s="226"/>
      <c r="S58" s="226"/>
    </row>
    <row r="59" spans="1:19" ht="17.25" customHeight="1" thickBot="1">
      <c r="A59" s="125" t="s">
        <v>251</v>
      </c>
      <c r="B59" s="129">
        <v>61.1</v>
      </c>
      <c r="C59" s="80">
        <v>-1.13268608E-2</v>
      </c>
      <c r="D59" s="106">
        <v>60.9</v>
      </c>
      <c r="E59" s="107">
        <f>IF(ISNUMBER(D59), (D59 - $B59) / $B59, "")</f>
        <v>-3.273322422258639E-3</v>
      </c>
      <c r="F59" s="108">
        <f>IF(ISNUMBER(D59), $B64 * E59, "")</f>
        <v>-327.33224222586392</v>
      </c>
      <c r="G59" s="109">
        <v>61.3</v>
      </c>
      <c r="H59" s="107">
        <f>IF(ISNUMBER(G59), (G59 - $B59) / $B59, "")</f>
        <v>3.2733224222585228E-3</v>
      </c>
      <c r="I59" s="110">
        <f>IF(ISNUMBER(G59), $B64 * H59, "")</f>
        <v>327.33224222585227</v>
      </c>
      <c r="J59" s="106">
        <v>61.8</v>
      </c>
      <c r="K59" s="107">
        <f>IF(ISNUMBER(J59), (J59 - $B59) / $B59, "")</f>
        <v>1.1456628477905004E-2</v>
      </c>
      <c r="L59" s="108">
        <f>IF(ISNUMBER(J59), $B64 * K59, "")</f>
        <v>1145.6628477905003</v>
      </c>
      <c r="M59" s="109">
        <v>62.4</v>
      </c>
      <c r="N59" s="107">
        <f>IF(ISNUMBER(M59), (M59 - $B59) / $B59, "")</f>
        <v>2.1276595744680805E-2</v>
      </c>
      <c r="O59" s="108">
        <f>IF(ISNUMBER(M59), $B64 * N59, "")</f>
        <v>2127.6595744680803</v>
      </c>
      <c r="Q59" s="216"/>
      <c r="R59" s="216"/>
      <c r="S59" s="216"/>
    </row>
    <row r="60" spans="1:19" ht="17.25" customHeight="1" thickBot="1">
      <c r="A60" s="125" t="s">
        <v>239</v>
      </c>
      <c r="B60" s="126">
        <v>76</v>
      </c>
      <c r="C60" s="77">
        <v>-1.2987013E-2</v>
      </c>
      <c r="D60" s="15">
        <v>75.3</v>
      </c>
      <c r="E60" s="32">
        <f t="shared" ref="E60:E63" si="26">IF(ISNUMBER(D60), (D60 - $B60) / $B60, "")</f>
        <v>-9.210526315789511E-3</v>
      </c>
      <c r="F60" s="18">
        <f>IF(ISNUMBER(D60), $B64 * E60, "")</f>
        <v>-921.05263157895115</v>
      </c>
      <c r="G60" s="31">
        <v>75.5</v>
      </c>
      <c r="H60" s="32">
        <f t="shared" ref="H60:H63" si="27">IF(ISNUMBER(G60), (G60 - $B60) / $B60, "")</f>
        <v>-6.5789473684210523E-3</v>
      </c>
      <c r="I60" s="101">
        <f>IF(ISNUMBER(G60), $B64 * H60, "")</f>
        <v>-657.8947368421052</v>
      </c>
      <c r="J60" s="15">
        <v>76.099999999999994</v>
      </c>
      <c r="K60" s="32">
        <f t="shared" ref="K60:K63" si="28">IF(ISNUMBER(J60), (J60 - $B60) / $B60, "")</f>
        <v>1.3157894736841357E-3</v>
      </c>
      <c r="L60" s="18">
        <f>IF(ISNUMBER(J60), $B64 * K60, "")</f>
        <v>131.57894736841357</v>
      </c>
      <c r="M60" s="31">
        <v>77.5</v>
      </c>
      <c r="N60" s="32">
        <f t="shared" ref="N60:N63" si="29">IF(ISNUMBER(M60), (M60 - $B60) / $B60, "")</f>
        <v>1.9736842105263157E-2</v>
      </c>
      <c r="O60" s="18">
        <f>IF(ISNUMBER(M60), $B64 * N60, "")</f>
        <v>1973.6842105263156</v>
      </c>
      <c r="Q60" s="216"/>
      <c r="R60" s="216"/>
      <c r="S60" s="216"/>
    </row>
    <row r="61" spans="1:19" ht="17.25" customHeight="1" thickBot="1">
      <c r="A61" s="125" t="s">
        <v>190</v>
      </c>
      <c r="B61" s="126">
        <v>14.8</v>
      </c>
      <c r="C61" s="77">
        <v>-1.33333333E-2</v>
      </c>
      <c r="D61" s="15">
        <v>15.3</v>
      </c>
      <c r="E61" s="32">
        <f t="shared" si="26"/>
        <v>3.3783783783783779E-2</v>
      </c>
      <c r="F61" s="18">
        <f>IF(ISNUMBER(D61), $B64 * E61, "")</f>
        <v>3378.3783783783779</v>
      </c>
      <c r="G61" s="31">
        <v>15.5</v>
      </c>
      <c r="H61" s="32">
        <f t="shared" si="27"/>
        <v>4.7297297297297244E-2</v>
      </c>
      <c r="I61" s="101">
        <f>IF(ISNUMBER(G61), $B64 * H61, "")</f>
        <v>4729.7297297297246</v>
      </c>
      <c r="J61" s="15">
        <v>15.2</v>
      </c>
      <c r="K61" s="32">
        <f t="shared" si="28"/>
        <v>2.7027027027026931E-2</v>
      </c>
      <c r="L61" s="18">
        <f>IF(ISNUMBER(J61), $B64 * K61, "")</f>
        <v>2702.7027027026929</v>
      </c>
      <c r="M61" s="31">
        <v>15.4</v>
      </c>
      <c r="N61" s="32">
        <f t="shared" si="29"/>
        <v>4.0540540540540515E-2</v>
      </c>
      <c r="O61" s="18">
        <f>IF(ISNUMBER(M61), $B64 * N61, "")</f>
        <v>4054.0540540540514</v>
      </c>
      <c r="Q61" s="216"/>
      <c r="R61" s="216"/>
      <c r="S61" s="216"/>
    </row>
    <row r="62" spans="1:19" ht="17.25" customHeight="1">
      <c r="A62" s="125" t="s">
        <v>216</v>
      </c>
      <c r="B62" s="126">
        <v>8.1</v>
      </c>
      <c r="C62" s="77">
        <v>-1.45985401E-2</v>
      </c>
      <c r="D62" s="15">
        <v>8.34</v>
      </c>
      <c r="E62" s="32">
        <f t="shared" si="26"/>
        <v>2.9629629629629659E-2</v>
      </c>
      <c r="F62" s="18">
        <f>IF(ISNUMBER(D62), $B64 * E62, "")</f>
        <v>2962.9629629629658</v>
      </c>
      <c r="G62" s="31">
        <v>8.36</v>
      </c>
      <c r="H62" s="32">
        <f t="shared" si="27"/>
        <v>3.209876543209874E-2</v>
      </c>
      <c r="I62" s="101">
        <f>IF(ISNUMBER(G62), $B64 * H62, "")</f>
        <v>3209.8765432098739</v>
      </c>
      <c r="J62" s="15">
        <v>8.42</v>
      </c>
      <c r="K62" s="32">
        <f t="shared" si="28"/>
        <v>3.9506172839506207E-2</v>
      </c>
      <c r="L62" s="18">
        <f>IF(ISNUMBER(J62), $B64 * K62, "")</f>
        <v>3950.6172839506207</v>
      </c>
      <c r="M62" s="31">
        <v>8.81</v>
      </c>
      <c r="N62" s="32">
        <f t="shared" si="29"/>
        <v>8.7654320987654424E-2</v>
      </c>
      <c r="O62" s="18">
        <f>IF(ISNUMBER(M62), $B64 * N62, "")</f>
        <v>8765.4320987654428</v>
      </c>
      <c r="Q62" s="205"/>
      <c r="R62" s="206"/>
      <c r="S62" s="207"/>
    </row>
    <row r="63" spans="1:19" ht="17.25" customHeight="1" thickBot="1">
      <c r="A63" s="130" t="s">
        <v>188</v>
      </c>
      <c r="B63" s="131">
        <v>9.1</v>
      </c>
      <c r="C63" s="79">
        <v>-1.51515152E-2</v>
      </c>
      <c r="D63" s="24">
        <v>9.68</v>
      </c>
      <c r="E63" s="25">
        <f t="shared" si="26"/>
        <v>6.3736263736263746E-2</v>
      </c>
      <c r="F63" s="104">
        <f>IF(ISNUMBER(D63), $B64 * E63, "")</f>
        <v>6373.6263736263745</v>
      </c>
      <c r="G63" s="102">
        <v>9.6999999999999993</v>
      </c>
      <c r="H63" s="25">
        <f t="shared" si="27"/>
        <v>6.5934065934065894E-2</v>
      </c>
      <c r="I63" s="103">
        <f>IF(ISNUMBER(G63), $B64 * H63, "")</f>
        <v>6593.4065934065893</v>
      </c>
      <c r="J63" s="24">
        <v>9.83</v>
      </c>
      <c r="K63" s="25">
        <f t="shared" si="28"/>
        <v>8.0219780219780268E-2</v>
      </c>
      <c r="L63" s="104">
        <f>IF(ISNUMBER(J63), $B64 * K63, "")</f>
        <v>8021.9780219780268</v>
      </c>
      <c r="M63" s="102">
        <v>10.1</v>
      </c>
      <c r="N63" s="25">
        <f t="shared" si="29"/>
        <v>0.10989010989010989</v>
      </c>
      <c r="O63" s="104">
        <f>IF(ISNUMBER(M63), $B64 * N63, "")</f>
        <v>10989.010989010989</v>
      </c>
      <c r="Q63" s="208"/>
      <c r="R63" s="209"/>
      <c r="S63" s="210"/>
    </row>
    <row r="64" spans="1:19" ht="17.25" customHeight="1" thickBot="1">
      <c r="A64" s="132" t="s">
        <v>271</v>
      </c>
      <c r="B64" s="269">
        <f>$B$37</f>
        <v>100000</v>
      </c>
      <c r="C64" s="270"/>
      <c r="D64" s="26" t="s">
        <v>272</v>
      </c>
      <c r="E64" s="27">
        <f>IF(COUNT(E44:E63), SUM(E44:E63) / COUNT(E44:E63), 0)</f>
        <v>2.2303802525694773E-2</v>
      </c>
      <c r="F64" s="28">
        <f>SUM(F44:F63)</f>
        <v>44607.605051389546</v>
      </c>
      <c r="G64" s="26" t="s">
        <v>272</v>
      </c>
      <c r="H64" s="27">
        <f>IF(COUNT(H44:H63), SUM(H44:H63) / COUNT(H44:H63), 0)</f>
        <v>2.637545382711267E-2</v>
      </c>
      <c r="I64" s="28">
        <f>SUM(I44:I63)</f>
        <v>52750.907654225339</v>
      </c>
      <c r="J64" s="26" t="s">
        <v>272</v>
      </c>
      <c r="K64" s="27">
        <f>IF(COUNT(K44:K63), SUM(K44:K63) / COUNT(K44:K63), 0)</f>
        <v>3.6815885567374848E-2</v>
      </c>
      <c r="L64" s="28">
        <f>SUM(L44:L63)</f>
        <v>73631.771134749695</v>
      </c>
      <c r="M64" s="26" t="s">
        <v>272</v>
      </c>
      <c r="N64" s="27">
        <f>IF(COUNT(N44:N63), SUM(N44:N63) / COUNT(N44:N63), 0)</f>
        <v>6.4813802000594709E-2</v>
      </c>
      <c r="O64" s="28">
        <f>SUM(O44:O63)</f>
        <v>129627.60400118942</v>
      </c>
      <c r="Q64" s="211"/>
      <c r="R64" s="212"/>
      <c r="S64" s="213"/>
    </row>
    <row r="65" spans="1:19" ht="17.25" customHeight="1"/>
    <row r="66" spans="1:19" ht="17.25" customHeight="1" thickBot="1"/>
    <row r="67" spans="1:19" ht="17.25" thickBot="1">
      <c r="A67" s="227" t="s">
        <v>45</v>
      </c>
      <c r="B67" s="228"/>
      <c r="C67" s="228"/>
      <c r="D67" s="228"/>
      <c r="E67" s="228"/>
      <c r="F67" s="228"/>
      <c r="G67" s="228"/>
      <c r="H67" s="228"/>
      <c r="I67" s="228"/>
      <c r="J67" s="228"/>
      <c r="K67" s="228"/>
      <c r="L67" s="228"/>
      <c r="M67" s="228"/>
      <c r="N67" s="228"/>
      <c r="O67" s="229"/>
      <c r="Q67" s="226"/>
      <c r="R67" s="226"/>
      <c r="S67" s="226"/>
    </row>
    <row r="68" spans="1:19" ht="17.25" thickBot="1">
      <c r="A68" s="169" t="s">
        <v>268</v>
      </c>
      <c r="B68" s="227" t="s">
        <v>49</v>
      </c>
      <c r="C68" s="229"/>
      <c r="D68" s="227" t="s">
        <v>58</v>
      </c>
      <c r="E68" s="228"/>
      <c r="F68" s="229"/>
      <c r="G68" s="230">
        <f>_xlfn.IFNA(VLOOKUP(B68, 현재가테이블!$B$2:$D$200, 2, FALSE), "-")</f>
        <v>39916000</v>
      </c>
      <c r="H68" s="231"/>
      <c r="I68" s="232"/>
      <c r="J68" s="227" t="s">
        <v>59</v>
      </c>
      <c r="K68" s="228"/>
      <c r="L68" s="229"/>
      <c r="M68" s="233">
        <f>_xlfn.IFNA(VLOOKUP(B68, 현재가테이블!$B$2:$D$200, 3, FALSE), "-")</f>
        <v>7.3184273000000003E-3</v>
      </c>
      <c r="N68" s="234"/>
      <c r="O68" s="235"/>
      <c r="Q68" s="226"/>
      <c r="R68" s="226"/>
      <c r="S68" s="226"/>
    </row>
    <row r="69" spans="1:19" ht="17.25" thickBot="1">
      <c r="A69" s="271" t="s">
        <v>55</v>
      </c>
      <c r="B69" s="267" t="str">
        <f>TEXT($G$1, "[$-ko-KR]yyyy-mm-dd(ddd) ") &amp; "오전 00:00"</f>
        <v>2021-07-04(일) 오전 00:00</v>
      </c>
      <c r="C69" s="268"/>
      <c r="D69" s="240" t="str">
        <f>TEXT($G$1, "[$-ko-KR]yyyy-mm-dd(ddd) ") &amp; "오후 14:00"</f>
        <v>2021-07-04(일) 오후 14:00</v>
      </c>
      <c r="E69" s="241"/>
      <c r="F69" s="242"/>
      <c r="G69" s="240" t="str">
        <f>TEXT($G$1, "[$-ko-KR]yyyy-mm-dd(ddd) ") &amp; "오후 19:00"</f>
        <v>2021-07-04(일) 오후 19:00</v>
      </c>
      <c r="H69" s="241"/>
      <c r="I69" s="242"/>
      <c r="J69" s="240" t="str">
        <f>TEXT($G$1, "[$-ko-KR]yyyy-mm-dd(ddd) ") &amp; "오후 21:00"</f>
        <v>2021-07-04(일) 오후 21:00</v>
      </c>
      <c r="K69" s="241"/>
      <c r="L69" s="242"/>
      <c r="M69" s="240" t="str">
        <f>TEXT($G$1+1, "[$-ko-KR]yyyy-mm-dd(ddd) ") &amp; "오전 00:00"</f>
        <v>2021-07-05(월) 오전 00:00</v>
      </c>
      <c r="N69" s="241"/>
      <c r="O69" s="242"/>
      <c r="Q69" s="226"/>
      <c r="R69" s="226"/>
      <c r="S69" s="226"/>
    </row>
    <row r="70" spans="1:19" ht="17.25" thickBot="1">
      <c r="A70" s="27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0" t="s">
        <v>58</v>
      </c>
      <c r="H70" s="171" t="s">
        <v>269</v>
      </c>
      <c r="I70" s="17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6"/>
      <c r="R70" s="216"/>
      <c r="S70" s="216"/>
    </row>
    <row r="71" spans="1:19" ht="17.25" thickBot="1">
      <c r="A71" s="123" t="s">
        <v>228</v>
      </c>
      <c r="B71" s="124">
        <v>320</v>
      </c>
      <c r="C71" s="76">
        <v>0.21212121210000001</v>
      </c>
      <c r="D71" s="13">
        <v>311</v>
      </c>
      <c r="E71" s="14">
        <f>IF(ISNUMBER(D71), (D71 - $B71) / $B71, "")</f>
        <v>-2.8125000000000001E-2</v>
      </c>
      <c r="F71" s="16">
        <f>IF(ISNUMBER(D71), $B91 * E71, "")</f>
        <v>-2812.5</v>
      </c>
      <c r="G71" s="29">
        <v>321</v>
      </c>
      <c r="H71" s="14">
        <f>IF(ISNUMBER(G71), (G71 - $B71) / $B71, "")</f>
        <v>3.1250000000000002E-3</v>
      </c>
      <c r="I71" s="100">
        <f>IF(ISNUMBER(G71), $B91 * H71, "")</f>
        <v>312.5</v>
      </c>
      <c r="J71" s="13">
        <v>321</v>
      </c>
      <c r="K71" s="14">
        <f>IF(ISNUMBER(J71), (J71 - $B71) / $B71, "")</f>
        <v>3.1250000000000002E-3</v>
      </c>
      <c r="L71" s="16">
        <f>IF(ISNUMBER(J71), $B91 * K71, "")</f>
        <v>312.5</v>
      </c>
      <c r="M71" s="29">
        <v>317</v>
      </c>
      <c r="N71" s="14">
        <f>IF(ISNUMBER(M71), (M71 - $B71) / $B71, "")</f>
        <v>-9.3749999999999997E-3</v>
      </c>
      <c r="O71" s="16">
        <f>IF(ISNUMBER(M71), $B91 * N71, "")</f>
        <v>-937.5</v>
      </c>
      <c r="Q71" s="226"/>
      <c r="R71" s="226"/>
      <c r="S71" s="226"/>
    </row>
    <row r="72" spans="1:19" ht="17.25" thickBot="1">
      <c r="A72" s="125" t="s">
        <v>166</v>
      </c>
      <c r="B72" s="126">
        <v>132</v>
      </c>
      <c r="C72" s="77">
        <v>0.2</v>
      </c>
      <c r="D72" s="15">
        <v>123</v>
      </c>
      <c r="E72" s="32">
        <f t="shared" ref="E72:E75" si="30">IF(ISNUMBER(D72), (D72 - $B72) / $B72, "")</f>
        <v>-6.8181818181818177E-2</v>
      </c>
      <c r="F72" s="18">
        <f>IF(ISNUMBER(D72), $B91 * E72, "")</f>
        <v>-6818.181818181818</v>
      </c>
      <c r="G72" s="31">
        <v>125</v>
      </c>
      <c r="H72" s="32">
        <f t="shared" ref="H72:H75" si="31">IF(ISNUMBER(G72), (G72 - $B72) / $B72, "")</f>
        <v>-5.3030303030303032E-2</v>
      </c>
      <c r="I72" s="101">
        <f>IF(ISNUMBER(G72), $B91 * H72, "")</f>
        <v>-5303.030303030303</v>
      </c>
      <c r="J72" s="15">
        <v>125</v>
      </c>
      <c r="K72" s="32">
        <f t="shared" ref="K72:K75" si="32">IF(ISNUMBER(J72), (J72 - $B72) / $B72, "")</f>
        <v>-5.3030303030303032E-2</v>
      </c>
      <c r="L72" s="18">
        <f>IF(ISNUMBER(J72), $B91 * K72, "")</f>
        <v>-5303.030303030303</v>
      </c>
      <c r="M72" s="31">
        <v>125</v>
      </c>
      <c r="N72" s="32">
        <f t="shared" ref="N72:N75" si="33">IF(ISNUMBER(M72), (M72 - $B72) / $B72, "")</f>
        <v>-5.3030303030303032E-2</v>
      </c>
      <c r="O72" s="18">
        <f>IF(ISNUMBER(M72), $B91 * N72, "")</f>
        <v>-5303.030303030303</v>
      </c>
      <c r="Q72" s="226"/>
      <c r="R72" s="226"/>
      <c r="S72" s="226"/>
    </row>
    <row r="73" spans="1:19" ht="17.25" thickBot="1">
      <c r="A73" s="125" t="s">
        <v>110</v>
      </c>
      <c r="B73" s="126">
        <v>121</v>
      </c>
      <c r="C73" s="77">
        <v>0.13084112149999999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129</v>
      </c>
      <c r="H73" s="32">
        <f t="shared" si="31"/>
        <v>6.6115702479338845E-2</v>
      </c>
      <c r="I73" s="101">
        <f>IF(ISNUMBER(G73), $B91 * H73, "")</f>
        <v>6611.5702479338843</v>
      </c>
      <c r="J73" s="15">
        <v>130</v>
      </c>
      <c r="K73" s="32">
        <f t="shared" si="32"/>
        <v>7.43801652892562E-2</v>
      </c>
      <c r="L73" s="18">
        <f>IF(ISNUMBER(J73), $B91 * K73, "")</f>
        <v>7438.0165289256202</v>
      </c>
      <c r="M73" s="31">
        <v>127</v>
      </c>
      <c r="N73" s="32">
        <f t="shared" si="33"/>
        <v>4.9586776859504134E-2</v>
      </c>
      <c r="O73" s="18">
        <f>IF(ISNUMBER(M73), $B91 * N73, "")</f>
        <v>4958.6776859504134</v>
      </c>
      <c r="Q73" s="216"/>
      <c r="R73" s="216"/>
      <c r="S73" s="216"/>
    </row>
    <row r="74" spans="1:19" ht="17.25" thickBot="1">
      <c r="A74" s="125" t="s">
        <v>114</v>
      </c>
      <c r="B74" s="126">
        <v>309</v>
      </c>
      <c r="C74" s="77">
        <v>8.0419580399999996E-2</v>
      </c>
      <c r="D74" s="15">
        <v>325</v>
      </c>
      <c r="E74" s="32">
        <f t="shared" si="30"/>
        <v>5.1779935275080909E-2</v>
      </c>
      <c r="F74" s="18">
        <f>IF(ISNUMBER(D74), $B91 * E74, "")</f>
        <v>5177.9935275080907</v>
      </c>
      <c r="G74" s="31">
        <v>335</v>
      </c>
      <c r="H74" s="32">
        <f t="shared" si="31"/>
        <v>8.4142394822006472E-2</v>
      </c>
      <c r="I74" s="101">
        <f>IF(ISNUMBER(G74), $B91 * H74, "")</f>
        <v>8414.2394822006463</v>
      </c>
      <c r="J74" s="15">
        <v>346</v>
      </c>
      <c r="K74" s="32">
        <f t="shared" si="32"/>
        <v>0.11974110032362459</v>
      </c>
      <c r="L74" s="18">
        <f>IF(ISNUMBER(J74), $B91 * K74, "")</f>
        <v>11974.11003236246</v>
      </c>
      <c r="M74" s="31">
        <v>328</v>
      </c>
      <c r="N74" s="32">
        <f t="shared" si="33"/>
        <v>6.1488673139158574E-2</v>
      </c>
      <c r="O74" s="18">
        <f>IF(ISNUMBER(M74), $B91 * N74, "")</f>
        <v>6148.8673139158573</v>
      </c>
      <c r="Q74" s="216"/>
      <c r="R74" s="216"/>
      <c r="S74" s="216"/>
    </row>
    <row r="75" spans="1:19" ht="17.25" thickBot="1">
      <c r="A75" s="127" t="s">
        <v>192</v>
      </c>
      <c r="B75" s="128">
        <v>196</v>
      </c>
      <c r="C75" s="78">
        <v>7.6923076899999998E-2</v>
      </c>
      <c r="D75" s="20">
        <v>204</v>
      </c>
      <c r="E75" s="21">
        <f t="shared" si="30"/>
        <v>4.0816326530612242E-2</v>
      </c>
      <c r="F75" s="22">
        <f>IF(ISNUMBER(D75), $B91 * E75, "")</f>
        <v>4081.6326530612241</v>
      </c>
      <c r="G75" s="30">
        <v>197</v>
      </c>
      <c r="H75" s="21">
        <f t="shared" si="31"/>
        <v>5.1020408163265302E-3</v>
      </c>
      <c r="I75" s="105">
        <f>IF(ISNUMBER(G75), $B91 * H75, "")</f>
        <v>510.20408163265301</v>
      </c>
      <c r="J75" s="20">
        <v>199</v>
      </c>
      <c r="K75" s="21">
        <f t="shared" si="32"/>
        <v>1.5306122448979591E-2</v>
      </c>
      <c r="L75" s="22">
        <f>IF(ISNUMBER(J75), $B91 * K75, "")</f>
        <v>1530.612244897959</v>
      </c>
      <c r="M75" s="30">
        <v>198</v>
      </c>
      <c r="N75" s="21">
        <f t="shared" si="33"/>
        <v>1.020408163265306E-2</v>
      </c>
      <c r="O75" s="22">
        <f>IF(ISNUMBER(M75), $B91 * N75, "")</f>
        <v>1020.408163265306</v>
      </c>
      <c r="Q75" s="216"/>
      <c r="R75" s="216"/>
      <c r="S75" s="216"/>
    </row>
    <row r="76" spans="1:19" ht="17.25" thickBot="1">
      <c r="A76" s="125" t="s">
        <v>214</v>
      </c>
      <c r="B76" s="129">
        <v>228</v>
      </c>
      <c r="C76" s="80">
        <v>7.5471698099999998E-2</v>
      </c>
      <c r="D76" s="106">
        <v>222</v>
      </c>
      <c r="E76" s="107">
        <f>IF(ISNUMBER(D76), (D76 - $B76) / $B76, "")</f>
        <v>-2.6315789473684209E-2</v>
      </c>
      <c r="F76" s="108">
        <f>IF(ISNUMBER(D76), $B91 * E76, "")</f>
        <v>-2631.5789473684208</v>
      </c>
      <c r="G76" s="109">
        <v>223</v>
      </c>
      <c r="H76" s="107">
        <f>IF(ISNUMBER(G76), (G76 - $B76) / $B76, "")</f>
        <v>-2.1929824561403508E-2</v>
      </c>
      <c r="I76" s="110">
        <f>IF(ISNUMBER(G76), $B91 * H76, "")</f>
        <v>-2192.9824561403507</v>
      </c>
      <c r="J76" s="106">
        <v>224</v>
      </c>
      <c r="K76" s="107">
        <f>IF(ISNUMBER(J76), (J76 - $B76) / $B76, "")</f>
        <v>-1.7543859649122806E-2</v>
      </c>
      <c r="L76" s="108">
        <f>IF(ISNUMBER(J76), $B91 * K76, "")</f>
        <v>-1754.3859649122805</v>
      </c>
      <c r="M76" s="109">
        <v>227</v>
      </c>
      <c r="N76" s="107">
        <f>IF(ISNUMBER(M76), (M76 - $B76) / $B76, "")</f>
        <v>-4.3859649122807015E-3</v>
      </c>
      <c r="O76" s="108">
        <f>IF(ISNUMBER(M76), $B91 * N76, "")</f>
        <v>-438.59649122807014</v>
      </c>
      <c r="Q76" s="216"/>
      <c r="R76" s="216"/>
      <c r="S76" s="216"/>
    </row>
    <row r="77" spans="1:19" ht="17.25" thickBot="1">
      <c r="A77" s="125" t="s">
        <v>233</v>
      </c>
      <c r="B77" s="126">
        <v>396</v>
      </c>
      <c r="C77" s="77">
        <v>7.3170731700000005E-2</v>
      </c>
      <c r="D77" s="15">
        <v>399</v>
      </c>
      <c r="E77" s="32">
        <f t="shared" ref="E77:E80" si="34">IF(ISNUMBER(D77), (D77 - $B77) / $B77, "")</f>
        <v>7.575757575757576E-3</v>
      </c>
      <c r="F77" s="18">
        <f>IF(ISNUMBER(D77), $B91 * E77, "")</f>
        <v>757.57575757575762</v>
      </c>
      <c r="G77" s="31">
        <v>403</v>
      </c>
      <c r="H77" s="32">
        <f t="shared" ref="H77:H80" si="35">IF(ISNUMBER(G77), (G77 - $B77) / $B77, "")</f>
        <v>1.7676767676767676E-2</v>
      </c>
      <c r="I77" s="101">
        <f>IF(ISNUMBER(G77), $B91 * H77, "")</f>
        <v>1767.6767676767677</v>
      </c>
      <c r="J77" s="15">
        <v>396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395</v>
      </c>
      <c r="N77" s="32">
        <f t="shared" ref="N77:N80" si="37">IF(ISNUMBER(M77), (M77 - $B77) / $B77, "")</f>
        <v>-2.5252525252525255E-3</v>
      </c>
      <c r="O77" s="18">
        <f>IF(ISNUMBER(M77), $B91 * N77, "")</f>
        <v>-252.52525252525254</v>
      </c>
      <c r="Q77" s="216"/>
      <c r="R77" s="216"/>
      <c r="S77" s="216"/>
    </row>
    <row r="78" spans="1:19" ht="17.25" thickBot="1">
      <c r="A78" s="125" t="s">
        <v>237</v>
      </c>
      <c r="B78" s="126">
        <v>436</v>
      </c>
      <c r="C78" s="77">
        <v>3.3175355500000003E-2</v>
      </c>
      <c r="D78" s="15">
        <v>432</v>
      </c>
      <c r="E78" s="32">
        <f t="shared" si="34"/>
        <v>-9.1743119266055051E-3</v>
      </c>
      <c r="F78" s="18">
        <f>IF(ISNUMBER(D78), $B91 * E78, "")</f>
        <v>-917.43119266055055</v>
      </c>
      <c r="G78" s="31">
        <v>439</v>
      </c>
      <c r="H78" s="32">
        <f t="shared" si="35"/>
        <v>6.8807339449541288E-3</v>
      </c>
      <c r="I78" s="101">
        <f>IF(ISNUMBER(G78), $B91 * H78, "")</f>
        <v>688.07339449541291</v>
      </c>
      <c r="J78" s="15">
        <v>441</v>
      </c>
      <c r="K78" s="32">
        <f t="shared" si="36"/>
        <v>1.1467889908256881E-2</v>
      </c>
      <c r="L78" s="18">
        <f>IF(ISNUMBER(J78), $B91 * K78, "")</f>
        <v>1146.7889908256882</v>
      </c>
      <c r="M78" s="31">
        <v>443</v>
      </c>
      <c r="N78" s="32">
        <f t="shared" si="37"/>
        <v>1.6055045871559634E-2</v>
      </c>
      <c r="O78" s="18">
        <f>IF(ISNUMBER(M78), $B91 * N78, "")</f>
        <v>1605.5045871559635</v>
      </c>
      <c r="Q78" s="216"/>
      <c r="R78" s="216"/>
      <c r="S78" s="216"/>
    </row>
    <row r="79" spans="1:19" ht="17.25" thickBot="1">
      <c r="A79" s="125" t="s">
        <v>220</v>
      </c>
      <c r="B79" s="126">
        <v>125</v>
      </c>
      <c r="C79" s="77">
        <v>3.3057851200000002E-2</v>
      </c>
      <c r="D79" s="15">
        <v>124</v>
      </c>
      <c r="E79" s="32">
        <f t="shared" si="34"/>
        <v>-8.0000000000000002E-3</v>
      </c>
      <c r="F79" s="18">
        <f>IF(ISNUMBER(D79), $B91 * E79, "")</f>
        <v>-800</v>
      </c>
      <c r="G79" s="31">
        <v>125</v>
      </c>
      <c r="H79" s="32">
        <f t="shared" si="35"/>
        <v>0</v>
      </c>
      <c r="I79" s="101">
        <f>IF(ISNUMBER(G79), $B91 * H79, "")</f>
        <v>0</v>
      </c>
      <c r="J79" s="15">
        <v>126</v>
      </c>
      <c r="K79" s="32">
        <f t="shared" si="36"/>
        <v>8.0000000000000002E-3</v>
      </c>
      <c r="L79" s="18">
        <f>IF(ISNUMBER(J79), $B91 * K79, "")</f>
        <v>800</v>
      </c>
      <c r="M79" s="31">
        <v>128</v>
      </c>
      <c r="N79" s="32">
        <f t="shared" si="37"/>
        <v>2.4E-2</v>
      </c>
      <c r="O79" s="18">
        <f>IF(ISNUMBER(M79), $B91 * N79, "")</f>
        <v>2400</v>
      </c>
      <c r="Q79" s="33"/>
      <c r="R79" s="33"/>
    </row>
    <row r="80" spans="1:19" ht="17.25" thickBot="1">
      <c r="A80" s="130" t="s">
        <v>118</v>
      </c>
      <c r="B80" s="131">
        <v>137</v>
      </c>
      <c r="C80" s="79">
        <v>3.0075187999999999E-2</v>
      </c>
      <c r="D80" s="24">
        <v>139</v>
      </c>
      <c r="E80" s="25">
        <f t="shared" si="34"/>
        <v>1.4598540145985401E-2</v>
      </c>
      <c r="F80" s="104">
        <f>IF(ISNUMBER(D80), $B91 * E80, "")</f>
        <v>1459.8540145985401</v>
      </c>
      <c r="G80" s="102">
        <v>141</v>
      </c>
      <c r="H80" s="25">
        <f t="shared" si="35"/>
        <v>2.9197080291970802E-2</v>
      </c>
      <c r="I80" s="103">
        <f>IF(ISNUMBER(G80), $B91 * H80, "")</f>
        <v>2919.7080291970801</v>
      </c>
      <c r="J80" s="24">
        <v>141</v>
      </c>
      <c r="K80" s="25">
        <f t="shared" si="36"/>
        <v>2.9197080291970802E-2</v>
      </c>
      <c r="L80" s="104">
        <f>IF(ISNUMBER(J80), $B91 * K80, "")</f>
        <v>2919.7080291970801</v>
      </c>
      <c r="M80" s="102">
        <v>142</v>
      </c>
      <c r="N80" s="25">
        <f t="shared" si="37"/>
        <v>3.6496350364963501E-2</v>
      </c>
      <c r="O80" s="104">
        <f>IF(ISNUMBER(M80), $B91 * N80, "")</f>
        <v>3649.63503649635</v>
      </c>
      <c r="Q80" s="217"/>
      <c r="R80" s="218"/>
      <c r="S80" s="219"/>
    </row>
    <row r="81" spans="1:19">
      <c r="A81" s="123" t="s">
        <v>206</v>
      </c>
      <c r="B81" s="124">
        <v>223</v>
      </c>
      <c r="C81" s="76">
        <v>2.7649769599999999E-2</v>
      </c>
      <c r="D81" s="13">
        <v>223</v>
      </c>
      <c r="E81" s="14">
        <f>IF(ISNUMBER(D81), (D81 - $B81) / $B81, "")</f>
        <v>0</v>
      </c>
      <c r="F81" s="16">
        <f>IF(ISNUMBER(D81), $B91 * E81, "")</f>
        <v>0</v>
      </c>
      <c r="G81" s="29">
        <v>224</v>
      </c>
      <c r="H81" s="14">
        <f>IF(ISNUMBER(G81), (G81 - $B81) / $B81, "")</f>
        <v>4.4843049327354259E-3</v>
      </c>
      <c r="I81" s="100">
        <f>IF(ISNUMBER(G81), $B91 * H81, "")</f>
        <v>448.4304932735426</v>
      </c>
      <c r="J81" s="13">
        <v>225</v>
      </c>
      <c r="K81" s="14">
        <f>IF(ISNUMBER(J81), (J81 - $B81) / $B81, "")</f>
        <v>8.9686098654708519E-3</v>
      </c>
      <c r="L81" s="16">
        <f>IF(ISNUMBER(J81), $B91 * K81, "")</f>
        <v>896.86098654708519</v>
      </c>
      <c r="M81" s="29">
        <v>229</v>
      </c>
      <c r="N81" s="14">
        <f>IF(ISNUMBER(M81), (M81 - $B81) / $B81, "")</f>
        <v>2.6905829596412557E-2</v>
      </c>
      <c r="O81" s="16">
        <f>IF(ISNUMBER(M81), $B91 * N81, "")</f>
        <v>2690.5829596412559</v>
      </c>
      <c r="Q81" s="220"/>
      <c r="R81" s="221"/>
      <c r="S81" s="222"/>
    </row>
    <row r="82" spans="1:19" ht="17.25" thickBot="1">
      <c r="A82" s="125" t="s">
        <v>80</v>
      </c>
      <c r="B82" s="126">
        <v>693</v>
      </c>
      <c r="C82" s="77">
        <v>2.3633678000000002E-2</v>
      </c>
      <c r="D82" s="15">
        <v>675</v>
      </c>
      <c r="E82" s="32">
        <f t="shared" ref="E82:E85" si="38">IF(ISNUMBER(D82), (D82 - $B82) / $B82, "")</f>
        <v>-2.5974025974025976E-2</v>
      </c>
      <c r="F82" s="18">
        <f>IF(ISNUMBER(D82), $B91 * E82, "")</f>
        <v>-2597.4025974025976</v>
      </c>
      <c r="G82" s="31">
        <v>687</v>
      </c>
      <c r="H82" s="32">
        <f t="shared" ref="H82:H85" si="39">IF(ISNUMBER(G82), (G82 - $B82) / $B82, "")</f>
        <v>-8.658008658008658E-3</v>
      </c>
      <c r="I82" s="101">
        <f>IF(ISNUMBER(G82), $B91 * H82, "")</f>
        <v>-865.80086580086584</v>
      </c>
      <c r="J82" s="15">
        <v>690</v>
      </c>
      <c r="K82" s="32">
        <f t="shared" ref="K82:K85" si="40">IF(ISNUMBER(J82), (J82 - $B82) / $B82, "")</f>
        <v>-4.329004329004329E-3</v>
      </c>
      <c r="L82" s="18">
        <f>IF(ISNUMBER(J82), $B91 * K82, "")</f>
        <v>-432.90043290043292</v>
      </c>
      <c r="M82" s="31">
        <v>694</v>
      </c>
      <c r="N82" s="32">
        <f t="shared" ref="N82:N85" si="41">IF(ISNUMBER(M82), (M82 - $B82) / $B82, "")</f>
        <v>1.443001443001443E-3</v>
      </c>
      <c r="O82" s="18">
        <f>IF(ISNUMBER(M82), $B91 * N82, "")</f>
        <v>144.3001443001443</v>
      </c>
      <c r="Q82" s="223"/>
      <c r="R82" s="224"/>
      <c r="S82" s="225"/>
    </row>
    <row r="83" spans="1:19" ht="17.25" thickBot="1">
      <c r="A83" s="125" t="s">
        <v>90</v>
      </c>
      <c r="B83" s="126">
        <v>782</v>
      </c>
      <c r="C83" s="77">
        <v>2.35602094E-2</v>
      </c>
      <c r="D83" s="15">
        <v>791</v>
      </c>
      <c r="E83" s="32">
        <f t="shared" si="38"/>
        <v>1.1508951406649617E-2</v>
      </c>
      <c r="F83" s="18">
        <f>IF(ISNUMBER(D83), $B91 * E83, "")</f>
        <v>1150.8951406649617</v>
      </c>
      <c r="G83" s="31">
        <v>803</v>
      </c>
      <c r="H83" s="32">
        <f t="shared" si="39"/>
        <v>2.6854219948849106E-2</v>
      </c>
      <c r="I83" s="101">
        <f>IF(ISNUMBER(G83), $B91 * H83, "")</f>
        <v>2685.4219948849104</v>
      </c>
      <c r="J83" s="15">
        <v>809</v>
      </c>
      <c r="K83" s="32">
        <f t="shared" si="40"/>
        <v>3.4526854219948847E-2</v>
      </c>
      <c r="L83" s="18">
        <f>IF(ISNUMBER(J83), $B91 * K83, "")</f>
        <v>3452.6854219948846</v>
      </c>
      <c r="M83" s="31">
        <v>803</v>
      </c>
      <c r="N83" s="32">
        <f t="shared" si="41"/>
        <v>2.6854219948849106E-2</v>
      </c>
      <c r="O83" s="18">
        <f>IF(ISNUMBER(M83), $B91 * N83, "")</f>
        <v>2685.4219948849104</v>
      </c>
      <c r="Q83" s="216"/>
      <c r="R83" s="216"/>
      <c r="S83" s="216"/>
    </row>
    <row r="84" spans="1:19" ht="17.25" thickBot="1">
      <c r="A84" s="125" t="s">
        <v>61</v>
      </c>
      <c r="B84" s="126">
        <v>642</v>
      </c>
      <c r="C84" s="77">
        <v>2.0667726599999998E-2</v>
      </c>
      <c r="D84" s="15">
        <v>658</v>
      </c>
      <c r="E84" s="32">
        <f t="shared" si="38"/>
        <v>2.4922118380062305E-2</v>
      </c>
      <c r="F84" s="18">
        <f>IF(ISNUMBER(D84), $B91 * E84, "")</f>
        <v>2492.2118380062307</v>
      </c>
      <c r="G84" s="31">
        <v>667</v>
      </c>
      <c r="H84" s="32">
        <f t="shared" si="39"/>
        <v>3.8940809968847349E-2</v>
      </c>
      <c r="I84" s="101">
        <f>IF(ISNUMBER(G84), $B91 * H84, "")</f>
        <v>3894.0809968847348</v>
      </c>
      <c r="J84" s="15">
        <v>670</v>
      </c>
      <c r="K84" s="32">
        <f t="shared" si="40"/>
        <v>4.3613707165109032E-2</v>
      </c>
      <c r="L84" s="18">
        <f>IF(ISNUMBER(J84), $B91 * K84, "")</f>
        <v>4361.3707165109035</v>
      </c>
      <c r="M84" s="31">
        <v>664</v>
      </c>
      <c r="N84" s="32">
        <f t="shared" si="41"/>
        <v>3.4267912772585667E-2</v>
      </c>
      <c r="O84" s="18">
        <f>IF(ISNUMBER(M84), $B91 * N84, "")</f>
        <v>3426.7912772585669</v>
      </c>
      <c r="Q84" s="226"/>
      <c r="R84" s="226"/>
      <c r="S84" s="226"/>
    </row>
    <row r="85" spans="1:19" ht="17.25" thickBot="1">
      <c r="A85" s="127" t="s">
        <v>128</v>
      </c>
      <c r="B85" s="128">
        <v>103</v>
      </c>
      <c r="C85" s="78">
        <v>1.9801980199999999E-2</v>
      </c>
      <c r="D85" s="20">
        <v>101</v>
      </c>
      <c r="E85" s="21">
        <f t="shared" si="38"/>
        <v>-1.9417475728155338E-2</v>
      </c>
      <c r="F85" s="22">
        <f>IF(ISNUMBER(D85), $B91 * E85, "")</f>
        <v>-1941.7475728155339</v>
      </c>
      <c r="G85" s="30">
        <v>102</v>
      </c>
      <c r="H85" s="21">
        <f t="shared" si="39"/>
        <v>-9.7087378640776691E-3</v>
      </c>
      <c r="I85" s="105">
        <f>IF(ISNUMBER(G85), $B91 * H85, "")</f>
        <v>-970.87378640776694</v>
      </c>
      <c r="J85" s="20">
        <v>103</v>
      </c>
      <c r="K85" s="21">
        <f t="shared" si="40"/>
        <v>0</v>
      </c>
      <c r="L85" s="22">
        <f>IF(ISNUMBER(J85), $B91 * K85, "")</f>
        <v>0</v>
      </c>
      <c r="M85" s="30">
        <v>103</v>
      </c>
      <c r="N85" s="21">
        <f t="shared" si="41"/>
        <v>0</v>
      </c>
      <c r="O85" s="22">
        <f>IF(ISNUMBER(M85), $B91 * N85, "")</f>
        <v>0</v>
      </c>
      <c r="Q85" s="226"/>
      <c r="R85" s="226"/>
      <c r="S85" s="226"/>
    </row>
    <row r="86" spans="1:19" ht="17.25" thickBot="1">
      <c r="A86" s="125" t="s">
        <v>57</v>
      </c>
      <c r="B86" s="129">
        <v>157</v>
      </c>
      <c r="C86" s="80">
        <v>1.9480519500000001E-2</v>
      </c>
      <c r="D86" s="106">
        <v>155</v>
      </c>
      <c r="E86" s="107">
        <f>IF(ISNUMBER(D86), (D86 - $B86) / $B86, "")</f>
        <v>-1.2738853503184714E-2</v>
      </c>
      <c r="F86" s="108">
        <f>IF(ISNUMBER(D86), $B91 * E86, "")</f>
        <v>-1273.8853503184714</v>
      </c>
      <c r="G86" s="109">
        <v>158</v>
      </c>
      <c r="H86" s="107">
        <f>IF(ISNUMBER(G86), (G86 - $B86) / $B86, "")</f>
        <v>6.369426751592357E-3</v>
      </c>
      <c r="I86" s="110">
        <f>IF(ISNUMBER(G86), $B91 * H86, "")</f>
        <v>636.9426751592357</v>
      </c>
      <c r="J86" s="106">
        <v>160</v>
      </c>
      <c r="K86" s="107">
        <f>IF(ISNUMBER(J86), (J86 - $B86) / $B86, "")</f>
        <v>1.9108280254777069E-2</v>
      </c>
      <c r="L86" s="108">
        <f>IF(ISNUMBER(J86), $B91 * K86, "")</f>
        <v>1910.8280254777069</v>
      </c>
      <c r="M86" s="109">
        <v>159</v>
      </c>
      <c r="N86" s="107">
        <f>IF(ISNUMBER(M86), (M86 - $B86) / $B86, "")</f>
        <v>1.2738853503184714E-2</v>
      </c>
      <c r="O86" s="108">
        <f>IF(ISNUMBER(M86), $B91 * N86, "")</f>
        <v>1273.8853503184714</v>
      </c>
      <c r="Q86" s="216"/>
      <c r="R86" s="216"/>
      <c r="S86" s="216"/>
    </row>
    <row r="87" spans="1:19" ht="17.25" thickBot="1">
      <c r="A87" s="125" t="s">
        <v>168</v>
      </c>
      <c r="B87" s="126">
        <v>959</v>
      </c>
      <c r="C87" s="77">
        <v>1.8046709099999999E-2</v>
      </c>
      <c r="D87" s="15">
        <v>1015</v>
      </c>
      <c r="E87" s="32">
        <f t="shared" ref="E87:E90" si="42">IF(ISNUMBER(D87), (D87 - $B87) / $B87, "")</f>
        <v>5.8394160583941604E-2</v>
      </c>
      <c r="F87" s="18">
        <f>IF(ISNUMBER(D87), $B91 * E87, "")</f>
        <v>5839.4160583941602</v>
      </c>
      <c r="G87" s="31">
        <v>999</v>
      </c>
      <c r="H87" s="32">
        <f t="shared" ref="H87:H90" si="43">IF(ISNUMBER(G87), (G87 - $B87) / $B87, "")</f>
        <v>4.171011470281543E-2</v>
      </c>
      <c r="I87" s="101">
        <f>IF(ISNUMBER(G87), $B91 * H87, "")</f>
        <v>4171.0114702815426</v>
      </c>
      <c r="J87" s="15">
        <v>999</v>
      </c>
      <c r="K87" s="32">
        <f t="shared" ref="K87:K90" si="44">IF(ISNUMBER(J87), (J87 - $B87) / $B87, "")</f>
        <v>4.171011470281543E-2</v>
      </c>
      <c r="L87" s="18">
        <f>IF(ISNUMBER(J87), $B91 * K87, "")</f>
        <v>4171.0114702815426</v>
      </c>
      <c r="M87" s="31">
        <v>993</v>
      </c>
      <c r="N87" s="32">
        <f t="shared" ref="N87:N90" si="45">IF(ISNUMBER(M87), (M87 - $B87) / $B87, "")</f>
        <v>3.5453597497393116E-2</v>
      </c>
      <c r="O87" s="18">
        <f>IF(ISNUMBER(M87), $B91 * N87, "")</f>
        <v>3545.3597497393116</v>
      </c>
      <c r="Q87" s="216"/>
      <c r="R87" s="216"/>
      <c r="S87" s="216"/>
    </row>
    <row r="88" spans="1:19" ht="17.25" thickBot="1">
      <c r="A88" s="125" t="s">
        <v>164</v>
      </c>
      <c r="B88" s="126">
        <v>237</v>
      </c>
      <c r="C88" s="77">
        <v>1.7167381999999998E-2</v>
      </c>
      <c r="D88" s="15">
        <v>248</v>
      </c>
      <c r="E88" s="32">
        <f t="shared" si="42"/>
        <v>4.6413502109704644E-2</v>
      </c>
      <c r="F88" s="18">
        <f>IF(ISNUMBER(D88), $B91 * E88, "")</f>
        <v>4641.3502109704641</v>
      </c>
      <c r="G88" s="31">
        <v>252</v>
      </c>
      <c r="H88" s="32">
        <f t="shared" si="43"/>
        <v>6.3291139240506333E-2</v>
      </c>
      <c r="I88" s="101">
        <f>IF(ISNUMBER(G88), $B91 * H88, "")</f>
        <v>6329.1139240506336</v>
      </c>
      <c r="J88" s="15">
        <v>257</v>
      </c>
      <c r="K88" s="32">
        <f t="shared" si="44"/>
        <v>8.4388185654008435E-2</v>
      </c>
      <c r="L88" s="18">
        <f>IF(ISNUMBER(J88), $B91 * K88, "")</f>
        <v>8438.818565400843</v>
      </c>
      <c r="M88" s="31">
        <v>251</v>
      </c>
      <c r="N88" s="32">
        <f t="shared" si="45"/>
        <v>5.9071729957805907E-2</v>
      </c>
      <c r="O88" s="18">
        <f>IF(ISNUMBER(M88), $B91 * N88, "")</f>
        <v>5907.172995780591</v>
      </c>
      <c r="Q88" s="216"/>
      <c r="R88" s="216"/>
      <c r="S88" s="216"/>
    </row>
    <row r="89" spans="1:19">
      <c r="A89" s="125" t="s">
        <v>267</v>
      </c>
      <c r="B89" s="126">
        <v>289</v>
      </c>
      <c r="C89" s="77">
        <v>1.4035087700000001E-2</v>
      </c>
      <c r="D89" s="15">
        <v>287</v>
      </c>
      <c r="E89" s="32">
        <f t="shared" si="42"/>
        <v>-6.920415224913495E-3</v>
      </c>
      <c r="F89" s="18">
        <f>IF(ISNUMBER(D89), $B91 * E89, "")</f>
        <v>-692.0415224913495</v>
      </c>
      <c r="G89" s="31">
        <v>289</v>
      </c>
      <c r="H89" s="32">
        <f t="shared" si="43"/>
        <v>0</v>
      </c>
      <c r="I89" s="101">
        <f>IF(ISNUMBER(G89), $B91 * H89, "")</f>
        <v>0</v>
      </c>
      <c r="J89" s="15">
        <v>289</v>
      </c>
      <c r="K89" s="32">
        <f t="shared" si="44"/>
        <v>0</v>
      </c>
      <c r="L89" s="18">
        <f>IF(ISNUMBER(J89), $B91 * K89, "")</f>
        <v>0</v>
      </c>
      <c r="M89" s="31">
        <v>288</v>
      </c>
      <c r="N89" s="32">
        <f t="shared" si="45"/>
        <v>-3.4602076124567475E-3</v>
      </c>
      <c r="O89" s="18">
        <f>IF(ISNUMBER(M89), $B91 * N89, "")</f>
        <v>-346.02076124567475</v>
      </c>
      <c r="Q89" s="205"/>
      <c r="R89" s="206"/>
      <c r="S89" s="207"/>
    </row>
    <row r="90" spans="1:19" ht="17.25" thickBot="1">
      <c r="A90" s="130" t="s">
        <v>104</v>
      </c>
      <c r="B90" s="131">
        <v>817</v>
      </c>
      <c r="C90" s="79">
        <v>1.23915737E-2</v>
      </c>
      <c r="D90" s="24">
        <v>811</v>
      </c>
      <c r="E90" s="25">
        <f t="shared" si="42"/>
        <v>-7.3439412484700125E-3</v>
      </c>
      <c r="F90" s="104">
        <f>IF(ISNUMBER(D90), $B91 * E90, "")</f>
        <v>-734.39412484700119</v>
      </c>
      <c r="G90" s="102">
        <v>826</v>
      </c>
      <c r="H90" s="25">
        <f t="shared" si="43"/>
        <v>1.1015911872705019E-2</v>
      </c>
      <c r="I90" s="103">
        <f>IF(ISNUMBER(G90), $B91 * H90, "")</f>
        <v>1101.5911872705019</v>
      </c>
      <c r="J90" s="24">
        <v>831</v>
      </c>
      <c r="K90" s="25">
        <f t="shared" si="44"/>
        <v>1.7135862913096694E-2</v>
      </c>
      <c r="L90" s="104">
        <f>IF(ISNUMBER(J90), $B91 * K90, "")</f>
        <v>1713.5862913096694</v>
      </c>
      <c r="M90" s="102">
        <v>838</v>
      </c>
      <c r="N90" s="25">
        <f t="shared" si="45"/>
        <v>2.5703794369645042E-2</v>
      </c>
      <c r="O90" s="104">
        <f>IF(ISNUMBER(M90), $B91 * N90, "")</f>
        <v>2570.3794369645043</v>
      </c>
      <c r="Q90" s="208"/>
      <c r="R90" s="209"/>
      <c r="S90" s="210"/>
    </row>
    <row r="91" spans="1:19" ht="17.25" thickBot="1">
      <c r="A91" s="132" t="s">
        <v>271</v>
      </c>
      <c r="B91" s="269">
        <f>$B$37</f>
        <v>100000</v>
      </c>
      <c r="C91" s="270"/>
      <c r="D91" s="26" t="s">
        <v>272</v>
      </c>
      <c r="E91" s="27">
        <f>IF(COUNT(E71:E90), SUM(E71:E90) / COUNT(E71:E90), 0)</f>
        <v>1.7776598968509752E-3</v>
      </c>
      <c r="F91" s="28">
        <f>SUM(F71:F90)</f>
        <v>3555.3197937019495</v>
      </c>
      <c r="G91" s="26" t="s">
        <v>272</v>
      </c>
      <c r="H91" s="27">
        <f>IF(COUNT(H71:H90), SUM(H71:H90) / COUNT(H71:H90), 0)</f>
        <v>1.5578938666781131E-2</v>
      </c>
      <c r="I91" s="28">
        <f>SUM(I71:I90)</f>
        <v>31157.877333562261</v>
      </c>
      <c r="J91" s="26" t="s">
        <v>272</v>
      </c>
      <c r="K91" s="27">
        <f>IF(COUNT(K71:K90), SUM(K71:K90) / COUNT(K71:K90), 0)</f>
        <v>2.1788290301444215E-2</v>
      </c>
      <c r="L91" s="28">
        <f>SUM(L71:L90)</f>
        <v>43576.580602888425</v>
      </c>
      <c r="M91" s="26" t="s">
        <v>272</v>
      </c>
      <c r="N91" s="27">
        <f>IF(COUNT(N71:N90), SUM(N71:N90) / COUNT(N71:N90), 0)</f>
        <v>1.7374656943821169E-2</v>
      </c>
      <c r="O91" s="28">
        <f>SUM(O71:O90)</f>
        <v>34749.313887642347</v>
      </c>
      <c r="Q91" s="211"/>
      <c r="R91" s="212"/>
      <c r="S91" s="213"/>
    </row>
    <row r="93" spans="1:19" ht="17.25" thickBot="1"/>
    <row r="94" spans="1:19" ht="17.25" thickBot="1">
      <c r="A94" s="227" t="s">
        <v>46</v>
      </c>
      <c r="B94" s="228"/>
      <c r="C94" s="228"/>
      <c r="D94" s="228"/>
      <c r="E94" s="228"/>
      <c r="F94" s="228"/>
      <c r="G94" s="228"/>
      <c r="H94" s="228"/>
      <c r="I94" s="228"/>
      <c r="J94" s="228"/>
      <c r="K94" s="228"/>
      <c r="L94" s="228"/>
      <c r="M94" s="228"/>
      <c r="N94" s="228"/>
      <c r="O94" s="229"/>
      <c r="Q94" s="226"/>
      <c r="R94" s="226"/>
      <c r="S94" s="226"/>
    </row>
    <row r="95" spans="1:19" ht="17.25" thickBot="1">
      <c r="A95" s="169" t="s">
        <v>268</v>
      </c>
      <c r="B95" s="227" t="s">
        <v>49</v>
      </c>
      <c r="C95" s="229"/>
      <c r="D95" s="227" t="s">
        <v>58</v>
      </c>
      <c r="E95" s="228"/>
      <c r="F95" s="229"/>
      <c r="G95" s="230">
        <f>_xlfn.IFNA(VLOOKUP(B95, 현재가테이블!$B$2:$D$200, 2, FALSE), "-")</f>
        <v>39916000</v>
      </c>
      <c r="H95" s="231"/>
      <c r="I95" s="232"/>
      <c r="J95" s="227" t="s">
        <v>59</v>
      </c>
      <c r="K95" s="228"/>
      <c r="L95" s="229"/>
      <c r="M95" s="233">
        <f>_xlfn.IFNA(VLOOKUP(B95, 현재가테이블!$B$2:$D$200, 3, FALSE), "-")</f>
        <v>7.3184273000000003E-3</v>
      </c>
      <c r="N95" s="234"/>
      <c r="O95" s="235"/>
      <c r="Q95" s="226"/>
      <c r="R95" s="226"/>
      <c r="S95" s="226"/>
    </row>
    <row r="96" spans="1:19" ht="17.25" thickBot="1">
      <c r="A96" s="271" t="s">
        <v>55</v>
      </c>
      <c r="B96" s="267" t="str">
        <f>TEXT($G$1, "[$-ko-KR]yyyy-mm-dd(ddd) ") &amp; "오전 00:00"</f>
        <v>2021-07-04(일) 오전 00:00</v>
      </c>
      <c r="C96" s="268"/>
      <c r="D96" s="240" t="str">
        <f>TEXT($G$1, "[$-ko-KR]yyyy-mm-dd(ddd) ") &amp; "오후 14:00"</f>
        <v>2021-07-04(일) 오후 14:00</v>
      </c>
      <c r="E96" s="241"/>
      <c r="F96" s="242"/>
      <c r="G96" s="240" t="str">
        <f>TEXT($G$1, "[$-ko-KR]yyyy-mm-dd(ddd) ") &amp; "오후 19:00"</f>
        <v>2021-07-04(일) 오후 19:00</v>
      </c>
      <c r="H96" s="241"/>
      <c r="I96" s="242"/>
      <c r="J96" s="240" t="str">
        <f>TEXT($G$1, "[$-ko-KR]yyyy-mm-dd(ddd) ") &amp; "오후 21:00"</f>
        <v>2021-07-04(일) 오후 21:00</v>
      </c>
      <c r="K96" s="241"/>
      <c r="L96" s="242"/>
      <c r="M96" s="240" t="str">
        <f>TEXT($G$1+1, "[$-ko-KR]yyyy-mm-dd(ddd) ") &amp; "오전 00:00"</f>
        <v>2021-07-05(월) 오전 00:00</v>
      </c>
      <c r="N96" s="241"/>
      <c r="O96" s="242"/>
      <c r="Q96" s="226"/>
      <c r="R96" s="226"/>
      <c r="S96" s="226"/>
    </row>
    <row r="97" spans="1:19" ht="17.25" thickBot="1">
      <c r="A97" s="27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0" t="s">
        <v>58</v>
      </c>
      <c r="H97" s="171" t="s">
        <v>269</v>
      </c>
      <c r="I97" s="17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6"/>
      <c r="R97" s="216"/>
      <c r="S97" s="216"/>
    </row>
    <row r="98" spans="1:19" ht="17.25" thickBot="1">
      <c r="A98" s="123" t="s">
        <v>228</v>
      </c>
      <c r="B98" s="124">
        <v>320</v>
      </c>
      <c r="C98" s="76">
        <v>0.21212121210000001</v>
      </c>
      <c r="D98" s="13">
        <v>311</v>
      </c>
      <c r="E98" s="14">
        <f>IF(ISNUMBER(D98), (D98 - $B98) / $B98, "")</f>
        <v>-2.8125000000000001E-2</v>
      </c>
      <c r="F98" s="16">
        <f>IF(ISNUMBER(D98), $B118 * E98, "")</f>
        <v>-2812.5</v>
      </c>
      <c r="G98" s="29">
        <v>321</v>
      </c>
      <c r="H98" s="14">
        <f>IF(ISNUMBER(G98), (G98 - $B98) / $B98, "")</f>
        <v>3.1250000000000002E-3</v>
      </c>
      <c r="I98" s="100">
        <f>IF(ISNUMBER(G98), $B118 * H98, "")</f>
        <v>312.5</v>
      </c>
      <c r="J98" s="13">
        <v>321</v>
      </c>
      <c r="K98" s="14">
        <f>IF(ISNUMBER(J98), (J98 - $B98) / $B98, "")</f>
        <v>3.1250000000000002E-3</v>
      </c>
      <c r="L98" s="16">
        <f>IF(ISNUMBER(J98), $B118 * K98, "")</f>
        <v>312.5</v>
      </c>
      <c r="M98" s="29">
        <v>317</v>
      </c>
      <c r="N98" s="14">
        <f>IF(ISNUMBER(M98), (M98 - $B98) / $B98, "")</f>
        <v>-9.3749999999999997E-3</v>
      </c>
      <c r="O98" s="16">
        <f>IF(ISNUMBER(M98), $B118 * N98, "")</f>
        <v>-937.5</v>
      </c>
      <c r="Q98" s="226"/>
      <c r="R98" s="226"/>
      <c r="S98" s="226"/>
    </row>
    <row r="99" spans="1:19" ht="17.25" thickBot="1">
      <c r="A99" s="125" t="s">
        <v>166</v>
      </c>
      <c r="B99" s="126">
        <v>132</v>
      </c>
      <c r="C99" s="77">
        <v>0.2</v>
      </c>
      <c r="D99" s="15">
        <v>123</v>
      </c>
      <c r="E99" s="32">
        <f t="shared" ref="E99:E102" si="46">IF(ISNUMBER(D99), (D99 - $B99) / $B99, "")</f>
        <v>-6.8181818181818177E-2</v>
      </c>
      <c r="F99" s="18">
        <f>IF(ISNUMBER(D99), $B118 * E99, "")</f>
        <v>-6818.181818181818</v>
      </c>
      <c r="G99" s="31">
        <v>125</v>
      </c>
      <c r="H99" s="32">
        <f t="shared" ref="H99:H102" si="47">IF(ISNUMBER(G99), (G99 - $B99) / $B99, "")</f>
        <v>-5.3030303030303032E-2</v>
      </c>
      <c r="I99" s="101">
        <f>IF(ISNUMBER(G99), $B118 * H99, "")</f>
        <v>-5303.030303030303</v>
      </c>
      <c r="J99" s="15">
        <v>125</v>
      </c>
      <c r="K99" s="32">
        <f t="shared" ref="K99:K102" si="48">IF(ISNUMBER(J99), (J99 - $B99) / $B99, "")</f>
        <v>-5.3030303030303032E-2</v>
      </c>
      <c r="L99" s="18">
        <f>IF(ISNUMBER(J99), $B118 * K99, "")</f>
        <v>-5303.030303030303</v>
      </c>
      <c r="M99" s="31">
        <v>125</v>
      </c>
      <c r="N99" s="32">
        <f t="shared" ref="N99:N102" si="49">IF(ISNUMBER(M99), (M99 - $B99) / $B99, "")</f>
        <v>-5.3030303030303032E-2</v>
      </c>
      <c r="O99" s="18">
        <f>IF(ISNUMBER(M99), $B118 * N99, "")</f>
        <v>-5303.030303030303</v>
      </c>
      <c r="Q99" s="226"/>
      <c r="R99" s="226"/>
      <c r="S99" s="226"/>
    </row>
    <row r="100" spans="1:19" ht="17.25" thickBot="1">
      <c r="A100" s="125" t="s">
        <v>154</v>
      </c>
      <c r="B100" s="126">
        <v>8260</v>
      </c>
      <c r="C100" s="77">
        <v>0.16256157639999999</v>
      </c>
      <c r="D100" s="15">
        <v>11050</v>
      </c>
      <c r="E100" s="32">
        <f t="shared" si="46"/>
        <v>0.33777239709443097</v>
      </c>
      <c r="F100" s="18">
        <f>IF(ISNUMBER(D100), $B118 * E100, "")</f>
        <v>33777.2397094431</v>
      </c>
      <c r="G100" s="31">
        <v>10320</v>
      </c>
      <c r="H100" s="32">
        <f t="shared" si="47"/>
        <v>0.24939467312348668</v>
      </c>
      <c r="I100" s="101">
        <f>IF(ISNUMBER(G100), $B118 * H100, "")</f>
        <v>24939.467312348668</v>
      </c>
      <c r="J100" s="15">
        <v>10500</v>
      </c>
      <c r="K100" s="32">
        <f t="shared" si="48"/>
        <v>0.2711864406779661</v>
      </c>
      <c r="L100" s="18">
        <f>IF(ISNUMBER(J100), $B118 * K100, "")</f>
        <v>27118.644067796609</v>
      </c>
      <c r="M100" s="31">
        <v>9995</v>
      </c>
      <c r="N100" s="32">
        <f t="shared" si="49"/>
        <v>0.21004842615012106</v>
      </c>
      <c r="O100" s="18">
        <f>IF(ISNUMBER(M100), $B118 * N100, "")</f>
        <v>21004.842615012105</v>
      </c>
      <c r="Q100" s="216"/>
      <c r="R100" s="216"/>
      <c r="S100" s="216"/>
    </row>
    <row r="101" spans="1:19" ht="17.25" thickBot="1">
      <c r="A101" s="125" t="s">
        <v>110</v>
      </c>
      <c r="B101" s="126">
        <v>121</v>
      </c>
      <c r="C101" s="77">
        <v>0.13084112149999999</v>
      </c>
      <c r="D101" s="15">
        <v>120</v>
      </c>
      <c r="E101" s="32">
        <f t="shared" si="46"/>
        <v>-8.2644628099173556E-3</v>
      </c>
      <c r="F101" s="18">
        <f>IF(ISNUMBER(D101), $B118 * E101, "")</f>
        <v>-826.44628099173553</v>
      </c>
      <c r="G101" s="31">
        <v>129</v>
      </c>
      <c r="H101" s="32">
        <f t="shared" si="47"/>
        <v>6.6115702479338845E-2</v>
      </c>
      <c r="I101" s="101">
        <f>IF(ISNUMBER(G101), $B118 * H101, "")</f>
        <v>6611.5702479338843</v>
      </c>
      <c r="J101" s="15">
        <v>130</v>
      </c>
      <c r="K101" s="32">
        <f t="shared" si="48"/>
        <v>7.43801652892562E-2</v>
      </c>
      <c r="L101" s="18">
        <f>IF(ISNUMBER(J101), $B118 * K101, "")</f>
        <v>7438.0165289256202</v>
      </c>
      <c r="M101" s="31">
        <v>127</v>
      </c>
      <c r="N101" s="32">
        <f t="shared" si="49"/>
        <v>4.9586776859504134E-2</v>
      </c>
      <c r="O101" s="18">
        <f>IF(ISNUMBER(M101), $B118 * N101, "")</f>
        <v>4958.6776859504134</v>
      </c>
      <c r="Q101" s="216"/>
      <c r="R101" s="216"/>
      <c r="S101" s="216"/>
    </row>
    <row r="102" spans="1:19" ht="17.25" thickBot="1">
      <c r="A102" s="127" t="s">
        <v>67</v>
      </c>
      <c r="B102" s="128">
        <v>3465</v>
      </c>
      <c r="C102" s="78">
        <v>0.1105769231</v>
      </c>
      <c r="D102" s="20">
        <v>3355</v>
      </c>
      <c r="E102" s="21">
        <f t="shared" si="46"/>
        <v>-3.1746031746031744E-2</v>
      </c>
      <c r="F102" s="22">
        <f>IF(ISNUMBER(D102), $B118 * E102, "")</f>
        <v>-3174.6031746031745</v>
      </c>
      <c r="G102" s="30">
        <v>3380</v>
      </c>
      <c r="H102" s="21">
        <f t="shared" si="47"/>
        <v>-2.4531024531024532E-2</v>
      </c>
      <c r="I102" s="105">
        <f>IF(ISNUMBER(G102), $B118 * H102, "")</f>
        <v>-2453.1024531024532</v>
      </c>
      <c r="J102" s="20">
        <v>3380</v>
      </c>
      <c r="K102" s="21">
        <f t="shared" si="48"/>
        <v>-2.4531024531024532E-2</v>
      </c>
      <c r="L102" s="22">
        <f>IF(ISNUMBER(J102), $B118 * K102, "")</f>
        <v>-2453.1024531024532</v>
      </c>
      <c r="M102" s="30">
        <v>3435</v>
      </c>
      <c r="N102" s="21">
        <f t="shared" si="49"/>
        <v>-8.658008658008658E-3</v>
      </c>
      <c r="O102" s="22">
        <f>IF(ISNUMBER(M102), $B118 * N102, "")</f>
        <v>-865.80086580086584</v>
      </c>
      <c r="Q102" s="216"/>
      <c r="R102" s="216"/>
      <c r="S102" s="216"/>
    </row>
    <row r="103" spans="1:19" ht="17.25" thickBot="1">
      <c r="A103" s="125" t="s">
        <v>204</v>
      </c>
      <c r="B103" s="129">
        <v>11.2</v>
      </c>
      <c r="C103" s="80">
        <v>9.8039215700000001E-2</v>
      </c>
      <c r="D103" s="106">
        <v>11.9</v>
      </c>
      <c r="E103" s="107">
        <f>IF(ISNUMBER(D103), (D103 - $B103) / $B103, "")</f>
        <v>6.2500000000000097E-2</v>
      </c>
      <c r="F103" s="108">
        <f>IF(ISNUMBER(D103), $B118 * E103, "")</f>
        <v>6250.00000000001</v>
      </c>
      <c r="G103" s="109">
        <v>11.8</v>
      </c>
      <c r="H103" s="107">
        <f>IF(ISNUMBER(G103), (G103 - $B103) / $B103, "")</f>
        <v>5.35714285714287E-2</v>
      </c>
      <c r="I103" s="110">
        <f>IF(ISNUMBER(G103), $B118 * H103, "")</f>
        <v>5357.1428571428696</v>
      </c>
      <c r="J103" s="106">
        <v>11.8</v>
      </c>
      <c r="K103" s="107">
        <f>IF(ISNUMBER(J103), (J103 - $B103) / $B103, "")</f>
        <v>5.35714285714287E-2</v>
      </c>
      <c r="L103" s="108">
        <f>IF(ISNUMBER(J103), $B118 * K103, "")</f>
        <v>5357.1428571428696</v>
      </c>
      <c r="M103" s="109">
        <v>11.8</v>
      </c>
      <c r="N103" s="107">
        <f>IF(ISNUMBER(M103), (M103 - $B103) / $B103, "")</f>
        <v>5.35714285714287E-2</v>
      </c>
      <c r="O103" s="108">
        <f>IF(ISNUMBER(M103), $B118 * N103, "")</f>
        <v>5357.1428571428696</v>
      </c>
      <c r="Q103" s="216"/>
      <c r="R103" s="216"/>
      <c r="S103" s="216"/>
    </row>
    <row r="104" spans="1:19" ht="17.25" thickBot="1">
      <c r="A104" s="125" t="s">
        <v>114</v>
      </c>
      <c r="B104" s="126">
        <v>309</v>
      </c>
      <c r="C104" s="77">
        <v>8.0419580399999996E-2</v>
      </c>
      <c r="D104" s="15">
        <v>325</v>
      </c>
      <c r="E104" s="32">
        <f t="shared" ref="E104:E107" si="50">IF(ISNUMBER(D104), (D104 - $B104) / $B104, "")</f>
        <v>5.1779935275080909E-2</v>
      </c>
      <c r="F104" s="18">
        <f>IF(ISNUMBER(D104), $B118 * E104, "")</f>
        <v>5177.9935275080907</v>
      </c>
      <c r="G104" s="31">
        <v>335</v>
      </c>
      <c r="H104" s="32">
        <f t="shared" ref="H104:H107" si="51">IF(ISNUMBER(G104), (G104 - $B104) / $B104, "")</f>
        <v>8.4142394822006472E-2</v>
      </c>
      <c r="I104" s="101">
        <f>IF(ISNUMBER(G104), $B118 * H104, "")</f>
        <v>8414.2394822006463</v>
      </c>
      <c r="J104" s="15">
        <v>346</v>
      </c>
      <c r="K104" s="32">
        <f t="shared" ref="K104:K107" si="52">IF(ISNUMBER(J104), (J104 - $B104) / $B104, "")</f>
        <v>0.11974110032362459</v>
      </c>
      <c r="L104" s="18">
        <f>IF(ISNUMBER(J104), $B118 * K104, "")</f>
        <v>11974.11003236246</v>
      </c>
      <c r="M104" s="31">
        <v>328</v>
      </c>
      <c r="N104" s="32">
        <f t="shared" ref="N104:N107" si="53">IF(ISNUMBER(M104), (M104 - $B104) / $B104, "")</f>
        <v>6.1488673139158574E-2</v>
      </c>
      <c r="O104" s="18">
        <f>IF(ISNUMBER(M104), $B118 * N104, "")</f>
        <v>6148.8673139158573</v>
      </c>
      <c r="Q104" s="216"/>
      <c r="R104" s="216"/>
      <c r="S104" s="216"/>
    </row>
    <row r="105" spans="1:19" ht="17.25" thickBot="1">
      <c r="A105" s="125" t="s">
        <v>192</v>
      </c>
      <c r="B105" s="126">
        <v>196</v>
      </c>
      <c r="C105" s="77">
        <v>7.6923076899999998E-2</v>
      </c>
      <c r="D105" s="15">
        <v>204</v>
      </c>
      <c r="E105" s="32">
        <f t="shared" si="50"/>
        <v>4.0816326530612242E-2</v>
      </c>
      <c r="F105" s="18">
        <f>IF(ISNUMBER(D105), $B118 * E105, "")</f>
        <v>4081.6326530612241</v>
      </c>
      <c r="G105" s="31">
        <v>197</v>
      </c>
      <c r="H105" s="32">
        <f t="shared" si="51"/>
        <v>5.1020408163265302E-3</v>
      </c>
      <c r="I105" s="101">
        <f>IF(ISNUMBER(G105), $B118 * H105, "")</f>
        <v>510.20408163265301</v>
      </c>
      <c r="J105" s="15">
        <v>199</v>
      </c>
      <c r="K105" s="32">
        <f t="shared" si="52"/>
        <v>1.5306122448979591E-2</v>
      </c>
      <c r="L105" s="18">
        <f>IF(ISNUMBER(J105), $B118 * K105, "")</f>
        <v>1530.612244897959</v>
      </c>
      <c r="M105" s="31">
        <v>198</v>
      </c>
      <c r="N105" s="32">
        <f t="shared" si="53"/>
        <v>1.020408163265306E-2</v>
      </c>
      <c r="O105" s="18">
        <f>IF(ISNUMBER(M105), $B118 * N105, "")</f>
        <v>1020.408163265306</v>
      </c>
      <c r="Q105" s="216"/>
      <c r="R105" s="216"/>
      <c r="S105" s="216"/>
    </row>
    <row r="106" spans="1:19" ht="17.25" thickBot="1">
      <c r="A106" s="125" t="s">
        <v>214</v>
      </c>
      <c r="B106" s="126">
        <v>228</v>
      </c>
      <c r="C106" s="77">
        <v>7.5471698099999998E-2</v>
      </c>
      <c r="D106" s="15">
        <v>222</v>
      </c>
      <c r="E106" s="32">
        <f t="shared" si="50"/>
        <v>-2.6315789473684209E-2</v>
      </c>
      <c r="F106" s="18">
        <f>IF(ISNUMBER(D106), $B118 * E106, "")</f>
        <v>-2631.5789473684208</v>
      </c>
      <c r="G106" s="31">
        <v>223</v>
      </c>
      <c r="H106" s="32">
        <f t="shared" si="51"/>
        <v>-2.1929824561403508E-2</v>
      </c>
      <c r="I106" s="101">
        <f>IF(ISNUMBER(G106), $B118 * H106, "")</f>
        <v>-2192.9824561403507</v>
      </c>
      <c r="J106" s="15">
        <v>224</v>
      </c>
      <c r="K106" s="32">
        <f t="shared" si="52"/>
        <v>-1.7543859649122806E-2</v>
      </c>
      <c r="L106" s="18">
        <f>IF(ISNUMBER(J106), $B118 * K106, "")</f>
        <v>-1754.3859649122805</v>
      </c>
      <c r="M106" s="31">
        <v>227</v>
      </c>
      <c r="N106" s="32">
        <f t="shared" si="53"/>
        <v>-4.3859649122807015E-3</v>
      </c>
      <c r="O106" s="18">
        <f>IF(ISNUMBER(M106), $B118 * N106, "")</f>
        <v>-438.59649122807014</v>
      </c>
      <c r="Q106" s="33"/>
      <c r="R106" s="33"/>
    </row>
    <row r="107" spans="1:19" ht="17.25" thickBot="1">
      <c r="A107" s="130" t="s">
        <v>233</v>
      </c>
      <c r="B107" s="131">
        <v>396</v>
      </c>
      <c r="C107" s="79">
        <v>7.3170731700000005E-2</v>
      </c>
      <c r="D107" s="24">
        <v>399</v>
      </c>
      <c r="E107" s="25">
        <f t="shared" si="50"/>
        <v>7.575757575757576E-3</v>
      </c>
      <c r="F107" s="104">
        <f>IF(ISNUMBER(D107), $B118 * E107, "")</f>
        <v>757.57575757575762</v>
      </c>
      <c r="G107" s="102">
        <v>403</v>
      </c>
      <c r="H107" s="25">
        <f t="shared" si="51"/>
        <v>1.7676767676767676E-2</v>
      </c>
      <c r="I107" s="103">
        <f>IF(ISNUMBER(G107), $B118 * H107, "")</f>
        <v>1767.6767676767677</v>
      </c>
      <c r="J107" s="24">
        <v>396</v>
      </c>
      <c r="K107" s="25">
        <f t="shared" si="52"/>
        <v>0</v>
      </c>
      <c r="L107" s="104">
        <f>IF(ISNUMBER(J107), $B118 * K107, "")</f>
        <v>0</v>
      </c>
      <c r="M107" s="102">
        <v>395</v>
      </c>
      <c r="N107" s="25">
        <f t="shared" si="53"/>
        <v>-2.5252525252525255E-3</v>
      </c>
      <c r="O107" s="104">
        <f>IF(ISNUMBER(M107), $B118 * N107, "")</f>
        <v>-252.52525252525254</v>
      </c>
      <c r="Q107" s="217"/>
      <c r="R107" s="218"/>
      <c r="S107" s="219"/>
    </row>
    <row r="108" spans="1:19">
      <c r="A108" s="123" t="s">
        <v>162</v>
      </c>
      <c r="B108" s="124">
        <v>84.6</v>
      </c>
      <c r="C108" s="76">
        <v>7.2243346E-2</v>
      </c>
      <c r="D108" s="13">
        <v>84.1</v>
      </c>
      <c r="E108" s="14">
        <f>IF(ISNUMBER(D108), (D108 - $B108) / $B108, "")</f>
        <v>-5.9101654846335705E-3</v>
      </c>
      <c r="F108" s="16">
        <f>IF(ISNUMBER(D108), $B118 * E108, "")</f>
        <v>-591.01654846335703</v>
      </c>
      <c r="G108" s="29">
        <v>85</v>
      </c>
      <c r="H108" s="14">
        <f>IF(ISNUMBER(G108), (G108 - $B108) / $B108, "")</f>
        <v>4.7281323877069233E-3</v>
      </c>
      <c r="I108" s="100">
        <f>IF(ISNUMBER(G108), $B118 * H108, "")</f>
        <v>472.81323877069235</v>
      </c>
      <c r="J108" s="13">
        <v>85.1</v>
      </c>
      <c r="K108" s="14">
        <f>IF(ISNUMBER(J108), (J108 - $B108) / $B108, "")</f>
        <v>5.9101654846335705E-3</v>
      </c>
      <c r="L108" s="16">
        <f>IF(ISNUMBER(J108), $B118 * K108, "")</f>
        <v>591.01654846335703</v>
      </c>
      <c r="M108" s="29">
        <v>86.1</v>
      </c>
      <c r="N108" s="14">
        <f>IF(ISNUMBER(M108), (M108 - $B108) / $B108, "")</f>
        <v>1.7730496453900711E-2</v>
      </c>
      <c r="O108" s="16">
        <f>IF(ISNUMBER(M108), $B118 * N108, "")</f>
        <v>1773.049645390071</v>
      </c>
      <c r="Q108" s="220"/>
      <c r="R108" s="221"/>
      <c r="S108" s="222"/>
    </row>
    <row r="109" spans="1:19" ht="17.25" thickBot="1">
      <c r="A109" s="125" t="s">
        <v>100</v>
      </c>
      <c r="B109" s="126">
        <v>66490</v>
      </c>
      <c r="C109" s="77">
        <v>5.8757961800000001E-2</v>
      </c>
      <c r="D109" s="15">
        <v>66880</v>
      </c>
      <c r="E109" s="32">
        <f t="shared" ref="E109:E112" si="54">IF(ISNUMBER(D109), (D109 - $B109) / $B109, "")</f>
        <v>5.8655436907805681E-3</v>
      </c>
      <c r="F109" s="18">
        <f>IF(ISNUMBER(D109), $B118 * E109, "")</f>
        <v>586.55436907805677</v>
      </c>
      <c r="G109" s="31">
        <v>67520</v>
      </c>
      <c r="H109" s="32">
        <f t="shared" ref="H109:H112" si="55">IF(ISNUMBER(G109), (G109 - $B109) / $B109, "")</f>
        <v>1.5491051285907656E-2</v>
      </c>
      <c r="I109" s="101">
        <f>IF(ISNUMBER(G109), $B118 * H109, "")</f>
        <v>1549.1051285907656</v>
      </c>
      <c r="J109" s="15">
        <v>67360</v>
      </c>
      <c r="K109" s="32">
        <f t="shared" ref="K109:K112" si="56">IF(ISNUMBER(J109), (J109 - $B109) / $B109, "")</f>
        <v>1.3084674387125884E-2</v>
      </c>
      <c r="L109" s="18">
        <f>IF(ISNUMBER(J109), $B118 * K109, "")</f>
        <v>1308.4674387125885</v>
      </c>
      <c r="M109" s="31">
        <v>66590</v>
      </c>
      <c r="N109" s="32">
        <f t="shared" ref="N109:N112" si="57">IF(ISNUMBER(M109), (M109 - $B109) / $B109, "")</f>
        <v>1.5039855617386072E-3</v>
      </c>
      <c r="O109" s="18">
        <f>IF(ISNUMBER(M109), $B118 * N109, "")</f>
        <v>150.39855617386073</v>
      </c>
      <c r="Q109" s="223"/>
      <c r="R109" s="224"/>
      <c r="S109" s="225"/>
    </row>
    <row r="110" spans="1:19" ht="17.25" thickBot="1">
      <c r="A110" s="125" t="s">
        <v>140</v>
      </c>
      <c r="B110" s="126">
        <v>5125</v>
      </c>
      <c r="C110" s="77">
        <v>5.7791537699999999E-2</v>
      </c>
      <c r="D110" s="15">
        <v>5170</v>
      </c>
      <c r="E110" s="32">
        <f t="shared" si="54"/>
        <v>8.7804878048780496E-3</v>
      </c>
      <c r="F110" s="18">
        <f>IF(ISNUMBER(D110), $B118 * E110, "")</f>
        <v>878.04878048780495</v>
      </c>
      <c r="G110" s="31">
        <v>5225</v>
      </c>
      <c r="H110" s="32">
        <f t="shared" si="55"/>
        <v>1.9512195121951219E-2</v>
      </c>
      <c r="I110" s="101">
        <f>IF(ISNUMBER(G110), $B118 * H110, "")</f>
        <v>1951.219512195122</v>
      </c>
      <c r="J110" s="15">
        <v>5240</v>
      </c>
      <c r="K110" s="32">
        <f t="shared" si="56"/>
        <v>2.2439024390243902E-2</v>
      </c>
      <c r="L110" s="18">
        <f>IF(ISNUMBER(J110), $B118 * K110, "")</f>
        <v>2243.9024390243903</v>
      </c>
      <c r="M110" s="31">
        <v>5245</v>
      </c>
      <c r="N110" s="32">
        <f t="shared" si="57"/>
        <v>2.3414634146341463E-2</v>
      </c>
      <c r="O110" s="18">
        <f>IF(ISNUMBER(M110), $B118 * N110, "")</f>
        <v>2341.4634146341464</v>
      </c>
      <c r="Q110" s="216"/>
      <c r="R110" s="216"/>
      <c r="S110" s="216"/>
    </row>
    <row r="111" spans="1:19" ht="17.25" thickBot="1">
      <c r="A111" s="125" t="s">
        <v>249</v>
      </c>
      <c r="B111" s="126">
        <v>2010</v>
      </c>
      <c r="C111" s="77">
        <v>5.5118110200000001E-2</v>
      </c>
      <c r="D111" s="15">
        <v>1990</v>
      </c>
      <c r="E111" s="32">
        <f t="shared" si="54"/>
        <v>-9.9502487562189053E-3</v>
      </c>
      <c r="F111" s="18">
        <f>IF(ISNUMBER(D111), $B118 * E111, "")</f>
        <v>-995.02487562189049</v>
      </c>
      <c r="G111" s="31">
        <v>2015</v>
      </c>
      <c r="H111" s="32">
        <f t="shared" si="55"/>
        <v>2.4875621890547263E-3</v>
      </c>
      <c r="I111" s="101">
        <f>IF(ISNUMBER(G111), $B118 * H111, "")</f>
        <v>248.75621890547262</v>
      </c>
      <c r="J111" s="15">
        <v>2020</v>
      </c>
      <c r="K111" s="32">
        <f t="shared" si="56"/>
        <v>4.9751243781094526E-3</v>
      </c>
      <c r="L111" s="18">
        <f>IF(ISNUMBER(J111), $B118 * K111, "")</f>
        <v>497.51243781094524</v>
      </c>
      <c r="M111" s="31">
        <v>2035</v>
      </c>
      <c r="N111" s="32">
        <f t="shared" si="57"/>
        <v>1.2437810945273632E-2</v>
      </c>
      <c r="O111" s="18">
        <f>IF(ISNUMBER(M111), $B118 * N111, "")</f>
        <v>1243.7810945273632</v>
      </c>
      <c r="Q111" s="226"/>
      <c r="R111" s="226"/>
      <c r="S111" s="226"/>
    </row>
    <row r="112" spans="1:19" ht="17.25" thickBot="1">
      <c r="A112" s="127" t="s">
        <v>198</v>
      </c>
      <c r="B112" s="128">
        <v>11850</v>
      </c>
      <c r="C112" s="78">
        <v>5.0531914900000002E-2</v>
      </c>
      <c r="D112" s="20">
        <v>13400</v>
      </c>
      <c r="E112" s="21">
        <f t="shared" si="54"/>
        <v>0.13080168776371309</v>
      </c>
      <c r="F112" s="22">
        <f>IF(ISNUMBER(D112), $B118 * E112, "")</f>
        <v>13080.168776371309</v>
      </c>
      <c r="G112" s="30">
        <v>12830</v>
      </c>
      <c r="H112" s="21">
        <f t="shared" si="55"/>
        <v>8.2700421940928276E-2</v>
      </c>
      <c r="I112" s="105">
        <f>IF(ISNUMBER(G112), $B118 * H112, "")</f>
        <v>8270.0421940928281</v>
      </c>
      <c r="J112" s="20">
        <v>12880</v>
      </c>
      <c r="K112" s="21">
        <f t="shared" si="56"/>
        <v>8.6919831223628688E-2</v>
      </c>
      <c r="L112" s="22">
        <f>IF(ISNUMBER(J112), $B118 * K112, "")</f>
        <v>8691.983122362868</v>
      </c>
      <c r="M112" s="30">
        <v>12800</v>
      </c>
      <c r="N112" s="21">
        <f t="shared" si="57"/>
        <v>8.0168776371308023E-2</v>
      </c>
      <c r="O112" s="22">
        <f>IF(ISNUMBER(M112), $B118 * N112, "")</f>
        <v>8016.8776371308022</v>
      </c>
      <c r="Q112" s="226"/>
      <c r="R112" s="226"/>
      <c r="S112" s="226"/>
    </row>
    <row r="113" spans="1:19" ht="17.25" thickBot="1">
      <c r="A113" s="125" t="s">
        <v>69</v>
      </c>
      <c r="B113" s="129">
        <v>3970</v>
      </c>
      <c r="C113" s="80">
        <v>4.47368421E-2</v>
      </c>
      <c r="D113" s="106">
        <v>3875</v>
      </c>
      <c r="E113" s="107">
        <f>IF(ISNUMBER(D113), (D113 - $B113) / $B113, "")</f>
        <v>-2.3929471032745592E-2</v>
      </c>
      <c r="F113" s="108">
        <f>IF(ISNUMBER(D113), $B118 * E113, "")</f>
        <v>-2392.9471032745591</v>
      </c>
      <c r="G113" s="109">
        <v>3965</v>
      </c>
      <c r="H113" s="107">
        <f>IF(ISNUMBER(G113), (G113 - $B113) / $B113, "")</f>
        <v>-1.2594458438287153E-3</v>
      </c>
      <c r="I113" s="110">
        <f>IF(ISNUMBER(G113), $B118 * H113, "")</f>
        <v>-125.94458438287154</v>
      </c>
      <c r="J113" s="106">
        <v>3995</v>
      </c>
      <c r="K113" s="107">
        <f>IF(ISNUMBER(J113), (J113 - $B113) / $B113, "")</f>
        <v>6.2972292191435771E-3</v>
      </c>
      <c r="L113" s="108">
        <f>IF(ISNUMBER(J113), $B118 * K113, "")</f>
        <v>629.7229219143577</v>
      </c>
      <c r="M113" s="109">
        <v>3960</v>
      </c>
      <c r="N113" s="107">
        <f>IF(ISNUMBER(M113), (M113 - $B113) / $B113, "")</f>
        <v>-2.5188916876574307E-3</v>
      </c>
      <c r="O113" s="108">
        <f>IF(ISNUMBER(M113), $B118 * N113, "")</f>
        <v>-251.88916876574308</v>
      </c>
      <c r="Q113" s="216"/>
      <c r="R113" s="216"/>
      <c r="S113" s="216"/>
    </row>
    <row r="114" spans="1:19" ht="17.25" thickBot="1">
      <c r="A114" s="125" t="s">
        <v>186</v>
      </c>
      <c r="B114" s="126">
        <v>6420</v>
      </c>
      <c r="C114" s="77">
        <v>4.2207792199999997E-2</v>
      </c>
      <c r="D114" s="15">
        <v>6625</v>
      </c>
      <c r="E114" s="32">
        <f t="shared" ref="E114:E117" si="58">IF(ISNUMBER(D114), (D114 - $B114) / $B114, "")</f>
        <v>3.1931464174454825E-2</v>
      </c>
      <c r="F114" s="18">
        <f>IF(ISNUMBER(D114), $B118 * E114, "")</f>
        <v>3193.1464174454827</v>
      </c>
      <c r="G114" s="31">
        <v>6660</v>
      </c>
      <c r="H114" s="32">
        <f t="shared" ref="H114:H117" si="59">IF(ISNUMBER(G114), (G114 - $B114) / $B114, "")</f>
        <v>3.7383177570093455E-2</v>
      </c>
      <c r="I114" s="101">
        <f>IF(ISNUMBER(G114), $B118 * H114, "")</f>
        <v>3738.3177570093453</v>
      </c>
      <c r="J114" s="15">
        <v>6700</v>
      </c>
      <c r="K114" s="32">
        <f t="shared" ref="K114:K117" si="60">IF(ISNUMBER(J114), (J114 - $B114) / $B114, "")</f>
        <v>4.3613707165109032E-2</v>
      </c>
      <c r="L114" s="18">
        <f>IF(ISNUMBER(J114), $B118 * K114, "")</f>
        <v>4361.3707165109035</v>
      </c>
      <c r="M114" s="31">
        <v>6915</v>
      </c>
      <c r="N114" s="32">
        <f t="shared" ref="N114:N117" si="61">IF(ISNUMBER(M114), (M114 - $B114) / $B114, "")</f>
        <v>7.7102803738317752E-2</v>
      </c>
      <c r="O114" s="18">
        <f>IF(ISNUMBER(M114), $B118 * N114, "")</f>
        <v>7710.2803738317753</v>
      </c>
      <c r="Q114" s="216"/>
      <c r="R114" s="216"/>
      <c r="S114" s="216"/>
    </row>
    <row r="115" spans="1:19" ht="17.25" thickBot="1">
      <c r="A115" s="125" t="s">
        <v>63</v>
      </c>
      <c r="B115" s="126">
        <v>42870</v>
      </c>
      <c r="C115" s="77">
        <v>3.7512100700000002E-2</v>
      </c>
      <c r="D115" s="15">
        <v>42530</v>
      </c>
      <c r="E115" s="32">
        <f t="shared" si="58"/>
        <v>-7.9309540471191979E-3</v>
      </c>
      <c r="F115" s="18">
        <f>IF(ISNUMBER(D115), $B118 * E115, "")</f>
        <v>-793.09540471191974</v>
      </c>
      <c r="G115" s="31">
        <v>43900</v>
      </c>
      <c r="H115" s="32">
        <f t="shared" si="59"/>
        <v>2.4026125495684628E-2</v>
      </c>
      <c r="I115" s="101">
        <f>IF(ISNUMBER(G115), $B118 * H115, "")</f>
        <v>2402.6125495684628</v>
      </c>
      <c r="J115" s="15">
        <v>44100</v>
      </c>
      <c r="K115" s="32">
        <f t="shared" si="60"/>
        <v>2.8691392582225334E-2</v>
      </c>
      <c r="L115" s="18">
        <f>IF(ISNUMBER(J115), $B118 * K115, "")</f>
        <v>2869.1392582225335</v>
      </c>
      <c r="M115" s="31">
        <v>43830</v>
      </c>
      <c r="N115" s="32">
        <f t="shared" si="61"/>
        <v>2.239328201539538E-2</v>
      </c>
      <c r="O115" s="18">
        <f>IF(ISNUMBER(M115), $B118 * N115, "")</f>
        <v>2239.328201539538</v>
      </c>
      <c r="Q115" s="216"/>
      <c r="R115" s="216"/>
      <c r="S115" s="216"/>
    </row>
    <row r="116" spans="1:19">
      <c r="A116" s="125" t="s">
        <v>247</v>
      </c>
      <c r="B116" s="126">
        <v>7025</v>
      </c>
      <c r="C116" s="77">
        <v>3.6135693199999999E-2</v>
      </c>
      <c r="D116" s="15">
        <v>7055</v>
      </c>
      <c r="E116" s="32">
        <f t="shared" si="58"/>
        <v>4.2704626334519576E-3</v>
      </c>
      <c r="F116" s="18">
        <f>IF(ISNUMBER(D116), $B118 * E116, "")</f>
        <v>427.04626334519577</v>
      </c>
      <c r="G116" s="31">
        <v>7075</v>
      </c>
      <c r="H116" s="32">
        <f t="shared" si="59"/>
        <v>7.1174377224199285E-3</v>
      </c>
      <c r="I116" s="101">
        <f>IF(ISNUMBER(G116), $B118 * H116, "")</f>
        <v>711.74377224199281</v>
      </c>
      <c r="J116" s="15">
        <v>7065</v>
      </c>
      <c r="K116" s="32">
        <f t="shared" si="60"/>
        <v>5.6939501779359435E-3</v>
      </c>
      <c r="L116" s="18">
        <f>IF(ISNUMBER(J116), $B118 * K116, "")</f>
        <v>569.39501779359432</v>
      </c>
      <c r="M116" s="31">
        <v>7050</v>
      </c>
      <c r="N116" s="32">
        <f t="shared" si="61"/>
        <v>3.5587188612099642E-3</v>
      </c>
      <c r="O116" s="18">
        <f>IF(ISNUMBER(M116), $B118 * N116, "")</f>
        <v>355.87188612099641</v>
      </c>
      <c r="Q116" s="205"/>
      <c r="R116" s="206"/>
      <c r="S116" s="207"/>
    </row>
    <row r="117" spans="1:19" ht="17.25" thickBot="1">
      <c r="A117" s="130" t="s">
        <v>237</v>
      </c>
      <c r="B117" s="131">
        <v>436</v>
      </c>
      <c r="C117" s="79">
        <v>3.3175355500000003E-2</v>
      </c>
      <c r="D117" s="24">
        <v>432</v>
      </c>
      <c r="E117" s="25">
        <f t="shared" si="58"/>
        <v>-9.1743119266055051E-3</v>
      </c>
      <c r="F117" s="104">
        <f>IF(ISNUMBER(D117), $B118 * E117, "")</f>
        <v>-917.43119266055055</v>
      </c>
      <c r="G117" s="102">
        <v>439</v>
      </c>
      <c r="H117" s="25">
        <f t="shared" si="59"/>
        <v>6.8807339449541288E-3</v>
      </c>
      <c r="I117" s="103">
        <f>IF(ISNUMBER(G117), $B118 * H117, "")</f>
        <v>688.07339449541291</v>
      </c>
      <c r="J117" s="24">
        <v>441</v>
      </c>
      <c r="K117" s="25">
        <f t="shared" si="60"/>
        <v>1.1467889908256881E-2</v>
      </c>
      <c r="L117" s="104">
        <f>IF(ISNUMBER(J117), $B118 * K117, "")</f>
        <v>1146.7889908256882</v>
      </c>
      <c r="M117" s="102">
        <v>443</v>
      </c>
      <c r="N117" s="25">
        <f t="shared" si="61"/>
        <v>1.6055045871559634E-2</v>
      </c>
      <c r="O117" s="104">
        <f>IF(ISNUMBER(M117), $B118 * N117, "")</f>
        <v>1605.5045871559635</v>
      </c>
      <c r="Q117" s="208"/>
      <c r="R117" s="209"/>
      <c r="S117" s="210"/>
    </row>
    <row r="118" spans="1:19" ht="17.25" thickBot="1">
      <c r="A118" s="132" t="s">
        <v>271</v>
      </c>
      <c r="B118" s="269">
        <f>$B$37</f>
        <v>100000</v>
      </c>
      <c r="C118" s="270"/>
      <c r="D118" s="26" t="s">
        <v>272</v>
      </c>
      <c r="E118" s="27">
        <f>IF(COUNT(E98:E117), SUM(E98:E117) / COUNT(E98:E117), 0)</f>
        <v>2.3128290454219297E-2</v>
      </c>
      <c r="F118" s="28">
        <f>SUM(F98:F117)</f>
        <v>46256.580908438613</v>
      </c>
      <c r="G118" s="26" t="s">
        <v>272</v>
      </c>
      <c r="H118" s="27">
        <f>IF(COUNT(H98:H117), SUM(H98:H117) / COUNT(H98:H117), 0)</f>
        <v>2.8935212359074803E-2</v>
      </c>
      <c r="I118" s="28">
        <f>SUM(I98:I117)</f>
        <v>57870.42471814961</v>
      </c>
      <c r="J118" s="26" t="s">
        <v>272</v>
      </c>
      <c r="K118" s="27">
        <f>IF(COUNT(K98:K117), SUM(K98:K117) / COUNT(K98:K117), 0)</f>
        <v>3.3564902950860856E-2</v>
      </c>
      <c r="L118" s="28">
        <f>SUM(L98:L117)</f>
        <v>67129.805901721702</v>
      </c>
      <c r="M118" s="26" t="s">
        <v>272</v>
      </c>
      <c r="N118" s="27">
        <f>IF(COUNT(N98:N117), SUM(N98:N117) / COUNT(N98:N117), 0)</f>
        <v>2.7938575975220415E-2</v>
      </c>
      <c r="O118" s="28">
        <f>SUM(O98:O117)</f>
        <v>55877.151950440835</v>
      </c>
      <c r="Q118" s="211"/>
      <c r="R118" s="212"/>
      <c r="S118" s="213"/>
    </row>
    <row r="120" spans="1:19" ht="17.25" thickBot="1"/>
    <row r="121" spans="1:19" ht="17.25" thickBot="1">
      <c r="A121" s="227" t="s">
        <v>259</v>
      </c>
      <c r="B121" s="228"/>
      <c r="C121" s="228"/>
      <c r="D121" s="228"/>
      <c r="E121" s="228"/>
      <c r="F121" s="228"/>
      <c r="G121" s="228"/>
      <c r="H121" s="228"/>
      <c r="I121" s="228"/>
      <c r="J121" s="228"/>
      <c r="K121" s="228"/>
      <c r="L121" s="228"/>
      <c r="M121" s="228"/>
      <c r="N121" s="228"/>
      <c r="O121" s="229"/>
      <c r="Q121" s="226"/>
      <c r="R121" s="226"/>
      <c r="S121" s="226"/>
    </row>
    <row r="122" spans="1:19" ht="17.25" thickBot="1">
      <c r="A122" s="169" t="s">
        <v>268</v>
      </c>
      <c r="B122" s="227" t="s">
        <v>49</v>
      </c>
      <c r="C122" s="229"/>
      <c r="D122" s="227" t="s">
        <v>58</v>
      </c>
      <c r="E122" s="228"/>
      <c r="F122" s="229"/>
      <c r="G122" s="230">
        <f>_xlfn.IFNA(VLOOKUP(B122, 현재가테이블!$B$2:$D$200, 2, FALSE), "-")</f>
        <v>39916000</v>
      </c>
      <c r="H122" s="231"/>
      <c r="I122" s="232"/>
      <c r="J122" s="227" t="s">
        <v>59</v>
      </c>
      <c r="K122" s="228"/>
      <c r="L122" s="229"/>
      <c r="M122" s="233">
        <f>_xlfn.IFNA(VLOOKUP(B122, 현재가테이블!$B$2:$D$200, 3, FALSE), "-")</f>
        <v>7.3184273000000003E-3</v>
      </c>
      <c r="N122" s="234"/>
      <c r="O122" s="235"/>
      <c r="Q122" s="226"/>
      <c r="R122" s="226"/>
      <c r="S122" s="226"/>
    </row>
    <row r="123" spans="1:19" ht="17.25" thickBot="1">
      <c r="A123" s="271" t="s">
        <v>55</v>
      </c>
      <c r="B123" s="267" t="str">
        <f>TEXT($G$1, "[$-ko-KR]yyyy-mm-dd(ddd) ") &amp; "오전 00:00"</f>
        <v>2021-07-04(일) 오전 00:00</v>
      </c>
      <c r="C123" s="268"/>
      <c r="D123" s="240" t="str">
        <f>TEXT($G$1, "[$-ko-KR]yyyy-mm-dd(ddd) ") &amp; "오후 14:00"</f>
        <v>2021-07-04(일) 오후 14:00</v>
      </c>
      <c r="E123" s="241"/>
      <c r="F123" s="242"/>
      <c r="G123" s="240" t="str">
        <f>TEXT($G$1, "[$-ko-KR]yyyy-mm-dd(ddd) ") &amp; "오후 19:00"</f>
        <v>2021-07-04(일) 오후 19:00</v>
      </c>
      <c r="H123" s="241"/>
      <c r="I123" s="242"/>
      <c r="J123" s="240" t="str">
        <f>TEXT($G$1, "[$-ko-KR]yyyy-mm-dd(ddd) ") &amp; "오후 21:00"</f>
        <v>2021-07-04(일) 오후 21:00</v>
      </c>
      <c r="K123" s="241"/>
      <c r="L123" s="242"/>
      <c r="M123" s="240" t="str">
        <f>TEXT($G$1+1, "[$-ko-KR]yyyy-mm-dd(ddd) ") &amp; "오전 00:00"</f>
        <v>2021-07-05(월) 오전 00:00</v>
      </c>
      <c r="N123" s="241"/>
      <c r="O123" s="242"/>
      <c r="Q123" s="226"/>
      <c r="R123" s="226"/>
      <c r="S123" s="226"/>
    </row>
    <row r="124" spans="1:19" ht="17.25" thickBot="1">
      <c r="A124" s="27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0" t="s">
        <v>58</v>
      </c>
      <c r="H124" s="171" t="s">
        <v>269</v>
      </c>
      <c r="I124" s="17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6"/>
      <c r="R124" s="216"/>
      <c r="S124" s="216"/>
    </row>
    <row r="125" spans="1:19" ht="17.25" thickBot="1">
      <c r="A125" s="123" t="s">
        <v>152</v>
      </c>
      <c r="B125" s="124">
        <v>78</v>
      </c>
      <c r="C125" s="76">
        <v>5.1546392E-3</v>
      </c>
      <c r="D125" s="13">
        <v>77.2</v>
      </c>
      <c r="E125" s="14">
        <f>IF(ISNUMBER(D125), (D125 - $B125) / $B125, "")</f>
        <v>-1.025641025641022E-2</v>
      </c>
      <c r="F125" s="16">
        <f>IF(ISNUMBER(D125), $B145 * E125, "")</f>
        <v>-1025.641025641022</v>
      </c>
      <c r="G125" s="29">
        <v>77.900000000000006</v>
      </c>
      <c r="H125" s="14">
        <f>IF(ISNUMBER(G125), (G125 - $B125) / $B125, "")</f>
        <v>-1.2820512820512092E-3</v>
      </c>
      <c r="I125" s="100">
        <f>IF(ISNUMBER(G125), $B145 * H125, "")</f>
        <v>-128.20512820512093</v>
      </c>
      <c r="J125" s="13">
        <v>78.099999999999994</v>
      </c>
      <c r="K125" s="14">
        <f>IF(ISNUMBER(J125), (J125 - $B125) / $B125, "")</f>
        <v>1.2820512820512092E-3</v>
      </c>
      <c r="L125" s="16">
        <f>IF(ISNUMBER(J125), $B145 * K125, "")</f>
        <v>128.20512820512093</v>
      </c>
      <c r="M125" s="29">
        <v>78.8</v>
      </c>
      <c r="N125" s="14">
        <f>IF(ISNUMBER(M125), (M125 - $B125) / $B125, "")</f>
        <v>1.025641025641022E-2</v>
      </c>
      <c r="O125" s="16">
        <f>IF(ISNUMBER(M125), $B145 * N125, "")</f>
        <v>1025.641025641022</v>
      </c>
      <c r="Q125" s="226"/>
      <c r="R125" s="226"/>
      <c r="S125" s="226"/>
    </row>
    <row r="126" spans="1:19" ht="17.25" thickBot="1">
      <c r="A126" s="125" t="s">
        <v>202</v>
      </c>
      <c r="B126" s="126">
        <v>57.6</v>
      </c>
      <c r="C126" s="77">
        <v>3.4843206000000002E-3</v>
      </c>
      <c r="D126" s="15">
        <v>57.6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58.7</v>
      </c>
      <c r="H126" s="32">
        <f t="shared" ref="H126:H129" si="63">IF(ISNUMBER(G126), (G126 - $B126) / $B126, "")</f>
        <v>1.9097222222222248E-2</v>
      </c>
      <c r="I126" s="101">
        <f>IF(ISNUMBER(G126), $B145 * H126, "")</f>
        <v>1909.7222222222249</v>
      </c>
      <c r="J126" s="15">
        <v>58.7</v>
      </c>
      <c r="K126" s="32">
        <f t="shared" ref="K126:K129" si="64">IF(ISNUMBER(J126), (J126 - $B126) / $B126, "")</f>
        <v>1.9097222222222248E-2</v>
      </c>
      <c r="L126" s="18">
        <f>IF(ISNUMBER(J126), $B145 * K126, "")</f>
        <v>1909.7222222222249</v>
      </c>
      <c r="M126" s="31">
        <v>59.5</v>
      </c>
      <c r="N126" s="32">
        <f t="shared" ref="N126:N129" si="65">IF(ISNUMBER(M126), (M126 - $B126) / $B126, "")</f>
        <v>3.2986111111111084E-2</v>
      </c>
      <c r="O126" s="18">
        <f>IF(ISNUMBER(M126), $B145 * N126, "")</f>
        <v>3298.6111111111086</v>
      </c>
      <c r="Q126" s="226"/>
      <c r="R126" s="226"/>
      <c r="S126" s="226"/>
    </row>
    <row r="127" spans="1:19" ht="17.25" thickBot="1">
      <c r="A127" s="125" t="s">
        <v>132</v>
      </c>
      <c r="B127" s="126">
        <v>95.7</v>
      </c>
      <c r="C127" s="77">
        <v>3.1446540999999998E-3</v>
      </c>
      <c r="D127" s="15">
        <v>95.7</v>
      </c>
      <c r="E127" s="32">
        <f t="shared" si="62"/>
        <v>0</v>
      </c>
      <c r="F127" s="18">
        <f>IF(ISNUMBER(D127), $B145 * E127, "")</f>
        <v>0</v>
      </c>
      <c r="G127" s="31">
        <v>95.9</v>
      </c>
      <c r="H127" s="32">
        <f t="shared" si="63"/>
        <v>2.0898641588297058E-3</v>
      </c>
      <c r="I127" s="101">
        <f>IF(ISNUMBER(G127), $B145 * H127, "")</f>
        <v>208.98641588297059</v>
      </c>
      <c r="J127" s="15">
        <v>96.3</v>
      </c>
      <c r="K127" s="32">
        <f t="shared" si="64"/>
        <v>6.269592476488969E-3</v>
      </c>
      <c r="L127" s="18">
        <f>IF(ISNUMBER(J127), $B145 * K127, "")</f>
        <v>626.95924764889685</v>
      </c>
      <c r="M127" s="31">
        <v>96.4</v>
      </c>
      <c r="N127" s="32">
        <f t="shared" si="65"/>
        <v>7.314524555903896E-3</v>
      </c>
      <c r="O127" s="18">
        <f>IF(ISNUMBER(M127), $B145 * N127, "")</f>
        <v>731.4524555903896</v>
      </c>
      <c r="Q127" s="216"/>
      <c r="R127" s="216"/>
      <c r="S127" s="216"/>
    </row>
    <row r="128" spans="1:19" ht="17.25" thickBot="1">
      <c r="A128" s="125" t="s">
        <v>144</v>
      </c>
      <c r="B128" s="126">
        <v>86.8</v>
      </c>
      <c r="C128" s="77">
        <v>2.3094688000000001E-3</v>
      </c>
      <c r="D128" s="15">
        <v>86.5</v>
      </c>
      <c r="E128" s="32">
        <f t="shared" si="62"/>
        <v>-3.4562211981566493E-3</v>
      </c>
      <c r="F128" s="18">
        <f>IF(ISNUMBER(D128), $B145 * E128, "")</f>
        <v>-345.62211981566492</v>
      </c>
      <c r="G128" s="31">
        <v>87.3</v>
      </c>
      <c r="H128" s="32">
        <f t="shared" si="63"/>
        <v>5.7603686635944703E-3</v>
      </c>
      <c r="I128" s="101">
        <f>IF(ISNUMBER(G128), $B145 * H128, "")</f>
        <v>576.036866359447</v>
      </c>
      <c r="J128" s="15">
        <v>87.7</v>
      </c>
      <c r="K128" s="32">
        <f t="shared" si="64"/>
        <v>1.0368663594470112E-2</v>
      </c>
      <c r="L128" s="18">
        <f>IF(ISNUMBER(J128), $B145 * K128, "")</f>
        <v>1036.8663594470113</v>
      </c>
      <c r="M128" s="31">
        <v>88.3</v>
      </c>
      <c r="N128" s="32">
        <f t="shared" si="65"/>
        <v>1.7281105990783412E-2</v>
      </c>
      <c r="O128" s="18">
        <f>IF(ISNUMBER(M128), $B145 * N128, "")</f>
        <v>1728.1105990783412</v>
      </c>
      <c r="Q128" s="216"/>
      <c r="R128" s="216"/>
      <c r="S128" s="216"/>
    </row>
    <row r="129" spans="1:19" ht="17.25" thickBot="1">
      <c r="A129" s="127" t="s">
        <v>241</v>
      </c>
      <c r="B129" s="128">
        <v>53.3</v>
      </c>
      <c r="C129" s="78">
        <v>-1.8726591999999999E-3</v>
      </c>
      <c r="D129" s="20">
        <v>53.7</v>
      </c>
      <c r="E129" s="21">
        <f t="shared" si="62"/>
        <v>7.5046904315198065E-3</v>
      </c>
      <c r="F129" s="22">
        <f>IF(ISNUMBER(D129), $B145 * E129, "")</f>
        <v>750.4690431519806</v>
      </c>
      <c r="G129" s="30">
        <v>53.4</v>
      </c>
      <c r="H129" s="21">
        <f t="shared" si="63"/>
        <v>1.8761726078799516E-3</v>
      </c>
      <c r="I129" s="105">
        <f>IF(ISNUMBER(G129), $B145 * H129, "")</f>
        <v>187.61726078799515</v>
      </c>
      <c r="J129" s="20">
        <v>54.3</v>
      </c>
      <c r="K129" s="21">
        <f t="shared" si="64"/>
        <v>1.8761726078799251E-2</v>
      </c>
      <c r="L129" s="22">
        <f>IF(ISNUMBER(J129), $B145 * K129, "")</f>
        <v>1876.1726078799252</v>
      </c>
      <c r="M129" s="30">
        <v>54.6</v>
      </c>
      <c r="N129" s="21">
        <f t="shared" si="65"/>
        <v>2.4390243902439105E-2</v>
      </c>
      <c r="O129" s="22">
        <f>IF(ISNUMBER(M129), $B145 * N129, "")</f>
        <v>2439.0243902439106</v>
      </c>
      <c r="Q129" s="216"/>
      <c r="R129" s="216"/>
      <c r="S129" s="216"/>
    </row>
    <row r="130" spans="1:19" ht="17.25" thickBot="1">
      <c r="A130" s="125" t="s">
        <v>208</v>
      </c>
      <c r="B130" s="129">
        <v>9.86</v>
      </c>
      <c r="C130" s="80">
        <v>-3.0333669999999999E-3</v>
      </c>
      <c r="D130" s="106">
        <v>10.199999999999999</v>
      </c>
      <c r="E130" s="107">
        <f>IF(ISNUMBER(D130), (D130 - $B130) / $B130, "")</f>
        <v>3.4482758620689641E-2</v>
      </c>
      <c r="F130" s="108">
        <f>IF(ISNUMBER(D130), $B145 * E130, "")</f>
        <v>3448.2758620689642</v>
      </c>
      <c r="G130" s="109">
        <v>10</v>
      </c>
      <c r="H130" s="107">
        <f>IF(ISNUMBER(G130), (G130 - $B130) / $B130, "")</f>
        <v>1.4198782961460505E-2</v>
      </c>
      <c r="I130" s="110">
        <f>IF(ISNUMBER(G130), $B145 * H130, "")</f>
        <v>1419.8782961460506</v>
      </c>
      <c r="J130" s="106">
        <v>10.1</v>
      </c>
      <c r="K130" s="107">
        <f>IF(ISNUMBER(J130), (J130 - $B130) / $B130, "")</f>
        <v>2.4340770791075075E-2</v>
      </c>
      <c r="L130" s="108">
        <f>IF(ISNUMBER(J130), $B145 * K130, "")</f>
        <v>2434.0770791075074</v>
      </c>
      <c r="M130" s="109">
        <v>10.7</v>
      </c>
      <c r="N130" s="107">
        <f>IF(ISNUMBER(M130), (M130 - $B130) / $B130, "")</f>
        <v>8.5192697768762662E-2</v>
      </c>
      <c r="O130" s="108">
        <f>IF(ISNUMBER(M130), $B145 * N130, "")</f>
        <v>8519.2697768762664</v>
      </c>
      <c r="Q130" s="216"/>
      <c r="R130" s="216"/>
      <c r="S130" s="216"/>
    </row>
    <row r="131" spans="1:19" ht="17.25" thickBot="1">
      <c r="A131" s="125" t="s">
        <v>222</v>
      </c>
      <c r="B131" s="126">
        <v>93.5</v>
      </c>
      <c r="C131" s="77">
        <v>-3.1982942E-3</v>
      </c>
      <c r="D131" s="15">
        <v>98.7</v>
      </c>
      <c r="E131" s="32">
        <f t="shared" ref="E131:E134" si="66">IF(ISNUMBER(D131), (D131 - $B131) / $B131, "")</f>
        <v>5.5614973262032116E-2</v>
      </c>
      <c r="F131" s="18">
        <f>IF(ISNUMBER(D131), $B145 * E131, "")</f>
        <v>5561.4973262032117</v>
      </c>
      <c r="G131" s="31">
        <v>99.3</v>
      </c>
      <c r="H131" s="32">
        <f t="shared" ref="H131:H134" si="67">IF(ISNUMBER(G131), (G131 - $B131) / $B131, "")</f>
        <v>6.2032085561497294E-2</v>
      </c>
      <c r="I131" s="101">
        <f>IF(ISNUMBER(G131), $B145 * H131, "")</f>
        <v>6203.2085561497297</v>
      </c>
      <c r="J131" s="15">
        <v>99.9</v>
      </c>
      <c r="K131" s="32">
        <f t="shared" ref="K131:K134" si="68">IF(ISNUMBER(J131), (J131 - $B131) / $B131, "")</f>
        <v>6.8449197860962624E-2</v>
      </c>
      <c r="L131" s="18">
        <f>IF(ISNUMBER(J131), $B145 * K131, "")</f>
        <v>6844.9197860962622</v>
      </c>
      <c r="M131" s="31">
        <v>106</v>
      </c>
      <c r="N131" s="32">
        <f t="shared" ref="N131:N134" si="69">IF(ISNUMBER(M131), (M131 - $B131) / $B131, "")</f>
        <v>0.13368983957219252</v>
      </c>
      <c r="O131" s="18">
        <f>IF(ISNUMBER(M131), $B145 * N131, "")</f>
        <v>13368.983957219252</v>
      </c>
      <c r="Q131" s="216"/>
      <c r="R131" s="216"/>
      <c r="S131" s="216"/>
    </row>
    <row r="132" spans="1:19" ht="17.25" thickBot="1">
      <c r="A132" s="125" t="s">
        <v>72</v>
      </c>
      <c r="B132" s="126">
        <v>19</v>
      </c>
      <c r="C132" s="77">
        <v>-5.2356021000000003E-3</v>
      </c>
      <c r="D132" s="15">
        <v>18.8</v>
      </c>
      <c r="E132" s="32">
        <f t="shared" si="66"/>
        <v>-1.0526315789473648E-2</v>
      </c>
      <c r="F132" s="18">
        <f>IF(ISNUMBER(D132), $B145 * E132, "")</f>
        <v>-1052.6315789473647</v>
      </c>
      <c r="G132" s="31">
        <v>19</v>
      </c>
      <c r="H132" s="32">
        <f t="shared" si="67"/>
        <v>0</v>
      </c>
      <c r="I132" s="101">
        <f>IF(ISNUMBER(G132), $B145 * H132, "")</f>
        <v>0</v>
      </c>
      <c r="J132" s="15">
        <v>19.100000000000001</v>
      </c>
      <c r="K132" s="32">
        <f t="shared" si="68"/>
        <v>5.2631578947369166E-3</v>
      </c>
      <c r="L132" s="18">
        <f>IF(ISNUMBER(J132), $B145 * K132, "")</f>
        <v>526.31578947369167</v>
      </c>
      <c r="M132" s="31">
        <v>19.3</v>
      </c>
      <c r="N132" s="32">
        <f t="shared" si="69"/>
        <v>1.5789473684210565E-2</v>
      </c>
      <c r="O132" s="18">
        <f>IF(ISNUMBER(M132), $B145 * N132, "")</f>
        <v>1578.9473684210566</v>
      </c>
      <c r="Q132" s="216"/>
      <c r="R132" s="216"/>
      <c r="S132" s="216"/>
    </row>
    <row r="133" spans="1:19" ht="17.25" thickBot="1">
      <c r="A133" s="125" t="s">
        <v>150</v>
      </c>
      <c r="B133" s="126">
        <v>9.09</v>
      </c>
      <c r="C133" s="77">
        <v>-7.6419213999999996E-3</v>
      </c>
      <c r="D133" s="15">
        <v>9.5</v>
      </c>
      <c r="E133" s="32">
        <f t="shared" si="66"/>
        <v>4.5104510451045118E-2</v>
      </c>
      <c r="F133" s="18">
        <f>IF(ISNUMBER(D133), $B145 * E133, "")</f>
        <v>4510.4510451045116</v>
      </c>
      <c r="G133" s="31">
        <v>9.49</v>
      </c>
      <c r="H133" s="32">
        <f t="shared" si="67"/>
        <v>4.4004400440044042E-2</v>
      </c>
      <c r="I133" s="101">
        <f>IF(ISNUMBER(G133), $B145 * H133, "")</f>
        <v>4400.4400440044046</v>
      </c>
      <c r="J133" s="15">
        <v>9.65</v>
      </c>
      <c r="K133" s="32">
        <f t="shared" si="68"/>
        <v>6.160616061606166E-2</v>
      </c>
      <c r="L133" s="18">
        <f>IF(ISNUMBER(J133), $B145 * K133, "")</f>
        <v>6160.6160616061661</v>
      </c>
      <c r="M133" s="31">
        <v>9.99</v>
      </c>
      <c r="N133" s="32">
        <f t="shared" si="69"/>
        <v>9.9009900990099056E-2</v>
      </c>
      <c r="O133" s="18">
        <f>IF(ISNUMBER(M133), $B145 * N133, "")</f>
        <v>9900.990099009905</v>
      </c>
      <c r="Q133" s="33"/>
      <c r="R133" s="33"/>
    </row>
    <row r="134" spans="1:19" ht="17.25" thickBot="1">
      <c r="A134" s="130" t="s">
        <v>251</v>
      </c>
      <c r="B134" s="131">
        <v>61.1</v>
      </c>
      <c r="C134" s="79">
        <v>-1.13268608E-2</v>
      </c>
      <c r="D134" s="24">
        <v>60.9</v>
      </c>
      <c r="E134" s="25">
        <f t="shared" si="66"/>
        <v>-3.273322422258639E-3</v>
      </c>
      <c r="F134" s="104">
        <f>IF(ISNUMBER(D134), $B145 * E134, "")</f>
        <v>-327.33224222586392</v>
      </c>
      <c r="G134" s="102">
        <v>61.3</v>
      </c>
      <c r="H134" s="25">
        <f t="shared" si="67"/>
        <v>3.2733224222585228E-3</v>
      </c>
      <c r="I134" s="103">
        <f>IF(ISNUMBER(G134), $B145 * H134, "")</f>
        <v>327.33224222585227</v>
      </c>
      <c r="J134" s="24">
        <v>61.8</v>
      </c>
      <c r="K134" s="25">
        <f t="shared" si="68"/>
        <v>1.1456628477905004E-2</v>
      </c>
      <c r="L134" s="104">
        <f>IF(ISNUMBER(J134), $B145 * K134, "")</f>
        <v>1145.6628477905003</v>
      </c>
      <c r="M134" s="102">
        <v>62.4</v>
      </c>
      <c r="N134" s="25">
        <f t="shared" si="69"/>
        <v>2.1276595744680805E-2</v>
      </c>
      <c r="O134" s="104">
        <f>IF(ISNUMBER(M134), $B145 * N134, "")</f>
        <v>2127.6595744680803</v>
      </c>
      <c r="Q134" s="217"/>
      <c r="R134" s="218"/>
      <c r="S134" s="219"/>
    </row>
    <row r="135" spans="1:19">
      <c r="A135" s="123" t="s">
        <v>239</v>
      </c>
      <c r="B135" s="124">
        <v>76</v>
      </c>
      <c r="C135" s="76">
        <v>-1.2987013E-2</v>
      </c>
      <c r="D135" s="13">
        <v>75.3</v>
      </c>
      <c r="E135" s="14">
        <f>IF(ISNUMBER(D135), (D135 - $B135) / $B135, "")</f>
        <v>-9.210526315789511E-3</v>
      </c>
      <c r="F135" s="16">
        <f>IF(ISNUMBER(D135), $B145 * E135, "")</f>
        <v>-921.05263157895115</v>
      </c>
      <c r="G135" s="29">
        <v>75.5</v>
      </c>
      <c r="H135" s="14">
        <f>IF(ISNUMBER(G135), (G135 - $B135) / $B135, "")</f>
        <v>-6.5789473684210523E-3</v>
      </c>
      <c r="I135" s="100">
        <f>IF(ISNUMBER(G135), $B145 * H135, "")</f>
        <v>-657.8947368421052</v>
      </c>
      <c r="J135" s="13">
        <v>76.099999999999994</v>
      </c>
      <c r="K135" s="14">
        <f>IF(ISNUMBER(J135), (J135 - $B135) / $B135, "")</f>
        <v>1.3157894736841357E-3</v>
      </c>
      <c r="L135" s="16">
        <f>IF(ISNUMBER(J135), $B145 * K135, "")</f>
        <v>131.57894736841357</v>
      </c>
      <c r="M135" s="29">
        <v>77.5</v>
      </c>
      <c r="N135" s="14">
        <f>IF(ISNUMBER(M135), (M135 - $B135) / $B135, "")</f>
        <v>1.9736842105263157E-2</v>
      </c>
      <c r="O135" s="16">
        <f>IF(ISNUMBER(M135), $B145 * N135, "")</f>
        <v>1973.6842105263156</v>
      </c>
      <c r="Q135" s="220"/>
      <c r="R135" s="221"/>
      <c r="S135" s="222"/>
    </row>
    <row r="136" spans="1:19" ht="17.25" thickBot="1">
      <c r="A136" s="125" t="s">
        <v>190</v>
      </c>
      <c r="B136" s="126">
        <v>14.8</v>
      </c>
      <c r="C136" s="77">
        <v>-1.33333333E-2</v>
      </c>
      <c r="D136" s="15">
        <v>15.3</v>
      </c>
      <c r="E136" s="32">
        <f t="shared" ref="E136:E139" si="70">IF(ISNUMBER(D136), (D136 - $B136) / $B136, "")</f>
        <v>3.3783783783783779E-2</v>
      </c>
      <c r="F136" s="18">
        <f>IF(ISNUMBER(D136), $B145 * E136, "")</f>
        <v>3378.3783783783779</v>
      </c>
      <c r="G136" s="31">
        <v>15.5</v>
      </c>
      <c r="H136" s="32">
        <f t="shared" ref="H136:H139" si="71">IF(ISNUMBER(G136), (G136 - $B136) / $B136, "")</f>
        <v>4.7297297297297244E-2</v>
      </c>
      <c r="I136" s="101">
        <f>IF(ISNUMBER(G136), $B145 * H136, "")</f>
        <v>4729.7297297297246</v>
      </c>
      <c r="J136" s="15">
        <v>15.2</v>
      </c>
      <c r="K136" s="32">
        <f t="shared" ref="K136:K139" si="72">IF(ISNUMBER(J136), (J136 - $B136) / $B136, "")</f>
        <v>2.7027027027026931E-2</v>
      </c>
      <c r="L136" s="18">
        <f>IF(ISNUMBER(J136), $B145 * K136, "")</f>
        <v>2702.7027027026929</v>
      </c>
      <c r="M136" s="31">
        <v>15.4</v>
      </c>
      <c r="N136" s="32">
        <f t="shared" ref="N136:N139" si="73">IF(ISNUMBER(M136), (M136 - $B136) / $B136, "")</f>
        <v>4.0540540540540515E-2</v>
      </c>
      <c r="O136" s="18">
        <f>IF(ISNUMBER(M136), $B145 * N136, "")</f>
        <v>4054.0540540540514</v>
      </c>
      <c r="Q136" s="223"/>
      <c r="R136" s="224"/>
      <c r="S136" s="225"/>
    </row>
    <row r="137" spans="1:19" ht="17.25" thickBot="1">
      <c r="A137" s="125" t="s">
        <v>216</v>
      </c>
      <c r="B137" s="126">
        <v>8.1</v>
      </c>
      <c r="C137" s="77">
        <v>-1.45985401E-2</v>
      </c>
      <c r="D137" s="15">
        <v>8.34</v>
      </c>
      <c r="E137" s="32">
        <f t="shared" si="70"/>
        <v>2.9629629629629659E-2</v>
      </c>
      <c r="F137" s="18">
        <f>IF(ISNUMBER(D137), $B145 * E137, "")</f>
        <v>2962.9629629629658</v>
      </c>
      <c r="G137" s="31">
        <v>8.36</v>
      </c>
      <c r="H137" s="32">
        <f t="shared" si="71"/>
        <v>3.209876543209874E-2</v>
      </c>
      <c r="I137" s="101">
        <f>IF(ISNUMBER(G137), $B145 * H137, "")</f>
        <v>3209.8765432098739</v>
      </c>
      <c r="J137" s="15">
        <v>8.42</v>
      </c>
      <c r="K137" s="32">
        <f t="shared" si="72"/>
        <v>3.9506172839506207E-2</v>
      </c>
      <c r="L137" s="18">
        <f>IF(ISNUMBER(J137), $B145 * K137, "")</f>
        <v>3950.6172839506207</v>
      </c>
      <c r="M137" s="31">
        <v>8.81</v>
      </c>
      <c r="N137" s="32">
        <f t="shared" si="73"/>
        <v>8.7654320987654424E-2</v>
      </c>
      <c r="O137" s="18">
        <f>IF(ISNUMBER(M137), $B145 * N137, "")</f>
        <v>8765.4320987654428</v>
      </c>
      <c r="Q137" s="216"/>
      <c r="R137" s="216"/>
      <c r="S137" s="216"/>
    </row>
    <row r="138" spans="1:19" ht="17.25" thickBot="1">
      <c r="A138" s="125" t="s">
        <v>188</v>
      </c>
      <c r="B138" s="126">
        <v>9.1</v>
      </c>
      <c r="C138" s="77">
        <v>-1.51515152E-2</v>
      </c>
      <c r="D138" s="15">
        <v>9.68</v>
      </c>
      <c r="E138" s="32">
        <f t="shared" si="70"/>
        <v>6.3736263736263746E-2</v>
      </c>
      <c r="F138" s="18">
        <f>IF(ISNUMBER(D138), $B145 * E138, "")</f>
        <v>6373.6263736263745</v>
      </c>
      <c r="G138" s="31">
        <v>9.6999999999999993</v>
      </c>
      <c r="H138" s="32">
        <f t="shared" si="71"/>
        <v>6.5934065934065894E-2</v>
      </c>
      <c r="I138" s="101">
        <f>IF(ISNUMBER(G138), $B145 * H138, "")</f>
        <v>6593.4065934065893</v>
      </c>
      <c r="J138" s="15">
        <v>9.83</v>
      </c>
      <c r="K138" s="32">
        <f t="shared" si="72"/>
        <v>8.0219780219780268E-2</v>
      </c>
      <c r="L138" s="18">
        <f>IF(ISNUMBER(J138), $B145 * K138, "")</f>
        <v>8021.9780219780268</v>
      </c>
      <c r="M138" s="31">
        <v>10.1</v>
      </c>
      <c r="N138" s="32">
        <f t="shared" si="73"/>
        <v>0.10989010989010989</v>
      </c>
      <c r="O138" s="18">
        <f>IF(ISNUMBER(M138), $B145 * N138, "")</f>
        <v>10989.010989010989</v>
      </c>
      <c r="Q138" s="226"/>
      <c r="R138" s="226"/>
      <c r="S138" s="226"/>
    </row>
    <row r="139" spans="1:19" ht="17.25" thickBot="1">
      <c r="A139" s="127" t="s">
        <v>210</v>
      </c>
      <c r="B139" s="128">
        <v>9.91</v>
      </c>
      <c r="C139" s="78">
        <v>-1.8811881200000002E-2</v>
      </c>
      <c r="D139" s="20">
        <v>9.9700000000000006</v>
      </c>
      <c r="E139" s="21">
        <f t="shared" si="70"/>
        <v>6.0544904137235615E-3</v>
      </c>
      <c r="F139" s="22">
        <f>IF(ISNUMBER(D139), $B145 * E139, "")</f>
        <v>605.44904137235619</v>
      </c>
      <c r="G139" s="30">
        <v>9.93</v>
      </c>
      <c r="H139" s="21">
        <f t="shared" si="71"/>
        <v>2.0181634712411276E-3</v>
      </c>
      <c r="I139" s="105">
        <f>IF(ISNUMBER(G139), $B145 * H139, "")</f>
        <v>201.81634712411275</v>
      </c>
      <c r="J139" s="20">
        <v>9.9600000000000009</v>
      </c>
      <c r="K139" s="21">
        <f t="shared" si="72"/>
        <v>5.0454086781029977E-3</v>
      </c>
      <c r="L139" s="22">
        <f>IF(ISNUMBER(J139), $B145 * K139, "")</f>
        <v>504.54086781029974</v>
      </c>
      <c r="M139" s="30">
        <v>10.199999999999999</v>
      </c>
      <c r="N139" s="21">
        <f t="shared" si="73"/>
        <v>2.9263370332996887E-2</v>
      </c>
      <c r="O139" s="22">
        <f>IF(ISNUMBER(M139), $B145 * N139, "")</f>
        <v>2926.3370332996888</v>
      </c>
      <c r="Q139" s="226"/>
      <c r="R139" s="226"/>
      <c r="S139" s="226"/>
    </row>
    <row r="140" spans="1:19" ht="17.25" thickBot="1">
      <c r="A140" s="125" t="s">
        <v>148</v>
      </c>
      <c r="B140" s="129">
        <v>15.4</v>
      </c>
      <c r="C140" s="80">
        <v>-1.9108280299999999E-2</v>
      </c>
      <c r="D140" s="106">
        <v>16</v>
      </c>
      <c r="E140" s="107">
        <f>IF(ISNUMBER(D140), (D140 - $B140) / $B140, "")</f>
        <v>3.8961038961038939E-2</v>
      </c>
      <c r="F140" s="108">
        <f>IF(ISNUMBER(D140), $B145 * E140, "")</f>
        <v>3896.1038961038939</v>
      </c>
      <c r="G140" s="109">
        <v>16</v>
      </c>
      <c r="H140" s="107">
        <f>IF(ISNUMBER(G140), (G140 - $B140) / $B140, "")</f>
        <v>3.8961038961038939E-2</v>
      </c>
      <c r="I140" s="110">
        <f>IF(ISNUMBER(G140), $B145 * H140, "")</f>
        <v>3896.1038961038939</v>
      </c>
      <c r="J140" s="106">
        <v>16.100000000000001</v>
      </c>
      <c r="K140" s="107">
        <f>IF(ISNUMBER(J140), (J140 - $B140) / $B140, "")</f>
        <v>4.5454545454545525E-2</v>
      </c>
      <c r="L140" s="108">
        <f>IF(ISNUMBER(J140), $B145 * K140, "")</f>
        <v>4545.4545454545523</v>
      </c>
      <c r="M140" s="109">
        <v>16.399999999999999</v>
      </c>
      <c r="N140" s="107">
        <f>IF(ISNUMBER(M140), (M140 - $B140) / $B140, "")</f>
        <v>6.4935064935064818E-2</v>
      </c>
      <c r="O140" s="108">
        <f>IF(ISNUMBER(M140), $B145 * N140, "")</f>
        <v>6493.506493506482</v>
      </c>
      <c r="Q140" s="216"/>
      <c r="R140" s="216"/>
      <c r="S140" s="216"/>
    </row>
    <row r="141" spans="1:19" ht="17.25" thickBot="1">
      <c r="A141" s="125" t="s">
        <v>122</v>
      </c>
      <c r="B141" s="126">
        <v>24.5</v>
      </c>
      <c r="C141" s="77">
        <v>-0.02</v>
      </c>
      <c r="D141" s="15">
        <v>24.4</v>
      </c>
      <c r="E141" s="32">
        <f t="shared" ref="E141:E144" si="74">IF(ISNUMBER(D141), (D141 - $B141) / $B141, "")</f>
        <v>-4.0816326530612821E-3</v>
      </c>
      <c r="F141" s="18">
        <f>IF(ISNUMBER(D141), $B145 * E141, "")</f>
        <v>-408.16326530612821</v>
      </c>
      <c r="G141" s="31">
        <v>24.5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24.6</v>
      </c>
      <c r="K141" s="32">
        <f t="shared" ref="K141:K144" si="76">IF(ISNUMBER(J141), (J141 - $B141) / $B141, "")</f>
        <v>4.0816326530612821E-3</v>
      </c>
      <c r="L141" s="18">
        <f>IF(ISNUMBER(J141), $B145 * K141, "")</f>
        <v>408.16326530612821</v>
      </c>
      <c r="M141" s="31">
        <v>24.8</v>
      </c>
      <c r="N141" s="32">
        <f t="shared" ref="N141:N144" si="77">IF(ISNUMBER(M141), (M141 - $B141) / $B141, "")</f>
        <v>1.2244897959183702E-2</v>
      </c>
      <c r="O141" s="18">
        <f>IF(ISNUMBER(M141), $B145 * N141, "")</f>
        <v>1224.4897959183702</v>
      </c>
      <c r="Q141" s="216"/>
      <c r="R141" s="216"/>
      <c r="S141" s="216"/>
    </row>
    <row r="142" spans="1:19" ht="17.25" thickBot="1">
      <c r="A142" s="125" t="s">
        <v>235</v>
      </c>
      <c r="B142" s="126">
        <v>53.1</v>
      </c>
      <c r="C142" s="77">
        <v>-2.2099447500000001E-2</v>
      </c>
      <c r="D142" s="15">
        <v>53.7</v>
      </c>
      <c r="E142" s="32">
        <f t="shared" si="74"/>
        <v>1.1299435028248614E-2</v>
      </c>
      <c r="F142" s="18">
        <f>IF(ISNUMBER(D142), $B145 * E142, "")</f>
        <v>1129.9435028248613</v>
      </c>
      <c r="G142" s="31">
        <v>53.9</v>
      </c>
      <c r="H142" s="32">
        <f t="shared" si="75"/>
        <v>1.5065913370998062E-2</v>
      </c>
      <c r="I142" s="101">
        <f>IF(ISNUMBER(G142), $B145 * H142, "")</f>
        <v>1506.5913370998062</v>
      </c>
      <c r="J142" s="15">
        <v>54.2</v>
      </c>
      <c r="K142" s="32">
        <f t="shared" si="76"/>
        <v>2.0715630885122436E-2</v>
      </c>
      <c r="L142" s="18">
        <f>IF(ISNUMBER(J142), $B145 * K142, "")</f>
        <v>2071.5630885122437</v>
      </c>
      <c r="M142" s="31">
        <v>56.6</v>
      </c>
      <c r="N142" s="32">
        <f t="shared" si="77"/>
        <v>6.5913370998116755E-2</v>
      </c>
      <c r="O142" s="18">
        <f>IF(ISNUMBER(M142), $B145 * N142, "")</f>
        <v>6591.3370998116752</v>
      </c>
      <c r="Q142" s="216"/>
      <c r="R142" s="216"/>
      <c r="S142" s="216"/>
    </row>
    <row r="143" spans="1:19">
      <c r="A143" s="125" t="s">
        <v>65</v>
      </c>
      <c r="B143" s="126">
        <v>28.7</v>
      </c>
      <c r="C143" s="77">
        <v>-2.7118644099999999E-2</v>
      </c>
      <c r="D143" s="15">
        <v>28.4</v>
      </c>
      <c r="E143" s="32">
        <f t="shared" si="74"/>
        <v>-1.0452961672473893E-2</v>
      </c>
      <c r="F143" s="18">
        <f>IF(ISNUMBER(D143), $B145 * E143, "")</f>
        <v>-1045.2961672473893</v>
      </c>
      <c r="G143" s="31">
        <v>28.5</v>
      </c>
      <c r="H143" s="32">
        <f t="shared" si="75"/>
        <v>-6.9686411149825541E-3</v>
      </c>
      <c r="I143" s="101">
        <f>IF(ISNUMBER(G143), $B145 * H143, "")</f>
        <v>-696.8641114982554</v>
      </c>
      <c r="J143" s="15">
        <v>28.6</v>
      </c>
      <c r="K143" s="32">
        <f t="shared" si="76"/>
        <v>-3.484320557491215E-3</v>
      </c>
      <c r="L143" s="18">
        <f>IF(ISNUMBER(J143), $B145 * K143, "")</f>
        <v>-348.4320557491215</v>
      </c>
      <c r="M143" s="31">
        <v>29</v>
      </c>
      <c r="N143" s="32">
        <f t="shared" si="77"/>
        <v>1.0452961672473893E-2</v>
      </c>
      <c r="O143" s="18">
        <f>IF(ISNUMBER(M143), $B145 * N143, "")</f>
        <v>1045.2961672473893</v>
      </c>
      <c r="Q143" s="205"/>
      <c r="R143" s="206"/>
      <c r="S143" s="207"/>
    </row>
    <row r="144" spans="1:19" ht="17.25" thickBot="1">
      <c r="A144" s="130" t="s">
        <v>178</v>
      </c>
      <c r="B144" s="131">
        <v>15.3</v>
      </c>
      <c r="C144" s="79">
        <v>-3.1645569599999999E-2</v>
      </c>
      <c r="D144" s="24">
        <v>15.4</v>
      </c>
      <c r="E144" s="25">
        <f t="shared" si="74"/>
        <v>6.5359477124182774E-3</v>
      </c>
      <c r="F144" s="104">
        <f>IF(ISNUMBER(D144), $B145 * E144, "")</f>
        <v>653.59477124182774</v>
      </c>
      <c r="G144" s="102">
        <v>15.4</v>
      </c>
      <c r="H144" s="25">
        <f t="shared" si="75"/>
        <v>6.5359477124182774E-3</v>
      </c>
      <c r="I144" s="103">
        <f>IF(ISNUMBER(G144), $B145 * H144, "")</f>
        <v>653.59477124182774</v>
      </c>
      <c r="J144" s="24">
        <v>15.5</v>
      </c>
      <c r="K144" s="25">
        <f t="shared" si="76"/>
        <v>1.3071895424836555E-2</v>
      </c>
      <c r="L144" s="104">
        <f>IF(ISNUMBER(J144), $B145 * K144, "")</f>
        <v>1307.1895424836555</v>
      </c>
      <c r="M144" s="102">
        <v>15.8</v>
      </c>
      <c r="N144" s="25">
        <f t="shared" si="77"/>
        <v>3.2679738562091505E-2</v>
      </c>
      <c r="O144" s="104">
        <f>IF(ISNUMBER(M144), $B145 * N144, "")</f>
        <v>3267.9738562091507</v>
      </c>
      <c r="Q144" s="208"/>
      <c r="R144" s="209"/>
      <c r="S144" s="210"/>
    </row>
    <row r="145" spans="1:19" ht="17.25" thickBot="1">
      <c r="A145" s="132" t="s">
        <v>271</v>
      </c>
      <c r="B145" s="269">
        <f>$B$37</f>
        <v>100000</v>
      </c>
      <c r="C145" s="270"/>
      <c r="D145" s="26" t="s">
        <v>272</v>
      </c>
      <c r="E145" s="27">
        <f>IF(COUNT(E125:E144), SUM(E125:E144) / COUNT(E125:E144), 0)</f>
        <v>1.407250658613847E-2</v>
      </c>
      <c r="F145" s="28">
        <f>SUM(F125:F144)</f>
        <v>28145.013172276944</v>
      </c>
      <c r="G145" s="26" t="s">
        <v>272</v>
      </c>
      <c r="H145" s="27">
        <f>IF(COUNT(H125:H144), SUM(H125:H144) / COUNT(H125:H144), 0)</f>
        <v>1.7270688572574508E-2</v>
      </c>
      <c r="I145" s="28">
        <f>SUM(I125:I144)</f>
        <v>34541.377145149025</v>
      </c>
      <c r="J145" s="26" t="s">
        <v>272</v>
      </c>
      <c r="K145" s="27">
        <f>IF(COUNT(K125:K144), SUM(K125:K144) / COUNT(K125:K144), 0)</f>
        <v>2.2992436669647412E-2</v>
      </c>
      <c r="L145" s="28">
        <f>SUM(L125:L144)</f>
        <v>45984.87333929482</v>
      </c>
      <c r="M145" s="26" t="s">
        <v>272</v>
      </c>
      <c r="N145" s="27">
        <f>IF(COUNT(N125:N144), SUM(N125:N144) / COUNT(N125:N144), 0)</f>
        <v>4.6024906078004447E-2</v>
      </c>
      <c r="O145" s="28">
        <f>SUM(O125:O144)</f>
        <v>92049.812156008891</v>
      </c>
      <c r="Q145" s="211"/>
      <c r="R145" s="212"/>
      <c r="S145" s="213"/>
    </row>
    <row r="147" spans="1:19" ht="17.25" thickBot="1"/>
    <row r="148" spans="1:19" ht="17.25" thickBot="1">
      <c r="A148" s="227" t="s">
        <v>260</v>
      </c>
      <c r="B148" s="228"/>
      <c r="C148" s="228"/>
      <c r="D148" s="228"/>
      <c r="E148" s="228"/>
      <c r="F148" s="228"/>
      <c r="G148" s="228"/>
      <c r="H148" s="228"/>
      <c r="I148" s="228"/>
      <c r="J148" s="228"/>
      <c r="K148" s="228"/>
      <c r="L148" s="228"/>
      <c r="M148" s="228"/>
      <c r="N148" s="228"/>
      <c r="O148" s="229"/>
      <c r="Q148" s="226"/>
      <c r="R148" s="226"/>
      <c r="S148" s="226"/>
    </row>
    <row r="149" spans="1:19" ht="17.25" thickBot="1">
      <c r="A149" s="169" t="s">
        <v>268</v>
      </c>
      <c r="B149" s="227" t="s">
        <v>49</v>
      </c>
      <c r="C149" s="229"/>
      <c r="D149" s="227" t="s">
        <v>58</v>
      </c>
      <c r="E149" s="228"/>
      <c r="F149" s="229"/>
      <c r="G149" s="230">
        <f>_xlfn.IFNA(VLOOKUP(B149, 현재가테이블!$B$2:$D$200, 2, FALSE), "-")</f>
        <v>39916000</v>
      </c>
      <c r="H149" s="231"/>
      <c r="I149" s="232"/>
      <c r="J149" s="227" t="s">
        <v>59</v>
      </c>
      <c r="K149" s="228"/>
      <c r="L149" s="229"/>
      <c r="M149" s="233">
        <f>_xlfn.IFNA(VLOOKUP(B149, 현재가테이블!$B$2:$D$200, 3, FALSE), "-")</f>
        <v>7.3184273000000003E-3</v>
      </c>
      <c r="N149" s="234"/>
      <c r="O149" s="235"/>
      <c r="Q149" s="226"/>
      <c r="R149" s="226"/>
      <c r="S149" s="226"/>
    </row>
    <row r="150" spans="1:19" ht="17.25" thickBot="1">
      <c r="A150" s="271" t="s">
        <v>55</v>
      </c>
      <c r="B150" s="267" t="str">
        <f>TEXT($G$1, "[$-ko-KR]yyyy-mm-dd(ddd) ") &amp; "오전 00:00"</f>
        <v>2021-07-04(일) 오전 00:00</v>
      </c>
      <c r="C150" s="268"/>
      <c r="D150" s="240" t="str">
        <f>TEXT($G$1, "[$-ko-KR]yyyy-mm-dd(ddd) ") &amp; "오후 14:00"</f>
        <v>2021-07-04(일) 오후 14:00</v>
      </c>
      <c r="E150" s="241"/>
      <c r="F150" s="242"/>
      <c r="G150" s="240" t="str">
        <f>TEXT($G$1, "[$-ko-KR]yyyy-mm-dd(ddd) ") &amp; "오후 19:00"</f>
        <v>2021-07-04(일) 오후 19:00</v>
      </c>
      <c r="H150" s="241"/>
      <c r="I150" s="242"/>
      <c r="J150" s="240" t="str">
        <f>TEXT($G$1, "[$-ko-KR]yyyy-mm-dd(ddd) ") &amp; "오후 21:00"</f>
        <v>2021-07-04(일) 오후 21:00</v>
      </c>
      <c r="K150" s="241"/>
      <c r="L150" s="242"/>
      <c r="M150" s="240" t="str">
        <f>TEXT($G$1+1, "[$-ko-KR]yyyy-mm-dd(ddd) ") &amp; "오전 00:00"</f>
        <v>2021-07-05(월) 오전 00:00</v>
      </c>
      <c r="N150" s="241"/>
      <c r="O150" s="242"/>
      <c r="Q150" s="226"/>
      <c r="R150" s="226"/>
      <c r="S150" s="226"/>
    </row>
    <row r="151" spans="1:19" ht="17.25" thickBot="1">
      <c r="A151" s="27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0" t="s">
        <v>58</v>
      </c>
      <c r="H151" s="171" t="s">
        <v>269</v>
      </c>
      <c r="I151" s="17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6"/>
      <c r="R151" s="216"/>
      <c r="S151" s="216"/>
    </row>
    <row r="152" spans="1:19" ht="17.25" thickBot="1">
      <c r="A152" s="123" t="s">
        <v>168</v>
      </c>
      <c r="B152" s="124">
        <v>959</v>
      </c>
      <c r="C152" s="76">
        <v>1.8046709099999999E-2</v>
      </c>
      <c r="D152" s="13">
        <v>1015</v>
      </c>
      <c r="E152" s="14">
        <f>IF(ISNUMBER(D152), (D152 - $B152) / $B152, "")</f>
        <v>5.8394160583941604E-2</v>
      </c>
      <c r="F152" s="16">
        <f>IF(ISNUMBER(D152), $B172 * E152, "")</f>
        <v>5839.4160583941602</v>
      </c>
      <c r="G152" s="29">
        <v>999</v>
      </c>
      <c r="H152" s="14">
        <f>IF(ISNUMBER(G152), (G152 - $B152) / $B152, "")</f>
        <v>4.171011470281543E-2</v>
      </c>
      <c r="I152" s="100">
        <f>IF(ISNUMBER(G152), $B172 * H152, "")</f>
        <v>4171.0114702815426</v>
      </c>
      <c r="J152" s="13">
        <v>999</v>
      </c>
      <c r="K152" s="14">
        <f>IF(ISNUMBER(J152), (J152 - $B152) / $B152, "")</f>
        <v>4.171011470281543E-2</v>
      </c>
      <c r="L152" s="16">
        <f>IF(ISNUMBER(J152), $B172 * K152, "")</f>
        <v>4171.0114702815426</v>
      </c>
      <c r="M152" s="29">
        <v>993</v>
      </c>
      <c r="N152" s="14">
        <f>IF(ISNUMBER(M152), (M152 - $B152) / $B152, "")</f>
        <v>3.5453597497393116E-2</v>
      </c>
      <c r="O152" s="16">
        <f>IF(ISNUMBER(M152), $B172 * N152, "")</f>
        <v>3545.3597497393116</v>
      </c>
      <c r="Q152" s="226"/>
      <c r="R152" s="226"/>
      <c r="S152" s="226"/>
    </row>
    <row r="153" spans="1:19" ht="17.25" thickBot="1">
      <c r="A153" s="125" t="s">
        <v>164</v>
      </c>
      <c r="B153" s="126">
        <v>237</v>
      </c>
      <c r="C153" s="77">
        <v>1.7167381999999998E-2</v>
      </c>
      <c r="D153" s="15">
        <v>248</v>
      </c>
      <c r="E153" s="32">
        <f t="shared" ref="E153:E156" si="78">IF(ISNUMBER(D153), (D153 - $B153) / $B153, "")</f>
        <v>4.6413502109704644E-2</v>
      </c>
      <c r="F153" s="18">
        <f>IF(ISNUMBER(D153), $B172 * E153, "")</f>
        <v>4641.3502109704641</v>
      </c>
      <c r="G153" s="31">
        <v>252</v>
      </c>
      <c r="H153" s="32">
        <f t="shared" ref="H153:H156" si="79">IF(ISNUMBER(G153), (G153 - $B153) / $B153, "")</f>
        <v>6.3291139240506333E-2</v>
      </c>
      <c r="I153" s="101">
        <f>IF(ISNUMBER(G153), $B172 * H153, "")</f>
        <v>6329.1139240506336</v>
      </c>
      <c r="J153" s="15">
        <v>257</v>
      </c>
      <c r="K153" s="32">
        <f t="shared" ref="K153:K156" si="80">IF(ISNUMBER(J153), (J153 - $B153) / $B153, "")</f>
        <v>8.4388185654008435E-2</v>
      </c>
      <c r="L153" s="18">
        <f>IF(ISNUMBER(J153), $B172 * K153, "")</f>
        <v>8438.818565400843</v>
      </c>
      <c r="M153" s="31">
        <v>251</v>
      </c>
      <c r="N153" s="32">
        <f t="shared" ref="N153:N156" si="81">IF(ISNUMBER(M153), (M153 - $B153) / $B153, "")</f>
        <v>5.9071729957805907E-2</v>
      </c>
      <c r="O153" s="18">
        <f>IF(ISNUMBER(M153), $B172 * N153, "")</f>
        <v>5907.172995780591</v>
      </c>
      <c r="Q153" s="226"/>
      <c r="R153" s="226"/>
      <c r="S153" s="226"/>
    </row>
    <row r="154" spans="1:19" ht="17.25" thickBot="1">
      <c r="A154" s="125" t="s">
        <v>267</v>
      </c>
      <c r="B154" s="126">
        <v>289</v>
      </c>
      <c r="C154" s="77">
        <v>1.4035087700000001E-2</v>
      </c>
      <c r="D154" s="15">
        <v>287</v>
      </c>
      <c r="E154" s="32">
        <f t="shared" si="78"/>
        <v>-6.920415224913495E-3</v>
      </c>
      <c r="F154" s="18">
        <f>IF(ISNUMBER(D154), $B172 * E154, "")</f>
        <v>-692.0415224913495</v>
      </c>
      <c r="G154" s="31">
        <v>289</v>
      </c>
      <c r="H154" s="32">
        <f t="shared" si="79"/>
        <v>0</v>
      </c>
      <c r="I154" s="101">
        <f>IF(ISNUMBER(G154), $B172 * H154, "")</f>
        <v>0</v>
      </c>
      <c r="J154" s="15">
        <v>289</v>
      </c>
      <c r="K154" s="32">
        <f t="shared" si="80"/>
        <v>0</v>
      </c>
      <c r="L154" s="18">
        <f>IF(ISNUMBER(J154), $B172 * K154, "")</f>
        <v>0</v>
      </c>
      <c r="M154" s="31">
        <v>288</v>
      </c>
      <c r="N154" s="32">
        <f t="shared" si="81"/>
        <v>-3.4602076124567475E-3</v>
      </c>
      <c r="O154" s="18">
        <f>IF(ISNUMBER(M154), $B172 * N154, "")</f>
        <v>-346.02076124567475</v>
      </c>
      <c r="Q154" s="216"/>
      <c r="R154" s="216"/>
      <c r="S154" s="216"/>
    </row>
    <row r="155" spans="1:19" ht="17.25" thickBot="1">
      <c r="A155" s="125" t="s">
        <v>104</v>
      </c>
      <c r="B155" s="126">
        <v>817</v>
      </c>
      <c r="C155" s="77">
        <v>1.23915737E-2</v>
      </c>
      <c r="D155" s="15">
        <v>811</v>
      </c>
      <c r="E155" s="32">
        <f t="shared" si="78"/>
        <v>-7.3439412484700125E-3</v>
      </c>
      <c r="F155" s="18">
        <f>IF(ISNUMBER(D155), $B172 * E155, "")</f>
        <v>-734.39412484700119</v>
      </c>
      <c r="G155" s="31">
        <v>826</v>
      </c>
      <c r="H155" s="32">
        <f t="shared" si="79"/>
        <v>1.1015911872705019E-2</v>
      </c>
      <c r="I155" s="101">
        <f>IF(ISNUMBER(G155), $B172 * H155, "")</f>
        <v>1101.5911872705019</v>
      </c>
      <c r="J155" s="15">
        <v>831</v>
      </c>
      <c r="K155" s="32">
        <f t="shared" si="80"/>
        <v>1.7135862913096694E-2</v>
      </c>
      <c r="L155" s="18">
        <f>IF(ISNUMBER(J155), $B172 * K155, "")</f>
        <v>1713.5862913096694</v>
      </c>
      <c r="M155" s="31">
        <v>838</v>
      </c>
      <c r="N155" s="32">
        <f t="shared" si="81"/>
        <v>2.5703794369645042E-2</v>
      </c>
      <c r="O155" s="18">
        <f>IF(ISNUMBER(M155), $B172 * N155, "")</f>
        <v>2570.3794369645043</v>
      </c>
      <c r="Q155" s="216"/>
      <c r="R155" s="216"/>
      <c r="S155" s="216"/>
    </row>
    <row r="156" spans="1:19" ht="17.25" thickBot="1">
      <c r="A156" s="127" t="s">
        <v>86</v>
      </c>
      <c r="B156" s="128">
        <v>281</v>
      </c>
      <c r="C156" s="78">
        <v>1.07913669E-2</v>
      </c>
      <c r="D156" s="20">
        <v>282</v>
      </c>
      <c r="E156" s="21">
        <f t="shared" si="78"/>
        <v>3.5587188612099642E-3</v>
      </c>
      <c r="F156" s="22">
        <f>IF(ISNUMBER(D156), $B172 * E156, "")</f>
        <v>355.87188612099641</v>
      </c>
      <c r="G156" s="30">
        <v>283</v>
      </c>
      <c r="H156" s="21">
        <f t="shared" si="79"/>
        <v>7.1174377224199285E-3</v>
      </c>
      <c r="I156" s="105">
        <f>IF(ISNUMBER(G156), $B172 * H156, "")</f>
        <v>711.74377224199281</v>
      </c>
      <c r="J156" s="20">
        <v>284</v>
      </c>
      <c r="K156" s="21">
        <f t="shared" si="80"/>
        <v>1.0676156583629894E-2</v>
      </c>
      <c r="L156" s="22">
        <f>IF(ISNUMBER(J156), $B172 * K156, "")</f>
        <v>1067.6156583629893</v>
      </c>
      <c r="M156" s="30">
        <v>285</v>
      </c>
      <c r="N156" s="21">
        <f t="shared" si="81"/>
        <v>1.4234875444839857E-2</v>
      </c>
      <c r="O156" s="22">
        <f>IF(ISNUMBER(M156), $B172 * N156, "")</f>
        <v>1423.4875444839856</v>
      </c>
      <c r="Q156" s="216"/>
      <c r="R156" s="216"/>
      <c r="S156" s="216"/>
    </row>
    <row r="157" spans="1:19" ht="17.25" thickBot="1">
      <c r="A157" s="125" t="s">
        <v>184</v>
      </c>
      <c r="B157" s="129">
        <v>844</v>
      </c>
      <c r="C157" s="80">
        <v>1.07784431E-2</v>
      </c>
      <c r="D157" s="106">
        <v>842</v>
      </c>
      <c r="E157" s="107">
        <f>IF(ISNUMBER(D157), (D157 - $B157) / $B157, "")</f>
        <v>-2.3696682464454978E-3</v>
      </c>
      <c r="F157" s="108">
        <f>IF(ISNUMBER(D157), $B172 * E157, "")</f>
        <v>-236.96682464454977</v>
      </c>
      <c r="G157" s="109">
        <v>851</v>
      </c>
      <c r="H157" s="107">
        <f>IF(ISNUMBER(G157), (G157 - $B157) / $B157, "")</f>
        <v>8.2938388625592423E-3</v>
      </c>
      <c r="I157" s="110">
        <f>IF(ISNUMBER(G157), $B172 * H157, "")</f>
        <v>829.38388625592427</v>
      </c>
      <c r="J157" s="106">
        <v>853</v>
      </c>
      <c r="K157" s="107">
        <f>IF(ISNUMBER(J157), (J157 - $B157) / $B157, "")</f>
        <v>1.066350710900474E-2</v>
      </c>
      <c r="L157" s="108">
        <f>IF(ISNUMBER(J157), $B172 * K157, "")</f>
        <v>1066.350710900474</v>
      </c>
      <c r="M157" s="109">
        <v>871</v>
      </c>
      <c r="N157" s="107">
        <f>IF(ISNUMBER(M157), (M157 - $B157) / $B157, "")</f>
        <v>3.1990521327014215E-2</v>
      </c>
      <c r="O157" s="108">
        <f>IF(ISNUMBER(M157), $B172 * N157, "")</f>
        <v>3199.0521327014217</v>
      </c>
      <c r="Q157" s="216"/>
      <c r="R157" s="216"/>
      <c r="S157" s="216"/>
    </row>
    <row r="158" spans="1:19" ht="17.25" thickBot="1">
      <c r="A158" s="125" t="s">
        <v>243</v>
      </c>
      <c r="B158" s="126">
        <v>340</v>
      </c>
      <c r="C158" s="77">
        <v>8.9020772000000005E-3</v>
      </c>
      <c r="D158" s="15">
        <v>439</v>
      </c>
      <c r="E158" s="32">
        <f t="shared" ref="E158:E161" si="82">IF(ISNUMBER(D158), (D158 - $B158) / $B158, "")</f>
        <v>0.29117647058823531</v>
      </c>
      <c r="F158" s="18">
        <f>IF(ISNUMBER(D158), $B172 * E158, "")</f>
        <v>29117.647058823532</v>
      </c>
      <c r="G158" s="31">
        <v>434</v>
      </c>
      <c r="H158" s="32">
        <f t="shared" ref="H158:H161" si="83">IF(ISNUMBER(G158), (G158 - $B158) / $B158, "")</f>
        <v>0.27647058823529413</v>
      </c>
      <c r="I158" s="101">
        <f>IF(ISNUMBER(G158), $B172 * H158, "")</f>
        <v>27647.058823529413</v>
      </c>
      <c r="J158" s="15">
        <v>428</v>
      </c>
      <c r="K158" s="32">
        <f t="shared" ref="K158:K161" si="84">IF(ISNUMBER(J158), (J158 - $B158) / $B158, "")</f>
        <v>0.25882352941176473</v>
      </c>
      <c r="L158" s="18">
        <f>IF(ISNUMBER(J158), $B172 * K158, "")</f>
        <v>25882.352941176472</v>
      </c>
      <c r="M158" s="31">
        <v>400</v>
      </c>
      <c r="N158" s="32">
        <f t="shared" ref="N158:N161" si="85">IF(ISNUMBER(M158), (M158 - $B158) / $B158, "")</f>
        <v>0.17647058823529413</v>
      </c>
      <c r="O158" s="18">
        <f>IF(ISNUMBER(M158), $B172 * N158, "")</f>
        <v>17647.058823529413</v>
      </c>
      <c r="Q158" s="216"/>
      <c r="R158" s="216"/>
      <c r="S158" s="216"/>
    </row>
    <row r="159" spans="1:19" ht="17.25" thickBot="1">
      <c r="A159" s="125" t="s">
        <v>102</v>
      </c>
      <c r="B159" s="126">
        <v>836</v>
      </c>
      <c r="C159" s="77">
        <v>8.4439083000000005E-3</v>
      </c>
      <c r="D159" s="15">
        <v>829</v>
      </c>
      <c r="E159" s="32">
        <f t="shared" si="82"/>
        <v>-8.3732057416267946E-3</v>
      </c>
      <c r="F159" s="18">
        <f>IF(ISNUMBER(D159), $B172 * E159, "")</f>
        <v>-837.32057416267946</v>
      </c>
      <c r="G159" s="31">
        <v>840</v>
      </c>
      <c r="H159" s="32">
        <f t="shared" si="83"/>
        <v>4.7846889952153108E-3</v>
      </c>
      <c r="I159" s="101">
        <f>IF(ISNUMBER(G159), $B172 * H159, "")</f>
        <v>478.46889952153106</v>
      </c>
      <c r="J159" s="15">
        <v>841</v>
      </c>
      <c r="K159" s="32">
        <f t="shared" si="84"/>
        <v>5.9808612440191387E-3</v>
      </c>
      <c r="L159" s="18">
        <f>IF(ISNUMBER(J159), $B172 * K159, "")</f>
        <v>598.08612440191382</v>
      </c>
      <c r="M159" s="31">
        <v>842</v>
      </c>
      <c r="N159" s="32">
        <f t="shared" si="85"/>
        <v>7.1770334928229667E-3</v>
      </c>
      <c r="O159" s="18">
        <f>IF(ISNUMBER(M159), $B172 * N159, "")</f>
        <v>717.7033492822967</v>
      </c>
      <c r="Q159" s="216"/>
      <c r="R159" s="216"/>
      <c r="S159" s="216"/>
    </row>
    <row r="160" spans="1:19" ht="17.25" thickBot="1">
      <c r="A160" s="125" t="s">
        <v>212</v>
      </c>
      <c r="B160" s="126">
        <v>966</v>
      </c>
      <c r="C160" s="77">
        <v>8.3507306999999996E-3</v>
      </c>
      <c r="D160" s="15">
        <v>969</v>
      </c>
      <c r="E160" s="32">
        <f t="shared" si="82"/>
        <v>3.105590062111801E-3</v>
      </c>
      <c r="F160" s="18">
        <f>IF(ISNUMBER(D160), $B172 * E160, "")</f>
        <v>310.55900621118008</v>
      </c>
      <c r="G160" s="31">
        <v>981</v>
      </c>
      <c r="H160" s="32">
        <f t="shared" si="83"/>
        <v>1.5527950310559006E-2</v>
      </c>
      <c r="I160" s="101">
        <f>IF(ISNUMBER(G160), $B172 * H160, "")</f>
        <v>1552.7950310559006</v>
      </c>
      <c r="J160" s="15">
        <v>986</v>
      </c>
      <c r="K160" s="32">
        <f t="shared" si="84"/>
        <v>2.0703933747412008E-2</v>
      </c>
      <c r="L160" s="18">
        <f>IF(ISNUMBER(J160), $B172 * K160, "")</f>
        <v>2070.3933747412007</v>
      </c>
      <c r="M160" s="31">
        <v>1000</v>
      </c>
      <c r="N160" s="32">
        <f t="shared" si="85"/>
        <v>3.5196687370600416E-2</v>
      </c>
      <c r="O160" s="18">
        <f>IF(ISNUMBER(M160), $B172 * N160, "")</f>
        <v>3519.6687370600416</v>
      </c>
      <c r="Q160" s="33"/>
      <c r="R160" s="33"/>
    </row>
    <row r="161" spans="1:19" ht="17.25" thickBot="1">
      <c r="A161" s="130" t="s">
        <v>194</v>
      </c>
      <c r="B161" s="131">
        <v>124</v>
      </c>
      <c r="C161" s="79">
        <v>8.1300812999999996E-3</v>
      </c>
      <c r="D161" s="24">
        <v>125</v>
      </c>
      <c r="E161" s="25">
        <f t="shared" si="82"/>
        <v>8.0645161290322578E-3</v>
      </c>
      <c r="F161" s="104">
        <f>IF(ISNUMBER(D161), $B172 * E161, "")</f>
        <v>806.45161290322574</v>
      </c>
      <c r="G161" s="102">
        <v>125</v>
      </c>
      <c r="H161" s="25">
        <f t="shared" si="83"/>
        <v>8.0645161290322578E-3</v>
      </c>
      <c r="I161" s="103">
        <f>IF(ISNUMBER(G161), $B172 * H161, "")</f>
        <v>806.45161290322574</v>
      </c>
      <c r="J161" s="24">
        <v>127</v>
      </c>
      <c r="K161" s="25">
        <f t="shared" si="84"/>
        <v>2.4193548387096774E-2</v>
      </c>
      <c r="L161" s="104">
        <f>IF(ISNUMBER(J161), $B172 * K161, "")</f>
        <v>2419.3548387096776</v>
      </c>
      <c r="M161" s="102">
        <v>129</v>
      </c>
      <c r="N161" s="25">
        <f t="shared" si="85"/>
        <v>4.0322580645161289E-2</v>
      </c>
      <c r="O161" s="104">
        <f>IF(ISNUMBER(M161), $B172 * N161, "")</f>
        <v>4032.2580645161288</v>
      </c>
      <c r="Q161" s="217"/>
      <c r="R161" s="218"/>
      <c r="S161" s="219"/>
    </row>
    <row r="162" spans="1:19">
      <c r="A162" s="123" t="s">
        <v>253</v>
      </c>
      <c r="B162" s="124">
        <v>705</v>
      </c>
      <c r="C162" s="76">
        <v>7.1428571000000003E-3</v>
      </c>
      <c r="D162" s="13">
        <v>722</v>
      </c>
      <c r="E162" s="14">
        <f>IF(ISNUMBER(D162), (D162 - $B162) / $B162, "")</f>
        <v>2.4113475177304965E-2</v>
      </c>
      <c r="F162" s="16">
        <f>IF(ISNUMBER(D162), $B172 * E162, "")</f>
        <v>2411.3475177304963</v>
      </c>
      <c r="G162" s="29">
        <v>722</v>
      </c>
      <c r="H162" s="14">
        <f>IF(ISNUMBER(G162), (G162 - $B162) / $B162, "")</f>
        <v>2.4113475177304965E-2</v>
      </c>
      <c r="I162" s="100">
        <f>IF(ISNUMBER(G162), $B172 * H162, "")</f>
        <v>2411.3475177304963</v>
      </c>
      <c r="J162" s="13">
        <v>730</v>
      </c>
      <c r="K162" s="14">
        <f>IF(ISNUMBER(J162), (J162 - $B162) / $B162, "")</f>
        <v>3.5460992907801421E-2</v>
      </c>
      <c r="L162" s="16">
        <f>IF(ISNUMBER(J162), $B172 * K162, "")</f>
        <v>3546.0992907801419</v>
      </c>
      <c r="M162" s="29">
        <v>764</v>
      </c>
      <c r="N162" s="14">
        <f>IF(ISNUMBER(M162), (M162 - $B162) / $B162, "")</f>
        <v>8.3687943262411343E-2</v>
      </c>
      <c r="O162" s="16">
        <f>IF(ISNUMBER(M162), $B172 * N162, "")</f>
        <v>8368.7943262411336</v>
      </c>
      <c r="Q162" s="220"/>
      <c r="R162" s="221"/>
      <c r="S162" s="222"/>
    </row>
    <row r="163" spans="1:19" ht="17.25" thickBot="1">
      <c r="A163" s="125" t="s">
        <v>255</v>
      </c>
      <c r="B163" s="126">
        <v>192</v>
      </c>
      <c r="C163" s="77">
        <v>5.2356021000000003E-3</v>
      </c>
      <c r="D163" s="15">
        <v>219</v>
      </c>
      <c r="E163" s="32">
        <f t="shared" ref="E163:E166" si="86">IF(ISNUMBER(D163), (D163 - $B163) / $B163, "")</f>
        <v>0.140625</v>
      </c>
      <c r="F163" s="18">
        <f>IF(ISNUMBER(D163), $B172 * E163, "")</f>
        <v>14062.5</v>
      </c>
      <c r="G163" s="31">
        <v>223</v>
      </c>
      <c r="H163" s="32">
        <f t="shared" ref="H163:H166" si="87">IF(ISNUMBER(G163), (G163 - $B163) / $B163, "")</f>
        <v>0.16145833333333334</v>
      </c>
      <c r="I163" s="101">
        <f>IF(ISNUMBER(G163), $B172 * H163, "")</f>
        <v>16145.833333333334</v>
      </c>
      <c r="J163" s="15">
        <v>224</v>
      </c>
      <c r="K163" s="32">
        <f t="shared" ref="K163:K166" si="88">IF(ISNUMBER(J163), (J163 - $B163) / $B163, "")</f>
        <v>0.16666666666666666</v>
      </c>
      <c r="L163" s="18">
        <f>IF(ISNUMBER(J163), $B172 * K163, "")</f>
        <v>16666.666666666664</v>
      </c>
      <c r="M163" s="31">
        <v>217</v>
      </c>
      <c r="N163" s="32">
        <f t="shared" ref="N163:N166" si="89">IF(ISNUMBER(M163), (M163 - $B163) / $B163, "")</f>
        <v>0.13020833333333334</v>
      </c>
      <c r="O163" s="18">
        <f>IF(ISNUMBER(M163), $B172 * N163, "")</f>
        <v>13020.833333333334</v>
      </c>
      <c r="Q163" s="223"/>
      <c r="R163" s="224"/>
      <c r="S163" s="225"/>
    </row>
    <row r="164" spans="1:19" ht="17.25" thickBot="1">
      <c r="A164" s="125" t="s">
        <v>174</v>
      </c>
      <c r="B164" s="126">
        <v>242</v>
      </c>
      <c r="C164" s="77">
        <v>4.1493776000000003E-3</v>
      </c>
      <c r="D164" s="15">
        <v>252</v>
      </c>
      <c r="E164" s="32">
        <f t="shared" si="86"/>
        <v>4.1322314049586778E-2</v>
      </c>
      <c r="F164" s="18">
        <f>IF(ISNUMBER(D164), $B172 * E164, "")</f>
        <v>4132.2314049586776</v>
      </c>
      <c r="G164" s="31">
        <v>247</v>
      </c>
      <c r="H164" s="32">
        <f t="shared" si="87"/>
        <v>2.0661157024793389E-2</v>
      </c>
      <c r="I164" s="101">
        <f>IF(ISNUMBER(G164), $B172 * H164, "")</f>
        <v>2066.1157024793388</v>
      </c>
      <c r="J164" s="15">
        <v>249</v>
      </c>
      <c r="K164" s="32">
        <f t="shared" si="88"/>
        <v>2.8925619834710745E-2</v>
      </c>
      <c r="L164" s="18">
        <f>IF(ISNUMBER(J164), $B172 * K164, "")</f>
        <v>2892.5619834710747</v>
      </c>
      <c r="M164" s="31">
        <v>248</v>
      </c>
      <c r="N164" s="32">
        <f t="shared" si="89"/>
        <v>2.4793388429752067E-2</v>
      </c>
      <c r="O164" s="18">
        <f>IF(ISNUMBER(M164), $B172 * N164, "")</f>
        <v>2479.3388429752067</v>
      </c>
      <c r="Q164" s="216"/>
      <c r="R164" s="216"/>
      <c r="S164" s="216"/>
    </row>
    <row r="165" spans="1:19" ht="17.25" thickBot="1">
      <c r="A165" s="125" t="s">
        <v>51</v>
      </c>
      <c r="B165" s="126">
        <v>308</v>
      </c>
      <c r="C165" s="77">
        <v>3.2573290000000002E-3</v>
      </c>
      <c r="D165" s="15">
        <v>309</v>
      </c>
      <c r="E165" s="32">
        <f t="shared" si="86"/>
        <v>3.246753246753247E-3</v>
      </c>
      <c r="F165" s="18">
        <f>IF(ISNUMBER(D165), $B172 * E165, "")</f>
        <v>324.6753246753247</v>
      </c>
      <c r="G165" s="31">
        <v>313</v>
      </c>
      <c r="H165" s="32">
        <f t="shared" si="87"/>
        <v>1.6233766233766232E-2</v>
      </c>
      <c r="I165" s="101">
        <f>IF(ISNUMBER(G165), $B172 * H165, "")</f>
        <v>1623.3766233766232</v>
      </c>
      <c r="J165" s="15">
        <v>314</v>
      </c>
      <c r="K165" s="32">
        <f t="shared" si="88"/>
        <v>1.948051948051948E-2</v>
      </c>
      <c r="L165" s="18">
        <f>IF(ISNUMBER(J165), $B172 * K165, "")</f>
        <v>1948.0519480519481</v>
      </c>
      <c r="M165" s="31">
        <v>313</v>
      </c>
      <c r="N165" s="32">
        <f t="shared" si="89"/>
        <v>1.6233766233766232E-2</v>
      </c>
      <c r="O165" s="18">
        <f>IF(ISNUMBER(M165), $B172 * N165, "")</f>
        <v>1623.3766233766232</v>
      </c>
      <c r="Q165" s="226"/>
      <c r="R165" s="226"/>
      <c r="S165" s="226"/>
    </row>
    <row r="166" spans="1:19" ht="17.25" thickBot="1">
      <c r="A166" s="127" t="s">
        <v>138</v>
      </c>
      <c r="B166" s="128">
        <v>433</v>
      </c>
      <c r="C166" s="78">
        <v>2.3148147999999999E-3</v>
      </c>
      <c r="D166" s="20">
        <v>431</v>
      </c>
      <c r="E166" s="21">
        <f t="shared" si="86"/>
        <v>-4.6189376443418013E-3</v>
      </c>
      <c r="F166" s="22">
        <f>IF(ISNUMBER(D166), $B172 * E166, "")</f>
        <v>-461.89376443418013</v>
      </c>
      <c r="G166" s="30">
        <v>434</v>
      </c>
      <c r="H166" s="21">
        <f t="shared" si="87"/>
        <v>2.3094688221709007E-3</v>
      </c>
      <c r="I166" s="105">
        <f>IF(ISNUMBER(G166), $B172 * H166, "")</f>
        <v>230.94688221709006</v>
      </c>
      <c r="J166" s="20">
        <v>436</v>
      </c>
      <c r="K166" s="21">
        <f t="shared" si="88"/>
        <v>6.9284064665127024E-3</v>
      </c>
      <c r="L166" s="22">
        <f>IF(ISNUMBER(J166), $B172 * K166, "")</f>
        <v>692.84064665127028</v>
      </c>
      <c r="M166" s="30">
        <v>435</v>
      </c>
      <c r="N166" s="21">
        <f t="shared" si="89"/>
        <v>4.6189376443418013E-3</v>
      </c>
      <c r="O166" s="22">
        <f>IF(ISNUMBER(M166), $B172 * N166, "")</f>
        <v>461.89376443418013</v>
      </c>
      <c r="Q166" s="226"/>
      <c r="R166" s="226"/>
      <c r="S166" s="226"/>
    </row>
    <row r="167" spans="1:19" ht="17.25" thickBot="1">
      <c r="A167" s="125" t="s">
        <v>231</v>
      </c>
      <c r="B167" s="129">
        <v>137</v>
      </c>
      <c r="C167" s="80">
        <v>0</v>
      </c>
      <c r="D167" s="106">
        <v>138</v>
      </c>
      <c r="E167" s="107">
        <f>IF(ISNUMBER(D167), (D167 - $B167) / $B167, "")</f>
        <v>7.2992700729927005E-3</v>
      </c>
      <c r="F167" s="108">
        <f>IF(ISNUMBER(D167), $B172 * E167, "")</f>
        <v>729.92700729927003</v>
      </c>
      <c r="G167" s="109">
        <v>140</v>
      </c>
      <c r="H167" s="107">
        <f>IF(ISNUMBER(G167), (G167 - $B167) / $B167, "")</f>
        <v>2.1897810218978103E-2</v>
      </c>
      <c r="I167" s="110">
        <f>IF(ISNUMBER(G167), $B172 * H167, "")</f>
        <v>2189.7810218978102</v>
      </c>
      <c r="J167" s="106">
        <v>141</v>
      </c>
      <c r="K167" s="107">
        <f>IF(ISNUMBER(J167), (J167 - $B167) / $B167, "")</f>
        <v>2.9197080291970802E-2</v>
      </c>
      <c r="L167" s="108">
        <f>IF(ISNUMBER(J167), $B172 * K167, "")</f>
        <v>2919.7080291970801</v>
      </c>
      <c r="M167" s="109">
        <v>144</v>
      </c>
      <c r="N167" s="107">
        <f>IF(ISNUMBER(M167), (M167 - $B167) / $B167, "")</f>
        <v>5.1094890510948905E-2</v>
      </c>
      <c r="O167" s="108">
        <f>IF(ISNUMBER(M167), $B172 * N167, "")</f>
        <v>5109.4890510948908</v>
      </c>
      <c r="Q167" s="216"/>
      <c r="R167" s="216"/>
      <c r="S167" s="216"/>
    </row>
    <row r="168" spans="1:19" ht="17.25" thickBot="1">
      <c r="A168" s="125" t="s">
        <v>54</v>
      </c>
      <c r="B168" s="126">
        <v>226</v>
      </c>
      <c r="C168" s="77">
        <v>0</v>
      </c>
      <c r="D168" s="15">
        <v>223</v>
      </c>
      <c r="E168" s="32">
        <f t="shared" ref="E168:E171" si="90">IF(ISNUMBER(D168), (D168 - $B168) / $B168, "")</f>
        <v>-1.3274336283185841E-2</v>
      </c>
      <c r="F168" s="18">
        <f>IF(ISNUMBER(D168), $B172 * E168, "")</f>
        <v>-1327.4336283185839</v>
      </c>
      <c r="G168" s="31">
        <v>226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225</v>
      </c>
      <c r="K168" s="32">
        <f t="shared" ref="K168:K171" si="92">IF(ISNUMBER(J168), (J168 - $B168) / $B168, "")</f>
        <v>-4.4247787610619468E-3</v>
      </c>
      <c r="L168" s="18">
        <f>IF(ISNUMBER(J168), $B172 * K168, "")</f>
        <v>-442.47787610619469</v>
      </c>
      <c r="M168" s="31">
        <v>225</v>
      </c>
      <c r="N168" s="32">
        <f t="shared" ref="N168:N171" si="93">IF(ISNUMBER(M168), (M168 - $B168) / $B168, "")</f>
        <v>-4.4247787610619468E-3</v>
      </c>
      <c r="O168" s="18">
        <f>IF(ISNUMBER(M168), $B172 * N168, "")</f>
        <v>-442.47787610619469</v>
      </c>
      <c r="Q168" s="216"/>
      <c r="R168" s="216"/>
      <c r="S168" s="216"/>
    </row>
    <row r="169" spans="1:19" ht="17.25" thickBot="1">
      <c r="A169" s="125" t="s">
        <v>124</v>
      </c>
      <c r="B169" s="126">
        <v>276</v>
      </c>
      <c r="C169" s="77">
        <v>-3.6101083E-3</v>
      </c>
      <c r="D169" s="15">
        <v>296</v>
      </c>
      <c r="E169" s="32">
        <f t="shared" si="90"/>
        <v>7.2463768115942032E-2</v>
      </c>
      <c r="F169" s="18">
        <f>IF(ISNUMBER(D169), $B172 * E169, "")</f>
        <v>7246.376811594203</v>
      </c>
      <c r="G169" s="31">
        <v>297</v>
      </c>
      <c r="H169" s="32">
        <f t="shared" si="91"/>
        <v>7.6086956521739135E-2</v>
      </c>
      <c r="I169" s="101">
        <f>IF(ISNUMBER(G169), $B172 * H169, "")</f>
        <v>7608.6956521739139</v>
      </c>
      <c r="J169" s="15">
        <v>298</v>
      </c>
      <c r="K169" s="32">
        <f t="shared" si="92"/>
        <v>7.9710144927536225E-2</v>
      </c>
      <c r="L169" s="18">
        <f>IF(ISNUMBER(J169), $B172 * K169, "")</f>
        <v>7971.0144927536221</v>
      </c>
      <c r="M169" s="31">
        <v>292</v>
      </c>
      <c r="N169" s="32">
        <f t="shared" si="93"/>
        <v>5.7971014492753624E-2</v>
      </c>
      <c r="O169" s="18">
        <f>IF(ISNUMBER(M169), $B172 * N169, "")</f>
        <v>5797.101449275362</v>
      </c>
      <c r="Q169" s="216"/>
      <c r="R169" s="216"/>
      <c r="S169" s="216"/>
    </row>
    <row r="170" spans="1:19">
      <c r="A170" s="125" t="s">
        <v>108</v>
      </c>
      <c r="B170" s="126">
        <v>952</v>
      </c>
      <c r="C170" s="77">
        <v>-5.2246604E-3</v>
      </c>
      <c r="D170" s="15">
        <v>951</v>
      </c>
      <c r="E170" s="32">
        <f t="shared" si="90"/>
        <v>-1.0504201680672268E-3</v>
      </c>
      <c r="F170" s="18">
        <f>IF(ISNUMBER(D170), $B172 * E170, "")</f>
        <v>-105.04201680672269</v>
      </c>
      <c r="G170" s="31">
        <v>962</v>
      </c>
      <c r="H170" s="32">
        <f t="shared" si="91"/>
        <v>1.050420168067227E-2</v>
      </c>
      <c r="I170" s="101">
        <f>IF(ISNUMBER(G170), $B172 * H170, "")</f>
        <v>1050.420168067227</v>
      </c>
      <c r="J170" s="15">
        <v>968</v>
      </c>
      <c r="K170" s="32">
        <f t="shared" si="92"/>
        <v>1.680672268907563E-2</v>
      </c>
      <c r="L170" s="18">
        <f>IF(ISNUMBER(J170), $B172 * K170, "")</f>
        <v>1680.672268907563</v>
      </c>
      <c r="M170" s="31">
        <v>989</v>
      </c>
      <c r="N170" s="32">
        <f t="shared" si="93"/>
        <v>3.8865546218487396E-2</v>
      </c>
      <c r="O170" s="18">
        <f>IF(ISNUMBER(M170), $B172 * N170, "")</f>
        <v>3886.5546218487398</v>
      </c>
      <c r="Q170" s="205"/>
      <c r="R170" s="206"/>
      <c r="S170" s="207"/>
    </row>
    <row r="171" spans="1:19" ht="17.25" thickBot="1">
      <c r="A171" s="130" t="s">
        <v>160</v>
      </c>
      <c r="B171" s="131">
        <v>986</v>
      </c>
      <c r="C171" s="79">
        <v>-1.4E-2</v>
      </c>
      <c r="D171" s="24">
        <v>1090</v>
      </c>
      <c r="E171" s="25">
        <f t="shared" si="90"/>
        <v>0.10547667342799188</v>
      </c>
      <c r="F171" s="104">
        <f>IF(ISNUMBER(D171), $B172 * E171, "")</f>
        <v>10547.667342799188</v>
      </c>
      <c r="G171" s="102">
        <v>1030</v>
      </c>
      <c r="H171" s="25">
        <f t="shared" si="91"/>
        <v>4.4624746450304259E-2</v>
      </c>
      <c r="I171" s="103">
        <f>IF(ISNUMBER(G171), $B172 * H171, "")</f>
        <v>4462.4746450304256</v>
      </c>
      <c r="J171" s="24">
        <v>1035</v>
      </c>
      <c r="K171" s="25">
        <f t="shared" si="92"/>
        <v>4.9695740365111561E-2</v>
      </c>
      <c r="L171" s="104">
        <f>IF(ISNUMBER(J171), $B172 * K171, "")</f>
        <v>4969.574036511156</v>
      </c>
      <c r="M171" s="102">
        <v>1020</v>
      </c>
      <c r="N171" s="25">
        <f t="shared" si="93"/>
        <v>3.4482758620689655E-2</v>
      </c>
      <c r="O171" s="104">
        <f>IF(ISNUMBER(M171), $B172 * N171, "")</f>
        <v>3448.2758620689656</v>
      </c>
      <c r="Q171" s="208"/>
      <c r="R171" s="209"/>
      <c r="S171" s="210"/>
    </row>
    <row r="172" spans="1:19" ht="17.25" thickBot="1">
      <c r="A172" s="132" t="s">
        <v>271</v>
      </c>
      <c r="B172" s="269">
        <f>$B$37</f>
        <v>100000</v>
      </c>
      <c r="C172" s="270"/>
      <c r="D172" s="26" t="s">
        <v>272</v>
      </c>
      <c r="E172" s="27">
        <f>IF(COUNT(E152:E171), SUM(E152:E171) / COUNT(E152:E171), 0)</f>
        <v>3.8065464393387816E-2</v>
      </c>
      <c r="F172" s="28">
        <f>SUM(F152:F171)</f>
        <v>76130.928786775665</v>
      </c>
      <c r="G172" s="26" t="s">
        <v>272</v>
      </c>
      <c r="H172" s="27">
        <f>IF(COUNT(H152:H171), SUM(H152:H171) / COUNT(H152:H171), 0)</f>
        <v>4.0708305076708459E-2</v>
      </c>
      <c r="I172" s="28">
        <f>SUM(I152:I171)</f>
        <v>81416.610153416928</v>
      </c>
      <c r="J172" s="26" t="s">
        <v>272</v>
      </c>
      <c r="K172" s="27">
        <f>IF(COUNT(K152:K171), SUM(K152:K171) / COUNT(K152:K171), 0)</f>
        <v>4.5136140731084559E-2</v>
      </c>
      <c r="L172" s="28">
        <f>SUM(L152:L171)</f>
        <v>90272.281462169107</v>
      </c>
      <c r="M172" s="26" t="s">
        <v>272</v>
      </c>
      <c r="N172" s="27">
        <f>IF(COUNT(N152:N171), SUM(N152:N171) / COUNT(N152:N171), 0)</f>
        <v>4.2984650035677134E-2</v>
      </c>
      <c r="O172" s="28">
        <f>SUM(O152:O171)</f>
        <v>85969.300071354271</v>
      </c>
      <c r="Q172" s="211"/>
      <c r="R172" s="212"/>
      <c r="S172" s="213"/>
    </row>
    <row r="174" spans="1:19" ht="17.25" thickBot="1"/>
    <row r="175" spans="1:19" ht="17.25" thickBot="1">
      <c r="A175" s="227" t="s">
        <v>256</v>
      </c>
      <c r="B175" s="228"/>
      <c r="C175" s="228"/>
      <c r="D175" s="228"/>
      <c r="E175" s="228"/>
      <c r="F175" s="228"/>
      <c r="G175" s="228"/>
      <c r="H175" s="228"/>
      <c r="I175" s="228"/>
      <c r="J175" s="228"/>
      <c r="K175" s="228"/>
      <c r="L175" s="228"/>
      <c r="M175" s="228"/>
      <c r="N175" s="228"/>
      <c r="O175" s="229"/>
      <c r="Q175" s="226"/>
      <c r="R175" s="226"/>
      <c r="S175" s="226"/>
    </row>
    <row r="176" spans="1:19" ht="17.25" thickBot="1">
      <c r="A176" s="169" t="s">
        <v>268</v>
      </c>
      <c r="B176" s="227" t="s">
        <v>49</v>
      </c>
      <c r="C176" s="229"/>
      <c r="D176" s="227" t="s">
        <v>58</v>
      </c>
      <c r="E176" s="228"/>
      <c r="F176" s="229"/>
      <c r="G176" s="230">
        <f>_xlfn.IFNA(VLOOKUP(B176, 현재가테이블!$B$2:$D$200, 2, FALSE), "-")</f>
        <v>39916000</v>
      </c>
      <c r="H176" s="231"/>
      <c r="I176" s="232"/>
      <c r="J176" s="227" t="s">
        <v>59</v>
      </c>
      <c r="K176" s="228"/>
      <c r="L176" s="229"/>
      <c r="M176" s="233">
        <f>_xlfn.IFNA(VLOOKUP(B176, 현재가테이블!$B$2:$D$200, 3, FALSE), "-")</f>
        <v>7.3184273000000003E-3</v>
      </c>
      <c r="N176" s="234"/>
      <c r="O176" s="235"/>
      <c r="Q176" s="226"/>
      <c r="R176" s="226"/>
      <c r="S176" s="226"/>
    </row>
    <row r="177" spans="1:19" ht="17.25" thickBot="1">
      <c r="A177" s="271" t="s">
        <v>55</v>
      </c>
      <c r="B177" s="267" t="str">
        <f>TEXT($G$1, "[$-ko-KR]yyyy-mm-dd(ddd) ") &amp; "오전 00:00"</f>
        <v>2021-07-04(일) 오전 00:00</v>
      </c>
      <c r="C177" s="268"/>
      <c r="D177" s="240" t="str">
        <f>TEXT($G$1, "[$-ko-KR]yyyy-mm-dd(ddd) ") &amp; "오후 14:00"</f>
        <v>2021-07-04(일) 오후 14:00</v>
      </c>
      <c r="E177" s="241"/>
      <c r="F177" s="242"/>
      <c r="G177" s="240" t="str">
        <f>TEXT($G$1, "[$-ko-KR]yyyy-mm-dd(ddd) ") &amp; "오후 19:00"</f>
        <v>2021-07-04(일) 오후 19:00</v>
      </c>
      <c r="H177" s="241"/>
      <c r="I177" s="242"/>
      <c r="J177" s="240" t="str">
        <f>TEXT($G$1, "[$-ko-KR]yyyy-mm-dd(ddd) ") &amp; "오후 21:00"</f>
        <v>2021-07-04(일) 오후 21:00</v>
      </c>
      <c r="K177" s="241"/>
      <c r="L177" s="242"/>
      <c r="M177" s="240" t="str">
        <f>TEXT($G$1+1, "[$-ko-KR]yyyy-mm-dd(ddd) ") &amp; "오전 00:00"</f>
        <v>2021-07-05(월) 오전 00:00</v>
      </c>
      <c r="N177" s="241"/>
      <c r="O177" s="242"/>
      <c r="Q177" s="226"/>
      <c r="R177" s="226"/>
      <c r="S177" s="226"/>
    </row>
    <row r="178" spans="1:19" ht="17.25" thickBot="1">
      <c r="A178" s="27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0" t="s">
        <v>58</v>
      </c>
      <c r="H178" s="171" t="s">
        <v>269</v>
      </c>
      <c r="I178" s="17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6"/>
      <c r="R178" s="216"/>
      <c r="S178" s="216"/>
    </row>
    <row r="179" spans="1:19" ht="17.25" thickBot="1">
      <c r="A179" s="123" t="s">
        <v>124</v>
      </c>
      <c r="B179" s="124">
        <v>276</v>
      </c>
      <c r="C179" s="76">
        <v>-3.6101083E-3</v>
      </c>
      <c r="D179" s="13">
        <v>296</v>
      </c>
      <c r="E179" s="14">
        <f>IF(ISNUMBER(D179), (D179 - $B179) / $B179, "")</f>
        <v>7.2463768115942032E-2</v>
      </c>
      <c r="F179" s="16">
        <f>IF(ISNUMBER(D179), $B199 * E179, "")</f>
        <v>7246.376811594203</v>
      </c>
      <c r="G179" s="29">
        <v>297</v>
      </c>
      <c r="H179" s="14">
        <f>IF(ISNUMBER(G179), (G179 - $B179) / $B179, "")</f>
        <v>7.6086956521739135E-2</v>
      </c>
      <c r="I179" s="100">
        <f>IF(ISNUMBER(G179), $B199 * H179, "")</f>
        <v>7608.6956521739139</v>
      </c>
      <c r="J179" s="13">
        <v>298</v>
      </c>
      <c r="K179" s="14">
        <f>IF(ISNUMBER(J179), (J179 - $B179) / $B179, "")</f>
        <v>7.9710144927536225E-2</v>
      </c>
      <c r="L179" s="16">
        <f>IF(ISNUMBER(J179), $B199 * K179, "")</f>
        <v>7971.0144927536221</v>
      </c>
      <c r="M179" s="29">
        <v>292</v>
      </c>
      <c r="N179" s="14">
        <f>IF(ISNUMBER(M179), (M179 - $B179) / $B179, "")</f>
        <v>5.7971014492753624E-2</v>
      </c>
      <c r="O179" s="16">
        <f>IF(ISNUMBER(M179), $B199 * N179, "")</f>
        <v>5797.101449275362</v>
      </c>
      <c r="Q179" s="226"/>
      <c r="R179" s="226"/>
      <c r="S179" s="226"/>
    </row>
    <row r="180" spans="1:19" ht="17.25" thickBot="1">
      <c r="A180" s="125" t="s">
        <v>74</v>
      </c>
      <c r="B180" s="126">
        <v>13710</v>
      </c>
      <c r="C180" s="77">
        <v>-3.6337208999999999E-3</v>
      </c>
      <c r="D180" s="15">
        <v>13910</v>
      </c>
      <c r="E180" s="32">
        <f t="shared" ref="E180:E183" si="94">IF(ISNUMBER(D180), (D180 - $B180) / $B180, "")</f>
        <v>1.4587892049598834E-2</v>
      </c>
      <c r="F180" s="18">
        <f>IF(ISNUMBER(D180), $B199 * E180, "")</f>
        <v>1458.7892049598834</v>
      </c>
      <c r="G180" s="31">
        <v>14100</v>
      </c>
      <c r="H180" s="32">
        <f t="shared" ref="H180:H183" si="95">IF(ISNUMBER(G180), (G180 - $B180) / $B180, "")</f>
        <v>2.8446389496717725E-2</v>
      </c>
      <c r="I180" s="101">
        <f>IF(ISNUMBER(G180), $B199 * H180, "")</f>
        <v>2844.6389496717725</v>
      </c>
      <c r="J180" s="15">
        <v>14180</v>
      </c>
      <c r="K180" s="32">
        <f t="shared" ref="K180:K183" si="96">IF(ISNUMBER(J180), (J180 - $B180) / $B180, "")</f>
        <v>3.4281546316557256E-2</v>
      </c>
      <c r="L180" s="18">
        <f>IF(ISNUMBER(J180), $B199 * K180, "")</f>
        <v>3428.1546316557256</v>
      </c>
      <c r="M180" s="31">
        <v>14150</v>
      </c>
      <c r="N180" s="32">
        <f t="shared" ref="N180:N183" si="97">IF(ISNUMBER(M180), (M180 - $B180) / $B180, "")</f>
        <v>3.2093362509117436E-2</v>
      </c>
      <c r="O180" s="18">
        <f>IF(ISNUMBER(M180), $B199 * N180, "")</f>
        <v>3209.3362509117437</v>
      </c>
      <c r="Q180" s="226"/>
      <c r="R180" s="226"/>
      <c r="S180" s="226"/>
    </row>
    <row r="181" spans="1:19" ht="17.25" thickBot="1">
      <c r="A181" s="125" t="s">
        <v>108</v>
      </c>
      <c r="B181" s="126">
        <v>952</v>
      </c>
      <c r="C181" s="77">
        <v>-5.2246604E-3</v>
      </c>
      <c r="D181" s="15">
        <v>951</v>
      </c>
      <c r="E181" s="32">
        <f t="shared" si="94"/>
        <v>-1.0504201680672268E-3</v>
      </c>
      <c r="F181" s="18">
        <f>IF(ISNUMBER(D181), $B199 * E181, "")</f>
        <v>-105.04201680672269</v>
      </c>
      <c r="G181" s="31">
        <v>962</v>
      </c>
      <c r="H181" s="32">
        <f t="shared" si="95"/>
        <v>1.050420168067227E-2</v>
      </c>
      <c r="I181" s="101">
        <f>IF(ISNUMBER(G181), $B199 * H181, "")</f>
        <v>1050.420168067227</v>
      </c>
      <c r="J181" s="15">
        <v>968</v>
      </c>
      <c r="K181" s="32">
        <f t="shared" si="96"/>
        <v>1.680672268907563E-2</v>
      </c>
      <c r="L181" s="18">
        <f>IF(ISNUMBER(J181), $B199 * K181, "")</f>
        <v>1680.672268907563</v>
      </c>
      <c r="M181" s="31">
        <v>989</v>
      </c>
      <c r="N181" s="32">
        <f t="shared" si="97"/>
        <v>3.8865546218487396E-2</v>
      </c>
      <c r="O181" s="18">
        <f>IF(ISNUMBER(M181), $B199 * N181, "")</f>
        <v>3886.5546218487398</v>
      </c>
      <c r="Q181" s="216"/>
      <c r="R181" s="216"/>
      <c r="S181" s="216"/>
    </row>
    <row r="182" spans="1:19" ht="17.25" thickBot="1">
      <c r="A182" s="125" t="s">
        <v>72</v>
      </c>
      <c r="B182" s="126">
        <v>19</v>
      </c>
      <c r="C182" s="77">
        <v>-5.2356021000000003E-3</v>
      </c>
      <c r="D182" s="15">
        <v>18.8</v>
      </c>
      <c r="E182" s="32">
        <f t="shared" si="94"/>
        <v>-1.0526315789473648E-2</v>
      </c>
      <c r="F182" s="18">
        <f>IF(ISNUMBER(D182), $B199 * E182, "")</f>
        <v>-1052.6315789473647</v>
      </c>
      <c r="G182" s="31">
        <v>19</v>
      </c>
      <c r="H182" s="32">
        <f t="shared" si="95"/>
        <v>0</v>
      </c>
      <c r="I182" s="101">
        <f>IF(ISNUMBER(G182), $B199 * H182, "")</f>
        <v>0</v>
      </c>
      <c r="J182" s="15">
        <v>19.100000000000001</v>
      </c>
      <c r="K182" s="32">
        <f t="shared" si="96"/>
        <v>5.2631578947369166E-3</v>
      </c>
      <c r="L182" s="18">
        <f>IF(ISNUMBER(J182), $B199 * K182, "")</f>
        <v>526.31578947369167</v>
      </c>
      <c r="M182" s="31">
        <v>19.3</v>
      </c>
      <c r="N182" s="32">
        <f t="shared" si="97"/>
        <v>1.5789473684210565E-2</v>
      </c>
      <c r="O182" s="18">
        <f>IF(ISNUMBER(M182), $B199 * N182, "")</f>
        <v>1578.9473684210566</v>
      </c>
      <c r="Q182" s="216"/>
      <c r="R182" s="216"/>
      <c r="S182" s="216"/>
    </row>
    <row r="183" spans="1:19" ht="17.25" thickBot="1">
      <c r="A183" s="127" t="s">
        <v>150</v>
      </c>
      <c r="B183" s="128">
        <v>9.09</v>
      </c>
      <c r="C183" s="78">
        <v>-7.6419213999999996E-3</v>
      </c>
      <c r="D183" s="20">
        <v>9.5</v>
      </c>
      <c r="E183" s="21">
        <f t="shared" si="94"/>
        <v>4.5104510451045118E-2</v>
      </c>
      <c r="F183" s="22">
        <f>IF(ISNUMBER(D183), $B199 * E183, "")</f>
        <v>4510.4510451045116</v>
      </c>
      <c r="G183" s="30">
        <v>9.49</v>
      </c>
      <c r="H183" s="21">
        <f t="shared" si="95"/>
        <v>4.4004400440044042E-2</v>
      </c>
      <c r="I183" s="105">
        <f>IF(ISNUMBER(G183), $B199 * H183, "")</f>
        <v>4400.4400440044046</v>
      </c>
      <c r="J183" s="20">
        <v>9.65</v>
      </c>
      <c r="K183" s="21">
        <f t="shared" si="96"/>
        <v>6.160616061606166E-2</v>
      </c>
      <c r="L183" s="22">
        <f>IF(ISNUMBER(J183), $B199 * K183, "")</f>
        <v>6160.6160616061661</v>
      </c>
      <c r="M183" s="30">
        <v>9.99</v>
      </c>
      <c r="N183" s="21">
        <f t="shared" si="97"/>
        <v>9.9009900990099056E-2</v>
      </c>
      <c r="O183" s="22">
        <f>IF(ISNUMBER(M183), $B199 * N183, "")</f>
        <v>9900.990099009905</v>
      </c>
      <c r="Q183" s="216"/>
      <c r="R183" s="216"/>
      <c r="S183" s="216"/>
    </row>
    <row r="184" spans="1:19" ht="17.25" thickBot="1">
      <c r="A184" s="125" t="s">
        <v>106</v>
      </c>
      <c r="B184" s="129">
        <v>37600</v>
      </c>
      <c r="C184" s="80">
        <v>-8.1772618999999998E-3</v>
      </c>
      <c r="D184" s="106">
        <v>37350</v>
      </c>
      <c r="E184" s="107">
        <f>IF(ISNUMBER(D184), (D184 - $B184) / $B184, "")</f>
        <v>-6.648936170212766E-3</v>
      </c>
      <c r="F184" s="108">
        <f>IF(ISNUMBER(D184), $B199 * E184, "")</f>
        <v>-664.89361702127655</v>
      </c>
      <c r="G184" s="109">
        <v>38040</v>
      </c>
      <c r="H184" s="107">
        <f>IF(ISNUMBER(G184), (G184 - $B184) / $B184, "")</f>
        <v>1.1702127659574468E-2</v>
      </c>
      <c r="I184" s="110">
        <f>IF(ISNUMBER(G184), $B199 * H184, "")</f>
        <v>1170.2127659574467</v>
      </c>
      <c r="J184" s="106">
        <v>37820</v>
      </c>
      <c r="K184" s="107">
        <f>IF(ISNUMBER(J184), (J184 - $B184) / $B184, "")</f>
        <v>5.8510638297872338E-3</v>
      </c>
      <c r="L184" s="108">
        <f>IF(ISNUMBER(J184), $B199 * K184, "")</f>
        <v>585.10638297872333</v>
      </c>
      <c r="M184" s="109">
        <v>37860</v>
      </c>
      <c r="N184" s="107">
        <f>IF(ISNUMBER(M184), (M184 - $B184) / $B184, "")</f>
        <v>6.9148936170212762E-3</v>
      </c>
      <c r="O184" s="108">
        <f>IF(ISNUMBER(M184), $B199 * N184, "")</f>
        <v>691.48936170212767</v>
      </c>
      <c r="Q184" s="216"/>
      <c r="R184" s="216"/>
      <c r="S184" s="216"/>
    </row>
    <row r="185" spans="1:19" ht="17.25" thickBot="1">
      <c r="A185" s="125" t="s">
        <v>245</v>
      </c>
      <c r="B185" s="126">
        <v>1095</v>
      </c>
      <c r="C185" s="77">
        <v>-9.0497738000000008E-3</v>
      </c>
      <c r="D185" s="15">
        <v>1160</v>
      </c>
      <c r="E185" s="32">
        <f t="shared" ref="E185:E188" si="98">IF(ISNUMBER(D185), (D185 - $B185) / $B185, "")</f>
        <v>5.9360730593607303E-2</v>
      </c>
      <c r="F185" s="18">
        <f>IF(ISNUMBER(D185), $B199 * E185, "")</f>
        <v>5936.0730593607304</v>
      </c>
      <c r="G185" s="31">
        <v>1155</v>
      </c>
      <c r="H185" s="32">
        <f t="shared" ref="H185:H188" si="99">IF(ISNUMBER(G185), (G185 - $B185) / $B185, "")</f>
        <v>5.4794520547945202E-2</v>
      </c>
      <c r="I185" s="101">
        <f>IF(ISNUMBER(G185), $B199 * H185, "")</f>
        <v>5479.4520547945203</v>
      </c>
      <c r="J185" s="15">
        <v>1155</v>
      </c>
      <c r="K185" s="32">
        <f t="shared" ref="K185:K188" si="100">IF(ISNUMBER(J185), (J185 - $B185) / $B185, "")</f>
        <v>5.4794520547945202E-2</v>
      </c>
      <c r="L185" s="18">
        <f>IF(ISNUMBER(J185), $B199 * K185, "")</f>
        <v>5479.4520547945203</v>
      </c>
      <c r="M185" s="31">
        <v>1145</v>
      </c>
      <c r="N185" s="32">
        <f t="shared" ref="N185:N188" si="101">IF(ISNUMBER(M185), (M185 - $B185) / $B185, "")</f>
        <v>4.5662100456621002E-2</v>
      </c>
      <c r="O185" s="18">
        <f>IF(ISNUMBER(M185), $B199 * N185, "")</f>
        <v>4566.2100456621001</v>
      </c>
      <c r="Q185" s="216"/>
      <c r="R185" s="216"/>
      <c r="S185" s="216"/>
    </row>
    <row r="186" spans="1:19" ht="17.25" thickBot="1">
      <c r="A186" s="125" t="s">
        <v>251</v>
      </c>
      <c r="B186" s="126">
        <v>61.1</v>
      </c>
      <c r="C186" s="77">
        <v>-1.13268608E-2</v>
      </c>
      <c r="D186" s="15">
        <v>60.9</v>
      </c>
      <c r="E186" s="32">
        <f t="shared" si="98"/>
        <v>-3.273322422258639E-3</v>
      </c>
      <c r="F186" s="18">
        <f>IF(ISNUMBER(D186), $B199 * E186, "")</f>
        <v>-327.33224222586392</v>
      </c>
      <c r="G186" s="31">
        <v>61.3</v>
      </c>
      <c r="H186" s="32">
        <f t="shared" si="99"/>
        <v>3.2733224222585228E-3</v>
      </c>
      <c r="I186" s="101">
        <f>IF(ISNUMBER(G186), $B199 * H186, "")</f>
        <v>327.33224222585227</v>
      </c>
      <c r="J186" s="15">
        <v>61.8</v>
      </c>
      <c r="K186" s="32">
        <f t="shared" si="100"/>
        <v>1.1456628477905004E-2</v>
      </c>
      <c r="L186" s="18">
        <f>IF(ISNUMBER(J186), $B199 * K186, "")</f>
        <v>1145.6628477905003</v>
      </c>
      <c r="M186" s="31">
        <v>62.4</v>
      </c>
      <c r="N186" s="32">
        <f t="shared" si="101"/>
        <v>2.1276595744680805E-2</v>
      </c>
      <c r="O186" s="18">
        <f>IF(ISNUMBER(M186), $B199 * N186, "")</f>
        <v>2127.6595744680803</v>
      </c>
      <c r="Q186" s="216"/>
      <c r="R186" s="216"/>
      <c r="S186" s="216"/>
    </row>
    <row r="187" spans="1:19" ht="17.25" thickBot="1">
      <c r="A187" s="125" t="s">
        <v>239</v>
      </c>
      <c r="B187" s="126">
        <v>76</v>
      </c>
      <c r="C187" s="77">
        <v>-1.2987013E-2</v>
      </c>
      <c r="D187" s="15">
        <v>75.3</v>
      </c>
      <c r="E187" s="32">
        <f t="shared" si="98"/>
        <v>-9.210526315789511E-3</v>
      </c>
      <c r="F187" s="18">
        <f>IF(ISNUMBER(D187), $B199 * E187, "")</f>
        <v>-921.05263157895115</v>
      </c>
      <c r="G187" s="31">
        <v>75.5</v>
      </c>
      <c r="H187" s="32">
        <f t="shared" si="99"/>
        <v>-6.5789473684210523E-3</v>
      </c>
      <c r="I187" s="101">
        <f>IF(ISNUMBER(G187), $B199 * H187, "")</f>
        <v>-657.8947368421052</v>
      </c>
      <c r="J187" s="15">
        <v>76.099999999999994</v>
      </c>
      <c r="K187" s="32">
        <f t="shared" si="100"/>
        <v>1.3157894736841357E-3</v>
      </c>
      <c r="L187" s="18">
        <f>IF(ISNUMBER(J187), $B199 * K187, "")</f>
        <v>131.57894736841357</v>
      </c>
      <c r="M187" s="31">
        <v>77.5</v>
      </c>
      <c r="N187" s="32">
        <f t="shared" si="101"/>
        <v>1.9736842105263157E-2</v>
      </c>
      <c r="O187" s="18">
        <f>IF(ISNUMBER(M187), $B199 * N187, "")</f>
        <v>1973.6842105263156</v>
      </c>
      <c r="Q187" s="33"/>
      <c r="R187" s="33"/>
    </row>
    <row r="188" spans="1:19" ht="17.25" thickBot="1">
      <c r="A188" s="130" t="s">
        <v>190</v>
      </c>
      <c r="B188" s="131">
        <v>14.8</v>
      </c>
      <c r="C188" s="79">
        <v>-1.33333333E-2</v>
      </c>
      <c r="D188" s="24">
        <v>15.3</v>
      </c>
      <c r="E188" s="25">
        <f t="shared" si="98"/>
        <v>3.3783783783783779E-2</v>
      </c>
      <c r="F188" s="104">
        <f>IF(ISNUMBER(D188), $B199 * E188, "")</f>
        <v>3378.3783783783779</v>
      </c>
      <c r="G188" s="102">
        <v>15.5</v>
      </c>
      <c r="H188" s="25">
        <f t="shared" si="99"/>
        <v>4.7297297297297244E-2</v>
      </c>
      <c r="I188" s="103">
        <f>IF(ISNUMBER(G188), $B199 * H188, "")</f>
        <v>4729.7297297297246</v>
      </c>
      <c r="J188" s="24">
        <v>15.2</v>
      </c>
      <c r="K188" s="25">
        <f t="shared" si="100"/>
        <v>2.7027027027026931E-2</v>
      </c>
      <c r="L188" s="104">
        <f>IF(ISNUMBER(J188), $B199 * K188, "")</f>
        <v>2702.7027027026929</v>
      </c>
      <c r="M188" s="102">
        <v>15.4</v>
      </c>
      <c r="N188" s="25">
        <f t="shared" si="101"/>
        <v>4.0540540540540515E-2</v>
      </c>
      <c r="O188" s="104">
        <f>IF(ISNUMBER(M188), $B199 * N188, "")</f>
        <v>4054.0540540540514</v>
      </c>
      <c r="Q188" s="217"/>
      <c r="R188" s="218"/>
      <c r="S188" s="219"/>
    </row>
    <row r="189" spans="1:19">
      <c r="A189" s="123" t="s">
        <v>160</v>
      </c>
      <c r="B189" s="124">
        <v>986</v>
      </c>
      <c r="C189" s="76">
        <v>-1.4E-2</v>
      </c>
      <c r="D189" s="13">
        <v>1090</v>
      </c>
      <c r="E189" s="14">
        <f>IF(ISNUMBER(D189), (D189 - $B189) / $B189, "")</f>
        <v>0.10547667342799188</v>
      </c>
      <c r="F189" s="16">
        <f>IF(ISNUMBER(D189), $B199 * E189, "")</f>
        <v>10547.667342799188</v>
      </c>
      <c r="G189" s="29">
        <v>1030</v>
      </c>
      <c r="H189" s="14">
        <f>IF(ISNUMBER(G189), (G189 - $B189) / $B189, "")</f>
        <v>4.4624746450304259E-2</v>
      </c>
      <c r="I189" s="100">
        <f>IF(ISNUMBER(G189), $B199 * H189, "")</f>
        <v>4462.4746450304256</v>
      </c>
      <c r="J189" s="13">
        <v>1035</v>
      </c>
      <c r="K189" s="14">
        <f>IF(ISNUMBER(J189), (J189 - $B189) / $B189, "")</f>
        <v>4.9695740365111561E-2</v>
      </c>
      <c r="L189" s="16">
        <f>IF(ISNUMBER(J189), $B199 * K189, "")</f>
        <v>4969.574036511156</v>
      </c>
      <c r="M189" s="29">
        <v>1020</v>
      </c>
      <c r="N189" s="14">
        <f>IF(ISNUMBER(M189), (M189 - $B189) / $B189, "")</f>
        <v>3.4482758620689655E-2</v>
      </c>
      <c r="O189" s="16">
        <f>IF(ISNUMBER(M189), $B199 * N189, "")</f>
        <v>3448.2758620689656</v>
      </c>
      <c r="Q189" s="220"/>
      <c r="R189" s="221"/>
      <c r="S189" s="222"/>
    </row>
    <row r="190" spans="1:19" ht="17.25" thickBot="1">
      <c r="A190" s="125" t="s">
        <v>216</v>
      </c>
      <c r="B190" s="126">
        <v>8.1</v>
      </c>
      <c r="C190" s="77">
        <v>-1.45985401E-2</v>
      </c>
      <c r="D190" s="15">
        <v>8.34</v>
      </c>
      <c r="E190" s="32">
        <f t="shared" ref="E190:E193" si="102">IF(ISNUMBER(D190), (D190 - $B190) / $B190, "")</f>
        <v>2.9629629629629659E-2</v>
      </c>
      <c r="F190" s="18">
        <f>IF(ISNUMBER(D190), $B199 * E190, "")</f>
        <v>2962.9629629629658</v>
      </c>
      <c r="G190" s="31">
        <v>8.36</v>
      </c>
      <c r="H190" s="32">
        <f t="shared" ref="H190:H193" si="103">IF(ISNUMBER(G190), (G190 - $B190) / $B190, "")</f>
        <v>3.209876543209874E-2</v>
      </c>
      <c r="I190" s="101">
        <f>IF(ISNUMBER(G190), $B199 * H190, "")</f>
        <v>3209.8765432098739</v>
      </c>
      <c r="J190" s="15">
        <v>8.42</v>
      </c>
      <c r="K190" s="32">
        <f t="shared" ref="K190:K193" si="104">IF(ISNUMBER(J190), (J190 - $B190) / $B190, "")</f>
        <v>3.9506172839506207E-2</v>
      </c>
      <c r="L190" s="18">
        <f>IF(ISNUMBER(J190), $B199 * K190, "")</f>
        <v>3950.6172839506207</v>
      </c>
      <c r="M190" s="31">
        <v>8.81</v>
      </c>
      <c r="N190" s="32">
        <f t="shared" ref="N190:N193" si="105">IF(ISNUMBER(M190), (M190 - $B190) / $B190, "")</f>
        <v>8.7654320987654424E-2</v>
      </c>
      <c r="O190" s="18">
        <f>IF(ISNUMBER(M190), $B199 * N190, "")</f>
        <v>8765.4320987654428</v>
      </c>
      <c r="Q190" s="223"/>
      <c r="R190" s="224"/>
      <c r="S190" s="225"/>
    </row>
    <row r="191" spans="1:19" ht="17.25" thickBot="1">
      <c r="A191" s="125" t="s">
        <v>188</v>
      </c>
      <c r="B191" s="126">
        <v>9.1</v>
      </c>
      <c r="C191" s="77">
        <v>-1.51515152E-2</v>
      </c>
      <c r="D191" s="15">
        <v>9.68</v>
      </c>
      <c r="E191" s="32">
        <f t="shared" si="102"/>
        <v>6.3736263736263746E-2</v>
      </c>
      <c r="F191" s="18">
        <f>IF(ISNUMBER(D191), $B199 * E191, "")</f>
        <v>6373.6263736263745</v>
      </c>
      <c r="G191" s="31">
        <v>9.6999999999999993</v>
      </c>
      <c r="H191" s="32">
        <f t="shared" si="103"/>
        <v>6.5934065934065894E-2</v>
      </c>
      <c r="I191" s="101">
        <f>IF(ISNUMBER(G191), $B199 * H191, "")</f>
        <v>6593.4065934065893</v>
      </c>
      <c r="J191" s="15">
        <v>9.83</v>
      </c>
      <c r="K191" s="32">
        <f t="shared" si="104"/>
        <v>8.0219780219780268E-2</v>
      </c>
      <c r="L191" s="18">
        <f>IF(ISNUMBER(J191), $B199 * K191, "")</f>
        <v>8021.9780219780268</v>
      </c>
      <c r="M191" s="31">
        <v>10.1</v>
      </c>
      <c r="N191" s="32">
        <f t="shared" si="105"/>
        <v>0.10989010989010989</v>
      </c>
      <c r="O191" s="18">
        <f>IF(ISNUMBER(M191), $B199 * N191, "")</f>
        <v>10989.010989010989</v>
      </c>
      <c r="Q191" s="216"/>
      <c r="R191" s="216"/>
      <c r="S191" s="216"/>
    </row>
    <row r="192" spans="1:19" ht="17.25" thickBot="1">
      <c r="A192" s="125" t="s">
        <v>176</v>
      </c>
      <c r="B192" s="126">
        <v>1095</v>
      </c>
      <c r="C192" s="77">
        <v>-1.79372197E-2</v>
      </c>
      <c r="D192" s="15">
        <v>1105</v>
      </c>
      <c r="E192" s="32">
        <f t="shared" si="102"/>
        <v>9.1324200913242004E-3</v>
      </c>
      <c r="F192" s="18">
        <f>IF(ISNUMBER(D192), $B199 * E192, "")</f>
        <v>913.24200913242009</v>
      </c>
      <c r="G192" s="31">
        <v>1125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1130</v>
      </c>
      <c r="K192" s="32">
        <f t="shared" si="104"/>
        <v>3.1963470319634701E-2</v>
      </c>
      <c r="L192" s="18">
        <f>IF(ISNUMBER(J192), $B199 * K192, "")</f>
        <v>3196.3470319634703</v>
      </c>
      <c r="M192" s="31">
        <v>1140</v>
      </c>
      <c r="N192" s="32">
        <f t="shared" si="105"/>
        <v>4.1095890410958902E-2</v>
      </c>
      <c r="O192" s="18">
        <f>IF(ISNUMBER(M192), $B199 * N192, "")</f>
        <v>4109.58904109589</v>
      </c>
      <c r="Q192" s="226"/>
      <c r="R192" s="226"/>
      <c r="S192" s="226"/>
    </row>
    <row r="193" spans="1:19" ht="17.25" thickBot="1">
      <c r="A193" s="127" t="s">
        <v>210</v>
      </c>
      <c r="B193" s="128">
        <v>9.91</v>
      </c>
      <c r="C193" s="78">
        <v>-1.8811881200000002E-2</v>
      </c>
      <c r="D193" s="20">
        <v>9.9700000000000006</v>
      </c>
      <c r="E193" s="21">
        <f t="shared" si="102"/>
        <v>6.0544904137235615E-3</v>
      </c>
      <c r="F193" s="22">
        <f>IF(ISNUMBER(D193), $B199 * E193, "")</f>
        <v>605.44904137235619</v>
      </c>
      <c r="G193" s="30">
        <v>9.93</v>
      </c>
      <c r="H193" s="21">
        <f t="shared" si="103"/>
        <v>2.0181634712411276E-3</v>
      </c>
      <c r="I193" s="105">
        <f>IF(ISNUMBER(G193), $B199 * H193, "")</f>
        <v>201.81634712411275</v>
      </c>
      <c r="J193" s="20">
        <v>9.9600000000000009</v>
      </c>
      <c r="K193" s="21">
        <f t="shared" si="104"/>
        <v>5.0454086781029977E-3</v>
      </c>
      <c r="L193" s="22">
        <f>IF(ISNUMBER(J193), $B199 * K193, "")</f>
        <v>504.54086781029974</v>
      </c>
      <c r="M193" s="30">
        <v>10.199999999999999</v>
      </c>
      <c r="N193" s="21">
        <f t="shared" si="105"/>
        <v>2.9263370332996887E-2</v>
      </c>
      <c r="O193" s="22">
        <f>IF(ISNUMBER(M193), $B199 * N193, "")</f>
        <v>2926.3370332996888</v>
      </c>
      <c r="Q193" s="226"/>
      <c r="R193" s="226"/>
      <c r="S193" s="226"/>
    </row>
    <row r="194" spans="1:19" ht="17.25" thickBot="1">
      <c r="A194" s="125" t="s">
        <v>148</v>
      </c>
      <c r="B194" s="129">
        <v>15.4</v>
      </c>
      <c r="C194" s="80">
        <v>-1.9108280299999999E-2</v>
      </c>
      <c r="D194" s="106">
        <v>16</v>
      </c>
      <c r="E194" s="107">
        <f>IF(ISNUMBER(D194), (D194 - $B194) / $B194, "")</f>
        <v>3.8961038961038939E-2</v>
      </c>
      <c r="F194" s="108">
        <f>IF(ISNUMBER(D194), $B199 * E194, "")</f>
        <v>3896.1038961038939</v>
      </c>
      <c r="G194" s="109">
        <v>16</v>
      </c>
      <c r="H194" s="107">
        <f>IF(ISNUMBER(G194), (G194 - $B194) / $B194, "")</f>
        <v>3.8961038961038939E-2</v>
      </c>
      <c r="I194" s="110">
        <f>IF(ISNUMBER(G194), $B199 * H194, "")</f>
        <v>3896.1038961038939</v>
      </c>
      <c r="J194" s="106">
        <v>16.100000000000001</v>
      </c>
      <c r="K194" s="107">
        <f>IF(ISNUMBER(J194), (J194 - $B194) / $B194, "")</f>
        <v>4.5454545454545525E-2</v>
      </c>
      <c r="L194" s="108">
        <f>IF(ISNUMBER(J194), $B199 * K194, "")</f>
        <v>4545.4545454545523</v>
      </c>
      <c r="M194" s="109">
        <v>16.399999999999999</v>
      </c>
      <c r="N194" s="107">
        <f>IF(ISNUMBER(M194), (M194 - $B194) / $B194, "")</f>
        <v>6.4935064935064818E-2</v>
      </c>
      <c r="O194" s="108">
        <f>IF(ISNUMBER(M194), $B199 * N194, "")</f>
        <v>6493.506493506482</v>
      </c>
      <c r="Q194" s="216"/>
      <c r="R194" s="216"/>
      <c r="S194" s="216"/>
    </row>
    <row r="195" spans="1:19" ht="17.25" thickBot="1">
      <c r="A195" s="125" t="s">
        <v>122</v>
      </c>
      <c r="B195" s="126">
        <v>24.5</v>
      </c>
      <c r="C195" s="77">
        <v>-0.02</v>
      </c>
      <c r="D195" s="15">
        <v>24.4</v>
      </c>
      <c r="E195" s="32">
        <f t="shared" ref="E195:E198" si="106">IF(ISNUMBER(D195), (D195 - $B195) / $B195, "")</f>
        <v>-4.0816326530612821E-3</v>
      </c>
      <c r="F195" s="18">
        <f>IF(ISNUMBER(D195), $B199 * E195, "")</f>
        <v>-408.16326530612821</v>
      </c>
      <c r="G195" s="31">
        <v>24.5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24.6</v>
      </c>
      <c r="K195" s="32">
        <f t="shared" ref="K195:K198" si="108">IF(ISNUMBER(J195), (J195 - $B195) / $B195, "")</f>
        <v>4.0816326530612821E-3</v>
      </c>
      <c r="L195" s="18">
        <f>IF(ISNUMBER(J195), $B199 * K195, "")</f>
        <v>408.16326530612821</v>
      </c>
      <c r="M195" s="31">
        <v>24.8</v>
      </c>
      <c r="N195" s="32">
        <f t="shared" ref="N195:N198" si="109">IF(ISNUMBER(M195), (M195 - $B195) / $B195, "")</f>
        <v>1.2244897959183702E-2</v>
      </c>
      <c r="O195" s="18">
        <f>IF(ISNUMBER(M195), $B199 * N195, "")</f>
        <v>1224.4897959183702</v>
      </c>
      <c r="Q195" s="216"/>
      <c r="R195" s="216"/>
      <c r="S195" s="216"/>
    </row>
    <row r="196" spans="1:19" ht="17.25" thickBot="1">
      <c r="A196" s="125" t="s">
        <v>235</v>
      </c>
      <c r="B196" s="126">
        <v>53.1</v>
      </c>
      <c r="C196" s="77">
        <v>-2.2099447500000001E-2</v>
      </c>
      <c r="D196" s="15">
        <v>53.7</v>
      </c>
      <c r="E196" s="32">
        <f t="shared" si="106"/>
        <v>1.1299435028248614E-2</v>
      </c>
      <c r="F196" s="18">
        <f>IF(ISNUMBER(D196), $B199 * E196, "")</f>
        <v>1129.9435028248613</v>
      </c>
      <c r="G196" s="31">
        <v>53.9</v>
      </c>
      <c r="H196" s="32">
        <f t="shared" si="107"/>
        <v>1.5065913370998062E-2</v>
      </c>
      <c r="I196" s="101">
        <f>IF(ISNUMBER(G196), $B199 * H196, "")</f>
        <v>1506.5913370998062</v>
      </c>
      <c r="J196" s="15">
        <v>54.2</v>
      </c>
      <c r="K196" s="32">
        <f t="shared" si="108"/>
        <v>2.0715630885122436E-2</v>
      </c>
      <c r="L196" s="18">
        <f>IF(ISNUMBER(J196), $B199 * K196, "")</f>
        <v>2071.5630885122437</v>
      </c>
      <c r="M196" s="31">
        <v>56.6</v>
      </c>
      <c r="N196" s="32">
        <f t="shared" si="109"/>
        <v>6.5913370998116755E-2</v>
      </c>
      <c r="O196" s="18">
        <f>IF(ISNUMBER(M196), $B199 * N196, "")</f>
        <v>6591.3370998116752</v>
      </c>
      <c r="Q196" s="216"/>
      <c r="R196" s="216"/>
      <c r="S196" s="216"/>
    </row>
    <row r="197" spans="1:19">
      <c r="A197" s="125" t="s">
        <v>65</v>
      </c>
      <c r="B197" s="126">
        <v>28.7</v>
      </c>
      <c r="C197" s="77">
        <v>-2.7118644099999999E-2</v>
      </c>
      <c r="D197" s="15">
        <v>28.4</v>
      </c>
      <c r="E197" s="32">
        <f t="shared" si="106"/>
        <v>-1.0452961672473893E-2</v>
      </c>
      <c r="F197" s="18">
        <f>IF(ISNUMBER(D197), $B199 * E197, "")</f>
        <v>-1045.2961672473893</v>
      </c>
      <c r="G197" s="31">
        <v>28.5</v>
      </c>
      <c r="H197" s="32">
        <f t="shared" si="107"/>
        <v>-6.9686411149825541E-3</v>
      </c>
      <c r="I197" s="101">
        <f>IF(ISNUMBER(G197), $B199 * H197, "")</f>
        <v>-696.8641114982554</v>
      </c>
      <c r="J197" s="15">
        <v>28.6</v>
      </c>
      <c r="K197" s="32">
        <f t="shared" si="108"/>
        <v>-3.484320557491215E-3</v>
      </c>
      <c r="L197" s="18">
        <f>IF(ISNUMBER(J197), $B199 * K197, "")</f>
        <v>-348.4320557491215</v>
      </c>
      <c r="M197" s="31">
        <v>29</v>
      </c>
      <c r="N197" s="32">
        <f t="shared" si="109"/>
        <v>1.0452961672473893E-2</v>
      </c>
      <c r="O197" s="18">
        <f>IF(ISNUMBER(M197), $B199 * N197, "")</f>
        <v>1045.2961672473893</v>
      </c>
      <c r="Q197" s="205"/>
      <c r="R197" s="206"/>
      <c r="S197" s="207"/>
    </row>
    <row r="198" spans="1:19" ht="17.25" thickBot="1">
      <c r="A198" s="130" t="s">
        <v>178</v>
      </c>
      <c r="B198" s="131">
        <v>15.3</v>
      </c>
      <c r="C198" s="79">
        <v>-3.1645569599999999E-2</v>
      </c>
      <c r="D198" s="24">
        <v>15.4</v>
      </c>
      <c r="E198" s="25">
        <f t="shared" si="106"/>
        <v>6.5359477124182774E-3</v>
      </c>
      <c r="F198" s="104">
        <f>IF(ISNUMBER(D198), $B199 * E198, "")</f>
        <v>653.59477124182774</v>
      </c>
      <c r="G198" s="102">
        <v>15.4</v>
      </c>
      <c r="H198" s="25">
        <f t="shared" si="107"/>
        <v>6.5359477124182774E-3</v>
      </c>
      <c r="I198" s="103">
        <f>IF(ISNUMBER(G198), $B199 * H198, "")</f>
        <v>653.59477124182774</v>
      </c>
      <c r="J198" s="24">
        <v>15.5</v>
      </c>
      <c r="K198" s="25">
        <f t="shared" si="108"/>
        <v>1.3071895424836555E-2</v>
      </c>
      <c r="L198" s="104">
        <f>IF(ISNUMBER(J198), $B199 * K198, "")</f>
        <v>1307.1895424836555</v>
      </c>
      <c r="M198" s="102">
        <v>15.8</v>
      </c>
      <c r="N198" s="25">
        <f t="shared" si="109"/>
        <v>3.2679738562091505E-2</v>
      </c>
      <c r="O198" s="104">
        <f>IF(ISNUMBER(M198), $B199 * N198, "")</f>
        <v>3267.9738562091507</v>
      </c>
      <c r="Q198" s="208"/>
      <c r="R198" s="209"/>
      <c r="S198" s="210"/>
    </row>
    <row r="199" spans="1:19" ht="17.25" thickBot="1">
      <c r="A199" s="132" t="s">
        <v>271</v>
      </c>
      <c r="B199" s="269">
        <f>$B$37</f>
        <v>100000</v>
      </c>
      <c r="C199" s="270"/>
      <c r="D199" s="26" t="s">
        <v>272</v>
      </c>
      <c r="E199" s="27">
        <f>IF(COUNT(E179:E198), SUM(E179:E198) / COUNT(E179:E198), 0)</f>
        <v>2.254412344016395E-2</v>
      </c>
      <c r="F199" s="28">
        <f>SUM(F179:F198)</f>
        <v>45088.246880327883</v>
      </c>
      <c r="G199" s="26" t="s">
        <v>272</v>
      </c>
      <c r="H199" s="27">
        <f>IF(COUNT(H179:H198), SUM(H179:H198) / COUNT(H179:H198), 0)</f>
        <v>2.4759876459449139E-2</v>
      </c>
      <c r="I199" s="28">
        <f>SUM(I179:I198)</f>
        <v>49519.752918898295</v>
      </c>
      <c r="J199" s="26" t="s">
        <v>272</v>
      </c>
      <c r="K199" s="27">
        <f>IF(COUNT(K179:K198), SUM(K179:K198) / COUNT(K179:K198), 0)</f>
        <v>2.9219135904126319E-2</v>
      </c>
      <c r="L199" s="28">
        <f>SUM(L179:L198)</f>
        <v>58438.271808252655</v>
      </c>
      <c r="M199" s="26" t="s">
        <v>272</v>
      </c>
      <c r="N199" s="27">
        <f>IF(COUNT(N179:N198), SUM(N179:N198) / COUNT(N179:N198), 0)</f>
        <v>4.332363773640676E-2</v>
      </c>
      <c r="O199" s="28">
        <f>SUM(O179:O198)</f>
        <v>86647.275472813533</v>
      </c>
      <c r="Q199" s="211"/>
      <c r="R199" s="212"/>
      <c r="S199" s="2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91D6B-28F4-4A82-9FCC-B7B41EB4F504}">
  <sheetPr codeName="Sheet1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7" t="s">
        <v>0</v>
      </c>
      <c r="B1" s="228"/>
      <c r="C1" s="228"/>
      <c r="D1" s="228"/>
      <c r="E1" s="228"/>
      <c r="F1" s="229"/>
      <c r="G1" s="258">
        <v>44382</v>
      </c>
      <c r="H1" s="259"/>
      <c r="I1" s="260"/>
      <c r="J1" s="227" t="s">
        <v>1</v>
      </c>
      <c r="K1" s="228"/>
      <c r="L1" s="228"/>
      <c r="M1" s="228"/>
      <c r="N1" s="228"/>
      <c r="O1" s="229"/>
      <c r="Q1" s="227" t="s">
        <v>2</v>
      </c>
      <c r="R1" s="229"/>
    </row>
    <row r="2" spans="1:19" ht="17.25" customHeight="1">
      <c r="A2" s="117" t="s">
        <v>3</v>
      </c>
      <c r="B2" s="261" t="s">
        <v>8</v>
      </c>
      <c r="C2" s="262"/>
      <c r="D2" s="262"/>
      <c r="E2" s="262"/>
      <c r="F2" s="263"/>
      <c r="G2" s="255" t="s">
        <v>46</v>
      </c>
      <c r="H2" s="256"/>
      <c r="I2" s="257"/>
      <c r="J2" s="1" t="s">
        <v>3</v>
      </c>
      <c r="K2" s="261" t="s">
        <v>321</v>
      </c>
      <c r="L2" s="262"/>
      <c r="M2" s="262"/>
      <c r="N2" s="262"/>
      <c r="O2" s="263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329</v>
      </c>
      <c r="C3" s="253"/>
      <c r="D3" s="253"/>
      <c r="E3" s="253"/>
      <c r="F3" s="254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14,042 KRW (0.70%)</v>
      </c>
      <c r="H3" s="249"/>
      <c r="I3" s="250"/>
      <c r="J3" s="4" t="s">
        <v>7</v>
      </c>
      <c r="K3" s="252" t="s">
        <v>322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55" t="s">
        <v>44</v>
      </c>
      <c r="H4" s="256"/>
      <c r="I4" s="257"/>
      <c r="J4" s="4" t="s">
        <v>11</v>
      </c>
      <c r="K4" s="252" t="s">
        <v>323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320</v>
      </c>
      <c r="C5" s="253"/>
      <c r="D5" s="253"/>
      <c r="E5" s="253"/>
      <c r="F5" s="254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-7,452 KRW (-0.37%)</v>
      </c>
      <c r="H5" s="249"/>
      <c r="I5" s="250"/>
      <c r="J5" s="4" t="s">
        <v>15</v>
      </c>
      <c r="K5" s="252" t="s">
        <v>324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55" t="s">
        <v>45</v>
      </c>
      <c r="H6" s="256"/>
      <c r="I6" s="257"/>
      <c r="J6" s="4" t="s">
        <v>18</v>
      </c>
      <c r="K6" s="252" t="s">
        <v>325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28,327 KRW (1.42%)</v>
      </c>
      <c r="H7" s="249"/>
      <c r="I7" s="250"/>
      <c r="J7" s="4" t="s">
        <v>21</v>
      </c>
      <c r="K7" s="252" t="s">
        <v>326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55" t="s">
        <v>256</v>
      </c>
      <c r="H8" s="256"/>
      <c r="I8" s="257"/>
      <c r="J8" s="4" t="s">
        <v>24</v>
      </c>
      <c r="K8" s="252"/>
      <c r="L8" s="253"/>
      <c r="M8" s="253"/>
      <c r="N8" s="253"/>
      <c r="O8" s="254"/>
      <c r="Q8" s="227" t="s">
        <v>27</v>
      </c>
      <c r="R8" s="229"/>
    </row>
    <row r="9" spans="1:19" ht="17.25" thickBot="1">
      <c r="A9" s="118" t="s">
        <v>28</v>
      </c>
      <c r="B9" s="252"/>
      <c r="C9" s="253"/>
      <c r="D9" s="253"/>
      <c r="E9" s="253"/>
      <c r="F9" s="254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-66,881 KRW (-3.34%)</v>
      </c>
      <c r="H9" s="249"/>
      <c r="I9" s="250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55" t="s">
        <v>47</v>
      </c>
      <c r="H10" s="256"/>
      <c r="I10" s="257"/>
      <c r="J10" s="4" t="s">
        <v>30</v>
      </c>
      <c r="K10" s="252" t="s">
        <v>327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45" t="s">
        <v>328</v>
      </c>
      <c r="C11" s="246"/>
      <c r="D11" s="246"/>
      <c r="E11" s="246"/>
      <c r="F11" s="247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45" t="s">
        <v>319</v>
      </c>
      <c r="L11" s="246"/>
      <c r="M11" s="246"/>
      <c r="N11" s="246"/>
      <c r="O11" s="247"/>
      <c r="Q11" s="65" t="s">
        <v>33</v>
      </c>
      <c r="R11" s="8">
        <v>1000</v>
      </c>
    </row>
    <row r="12" spans="1:19" ht="17.25" thickBot="1"/>
    <row r="13" spans="1:19" ht="17.25" customHeight="1" thickBot="1">
      <c r="A13" s="227" t="s">
        <v>34</v>
      </c>
      <c r="B13" s="228"/>
      <c r="C13" s="228"/>
      <c r="D13" s="228"/>
      <c r="E13" s="228"/>
      <c r="F13" s="228"/>
      <c r="G13" s="228"/>
      <c r="H13" s="228"/>
      <c r="I13" s="228"/>
      <c r="J13" s="228"/>
      <c r="K13" s="228"/>
      <c r="L13" s="228"/>
      <c r="M13" s="228"/>
      <c r="N13" s="228"/>
      <c r="O13" s="229"/>
      <c r="Q13" s="226"/>
      <c r="R13" s="226"/>
      <c r="S13" s="226"/>
    </row>
    <row r="14" spans="1:19" ht="17.25" customHeight="1" thickBot="1">
      <c r="A14" s="173" t="s">
        <v>35</v>
      </c>
      <c r="B14" s="227" t="s">
        <v>36</v>
      </c>
      <c r="C14" s="229"/>
      <c r="D14" s="227" t="s">
        <v>37</v>
      </c>
      <c r="E14" s="228"/>
      <c r="F14" s="229"/>
      <c r="G14" s="230">
        <f>_xlfn.IFNA(VLOOKUP(B14, 현재가테이블!$B$2:$D$200, 2, FALSE), "-")</f>
        <v>39916000</v>
      </c>
      <c r="H14" s="231"/>
      <c r="I14" s="232"/>
      <c r="J14" s="227" t="s">
        <v>38</v>
      </c>
      <c r="K14" s="228"/>
      <c r="L14" s="229"/>
      <c r="M14" s="233">
        <f>_xlfn.IFNA(VLOOKUP(B14, 현재가테이블!$B$2:$D$200, 3, FALSE), "-")</f>
        <v>7.3184273000000003E-3</v>
      </c>
      <c r="N14" s="234"/>
      <c r="O14" s="235"/>
      <c r="Q14" s="226"/>
      <c r="R14" s="226"/>
      <c r="S14" s="226"/>
    </row>
    <row r="15" spans="1:19" ht="17.25" customHeight="1" thickBot="1">
      <c r="A15" s="264" t="s">
        <v>39</v>
      </c>
      <c r="B15" s="265" t="str">
        <f>TEXT($G$1, "[$-ko-KR]yyyy-mm-dd(ddd) ") &amp; "오전 00:00"</f>
        <v>2021-07-05(월) 오전 00:00</v>
      </c>
      <c r="C15" s="266"/>
      <c r="D15" s="240" t="str">
        <f>TEXT($G$1, "[$-ko-KR]yyyy-mm-dd(ddd) ") &amp; "오후 14:00"</f>
        <v>2021-07-05(월) 오후 14:00</v>
      </c>
      <c r="E15" s="241"/>
      <c r="F15" s="242"/>
      <c r="G15" s="240" t="str">
        <f>TEXT($G$1, "[$-ko-KR]yyyy-mm-dd(ddd) ") &amp; "오후 19:00"</f>
        <v>2021-07-05(월) 오후 19:00</v>
      </c>
      <c r="H15" s="241"/>
      <c r="I15" s="242"/>
      <c r="J15" s="240" t="str">
        <f>TEXT($G$1, "[$-ko-KR]yyyy-mm-dd(ddd) ") &amp; "오후 21:00"</f>
        <v>2021-07-05(월) 오후 21:00</v>
      </c>
      <c r="K15" s="241"/>
      <c r="L15" s="242"/>
      <c r="M15" s="240" t="str">
        <f>TEXT($G$1+1, "[$-ko-KR]yyyy-mm-dd(ddd) ") &amp; "오전 00:00"</f>
        <v>2021-07-06(화) 오전 00:00</v>
      </c>
      <c r="N15" s="241"/>
      <c r="O15" s="242"/>
      <c r="Q15" s="226"/>
      <c r="R15" s="226"/>
      <c r="S15" s="226"/>
    </row>
    <row r="16" spans="1:19" ht="17.25" customHeight="1" thickBot="1">
      <c r="A16" s="26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6"/>
      <c r="R16" s="216"/>
      <c r="S16" s="21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6"/>
      <c r="R19" s="216"/>
      <c r="S19" s="21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6"/>
      <c r="R20" s="216"/>
      <c r="S20" s="21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6"/>
      <c r="R21" s="216"/>
      <c r="S21" s="21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6"/>
      <c r="R22" s="216"/>
      <c r="S22" s="21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6"/>
      <c r="R23" s="216"/>
      <c r="S23" s="21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6"/>
      <c r="R24" s="216"/>
      <c r="S24" s="21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6"/>
      <c r="R29" s="216"/>
      <c r="S29" s="21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6"/>
      <c r="R32" s="216"/>
      <c r="S32" s="21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6"/>
      <c r="R33" s="216"/>
      <c r="S33" s="21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6"/>
      <c r="R34" s="216"/>
      <c r="S34" s="21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5"/>
      <c r="R35" s="206"/>
      <c r="S35" s="2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8"/>
      <c r="R36" s="209"/>
      <c r="S36" s="210"/>
    </row>
    <row r="37" spans="1:19" ht="17.25" customHeight="1" thickBot="1">
      <c r="A37" s="132" t="s">
        <v>42</v>
      </c>
      <c r="B37" s="269">
        <v>100000</v>
      </c>
      <c r="C37" s="27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1"/>
      <c r="R37" s="212"/>
      <c r="S37" s="213"/>
    </row>
    <row r="38" spans="1:19" ht="17.25" customHeight="1"/>
    <row r="39" spans="1:19" ht="17.25" customHeight="1" thickBot="1"/>
    <row r="40" spans="1:19" ht="17.25" customHeight="1" thickBot="1">
      <c r="A40" s="227" t="s">
        <v>44</v>
      </c>
      <c r="B40" s="228"/>
      <c r="C40" s="228"/>
      <c r="D40" s="228"/>
      <c r="E40" s="228"/>
      <c r="F40" s="228"/>
      <c r="G40" s="228"/>
      <c r="H40" s="228"/>
      <c r="I40" s="228"/>
      <c r="J40" s="228"/>
      <c r="K40" s="228"/>
      <c r="L40" s="228"/>
      <c r="M40" s="228"/>
      <c r="N40" s="228"/>
      <c r="O40" s="229"/>
      <c r="Q40" s="226"/>
      <c r="R40" s="226"/>
      <c r="S40" s="226"/>
    </row>
    <row r="41" spans="1:19" ht="17.25" customHeight="1" thickBot="1">
      <c r="A41" s="173" t="s">
        <v>268</v>
      </c>
      <c r="B41" s="227" t="s">
        <v>49</v>
      </c>
      <c r="C41" s="229"/>
      <c r="D41" s="227" t="s">
        <v>58</v>
      </c>
      <c r="E41" s="228"/>
      <c r="F41" s="229"/>
      <c r="G41" s="230">
        <f>_xlfn.IFNA(VLOOKUP(B41, 현재가테이블!$B$2:$D$200, 2, FALSE), "-")</f>
        <v>39916000</v>
      </c>
      <c r="H41" s="231"/>
      <c r="I41" s="232"/>
      <c r="J41" s="227" t="s">
        <v>59</v>
      </c>
      <c r="K41" s="228"/>
      <c r="L41" s="229"/>
      <c r="M41" s="233">
        <f>_xlfn.IFNA(VLOOKUP(B41, 현재가테이블!$B$2:$D$200, 3, FALSE), "-")</f>
        <v>7.3184273000000003E-3</v>
      </c>
      <c r="N41" s="234"/>
      <c r="O41" s="235"/>
      <c r="Q41" s="226"/>
      <c r="R41" s="226"/>
      <c r="S41" s="226"/>
    </row>
    <row r="42" spans="1:19" ht="17.25" customHeight="1" thickBot="1">
      <c r="A42" s="271" t="s">
        <v>55</v>
      </c>
      <c r="B42" s="267" t="str">
        <f>TEXT($G$1, "[$-ko-KR]yyyy-mm-dd(ddd) ") &amp; "오전 00:00"</f>
        <v>2021-07-05(월) 오전 00:00</v>
      </c>
      <c r="C42" s="268"/>
      <c r="D42" s="240" t="str">
        <f>TEXT($G$1, "[$-ko-KR]yyyy-mm-dd(ddd) ") &amp; "오후 14:00"</f>
        <v>2021-07-05(월) 오후 14:00</v>
      </c>
      <c r="E42" s="241"/>
      <c r="F42" s="242"/>
      <c r="G42" s="240" t="str">
        <f>TEXT($G$1, "[$-ko-KR]yyyy-mm-dd(ddd) ") &amp; "오후 19:00"</f>
        <v>2021-07-05(월) 오후 19:00</v>
      </c>
      <c r="H42" s="241"/>
      <c r="I42" s="242"/>
      <c r="J42" s="240" t="str">
        <f>TEXT($G$1, "[$-ko-KR]yyyy-mm-dd(ddd) ") &amp; "오후 21:00"</f>
        <v>2021-07-05(월) 오후 21:00</v>
      </c>
      <c r="K42" s="241"/>
      <c r="L42" s="242"/>
      <c r="M42" s="240" t="str">
        <f>TEXT($G$1+1, "[$-ko-KR]yyyy-mm-dd(ddd) ") &amp; "오전 00:00"</f>
        <v>2021-07-06(화) 오전 00:00</v>
      </c>
      <c r="N42" s="241"/>
      <c r="O42" s="242"/>
      <c r="Q42" s="226"/>
      <c r="R42" s="226"/>
      <c r="S42" s="226"/>
    </row>
    <row r="43" spans="1:19" ht="17.25" customHeight="1" thickBot="1">
      <c r="A43" s="27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4" t="s">
        <v>58</v>
      </c>
      <c r="H43" s="175" t="s">
        <v>269</v>
      </c>
      <c r="I43" s="17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6"/>
      <c r="R43" s="216"/>
      <c r="S43" s="216"/>
    </row>
    <row r="44" spans="1:19" ht="17.25" customHeight="1" thickBot="1">
      <c r="A44" s="123" t="s">
        <v>150</v>
      </c>
      <c r="B44" s="124">
        <v>9.99</v>
      </c>
      <c r="C44" s="76">
        <v>9.0611353699999994E-2</v>
      </c>
      <c r="D44" s="13">
        <v>10.8</v>
      </c>
      <c r="E44" s="14">
        <f>IF(ISNUMBER(D44), (D44 - $B44) / $B44, "")</f>
        <v>8.1081081081081127E-2</v>
      </c>
      <c r="F44" s="16">
        <f>IF(ISNUMBER(D44), $B64 * E44, "")</f>
        <v>8108.1081081081129</v>
      </c>
      <c r="G44" s="29">
        <v>11</v>
      </c>
      <c r="H44" s="14">
        <f>IF(ISNUMBER(G44), (G44 - $B44) / $B44, "")</f>
        <v>0.10110110110110107</v>
      </c>
      <c r="I44" s="100">
        <f>IF(ISNUMBER(G44), $B64 * H44, "")</f>
        <v>10110.110110110107</v>
      </c>
      <c r="J44" s="13">
        <v>10.1</v>
      </c>
      <c r="K44" s="14">
        <f>IF(ISNUMBER(J44), (J44 - $B44) / $B44, "")</f>
        <v>1.1011011011010954E-2</v>
      </c>
      <c r="L44" s="16">
        <f>IF(ISNUMBER(J44), $B64 * K44, "")</f>
        <v>1101.1011011010953</v>
      </c>
      <c r="M44" s="29">
        <v>10.5</v>
      </c>
      <c r="N44" s="14">
        <f>IF(ISNUMBER(M44), (M44 - $B44) / $B44, "")</f>
        <v>5.1051051051051032E-2</v>
      </c>
      <c r="O44" s="16">
        <f>IF(ISNUMBER(M44), $B64 * N44, "")</f>
        <v>5105.1051051051036</v>
      </c>
      <c r="Q44" s="226"/>
      <c r="R44" s="226"/>
      <c r="S44" s="226"/>
    </row>
    <row r="45" spans="1:19" ht="17.25" customHeight="1" thickBot="1">
      <c r="A45" s="125" t="s">
        <v>188</v>
      </c>
      <c r="B45" s="126">
        <v>10.1</v>
      </c>
      <c r="C45" s="77">
        <v>8.9536138099999996E-2</v>
      </c>
      <c r="D45" s="15">
        <v>10.9</v>
      </c>
      <c r="E45" s="32">
        <f t="shared" ref="E45:E48" si="14">IF(ISNUMBER(D45), (D45 - $B45) / $B45, "")</f>
        <v>7.9207920792079278E-2</v>
      </c>
      <c r="F45" s="18">
        <f>IF(ISNUMBER(D45), $B64 * E45, "")</f>
        <v>7920.7920792079276</v>
      </c>
      <c r="G45" s="31">
        <v>10.9</v>
      </c>
      <c r="H45" s="32">
        <f t="shared" ref="H45:H48" si="15">IF(ISNUMBER(G45), (G45 - $B45) / $B45, "")</f>
        <v>7.9207920792079278E-2</v>
      </c>
      <c r="I45" s="101">
        <f>IF(ISNUMBER(G45), $B64 * H45, "")</f>
        <v>7920.7920792079276</v>
      </c>
      <c r="J45" s="15">
        <v>10</v>
      </c>
      <c r="K45" s="32">
        <f t="shared" ref="K45:K48" si="16">IF(ISNUMBER(J45), (J45 - $B45) / $B45, "")</f>
        <v>-9.9009900990098664E-3</v>
      </c>
      <c r="L45" s="18">
        <f>IF(ISNUMBER(J45), $B64 * K45, "")</f>
        <v>-990.09900990098663</v>
      </c>
      <c r="M45" s="31">
        <v>10.199999999999999</v>
      </c>
      <c r="N45" s="32">
        <f t="shared" ref="N45:N48" si="17">IF(ISNUMBER(M45), (M45 - $B45) / $B45, "")</f>
        <v>9.9009900990098664E-3</v>
      </c>
      <c r="O45" s="18">
        <f>IF(ISNUMBER(M45), $B64 * N45, "")</f>
        <v>990.09900990098663</v>
      </c>
      <c r="Q45" s="226"/>
      <c r="R45" s="226"/>
      <c r="S45" s="226"/>
    </row>
    <row r="46" spans="1:19" ht="17.25" customHeight="1" thickBot="1">
      <c r="A46" s="125" t="s">
        <v>204</v>
      </c>
      <c r="B46" s="126">
        <v>11.8</v>
      </c>
      <c r="C46" s="77">
        <v>8.2568807300000005E-2</v>
      </c>
      <c r="D46" s="15">
        <v>11.9</v>
      </c>
      <c r="E46" s="32">
        <f t="shared" si="14"/>
        <v>8.4745762711864094E-3</v>
      </c>
      <c r="F46" s="18">
        <f>IF(ISNUMBER(D46), $B64 * E46, "")</f>
        <v>847.45762711864097</v>
      </c>
      <c r="G46" s="31">
        <v>13.5</v>
      </c>
      <c r="H46" s="32">
        <f t="shared" si="15"/>
        <v>0.14406779661016941</v>
      </c>
      <c r="I46" s="101">
        <f>IF(ISNUMBER(G46), $B64 * H46, "")</f>
        <v>14406.779661016941</v>
      </c>
      <c r="J46" s="15">
        <v>11.9</v>
      </c>
      <c r="K46" s="32">
        <f t="shared" si="16"/>
        <v>8.4745762711864094E-3</v>
      </c>
      <c r="L46" s="18">
        <f>IF(ISNUMBER(J46), $B64 * K46, "")</f>
        <v>847.45762711864097</v>
      </c>
      <c r="M46" s="31">
        <v>12.1</v>
      </c>
      <c r="N46" s="32">
        <f t="shared" si="17"/>
        <v>2.542372881355923E-2</v>
      </c>
      <c r="O46" s="18">
        <f>IF(ISNUMBER(M46), $B64 * N46, "")</f>
        <v>2542.3728813559228</v>
      </c>
      <c r="Q46" s="216"/>
      <c r="R46" s="216"/>
      <c r="S46" s="216"/>
    </row>
    <row r="47" spans="1:19" ht="17.25" customHeight="1" thickBot="1">
      <c r="A47" s="125" t="s">
        <v>216</v>
      </c>
      <c r="B47" s="126">
        <v>8.81</v>
      </c>
      <c r="C47" s="77">
        <v>7.8335373299999997E-2</v>
      </c>
      <c r="D47" s="15">
        <v>9.32</v>
      </c>
      <c r="E47" s="32">
        <f t="shared" si="14"/>
        <v>5.7888762769579993E-2</v>
      </c>
      <c r="F47" s="18">
        <f>IF(ISNUMBER(D47), $B64 * E47, "")</f>
        <v>5788.8762769579989</v>
      </c>
      <c r="G47" s="31">
        <v>9.99</v>
      </c>
      <c r="H47" s="32">
        <f t="shared" si="15"/>
        <v>0.133938706015891</v>
      </c>
      <c r="I47" s="101">
        <f>IF(ISNUMBER(G47), $B64 * H47, "")</f>
        <v>13393.8706015891</v>
      </c>
      <c r="J47" s="15">
        <v>9.2799999999999994</v>
      </c>
      <c r="K47" s="32">
        <f t="shared" si="16"/>
        <v>5.3348467650397143E-2</v>
      </c>
      <c r="L47" s="18">
        <f>IF(ISNUMBER(J47), $B64 * K47, "")</f>
        <v>5334.8467650397142</v>
      </c>
      <c r="M47" s="31">
        <v>9.49</v>
      </c>
      <c r="N47" s="32">
        <f t="shared" si="17"/>
        <v>7.7185017026106667E-2</v>
      </c>
      <c r="O47" s="18">
        <f>IF(ISNUMBER(M47), $B64 * N47, "")</f>
        <v>7718.5017026106671</v>
      </c>
      <c r="Q47" s="216"/>
      <c r="R47" s="216"/>
      <c r="S47" s="216"/>
    </row>
    <row r="48" spans="1:19" ht="17.25" customHeight="1" thickBot="1">
      <c r="A48" s="127" t="s">
        <v>208</v>
      </c>
      <c r="B48" s="128">
        <v>10.7</v>
      </c>
      <c r="C48" s="78">
        <v>7.2144288599999995E-2</v>
      </c>
      <c r="D48" s="20">
        <v>10.6</v>
      </c>
      <c r="E48" s="21">
        <f t="shared" si="14"/>
        <v>-9.3457943925233326E-3</v>
      </c>
      <c r="F48" s="22">
        <f>IF(ISNUMBER(D48), $B64 * E48, "")</f>
        <v>-934.57943925233326</v>
      </c>
      <c r="G48" s="30">
        <v>11.2</v>
      </c>
      <c r="H48" s="21">
        <f t="shared" si="15"/>
        <v>4.6728971962616828E-2</v>
      </c>
      <c r="I48" s="105">
        <f>IF(ISNUMBER(G48), $B64 * H48, "")</f>
        <v>4672.8971962616824</v>
      </c>
      <c r="J48" s="20">
        <v>9.98</v>
      </c>
      <c r="K48" s="21">
        <f t="shared" si="16"/>
        <v>-6.7289719626168129E-2</v>
      </c>
      <c r="L48" s="22">
        <f>IF(ISNUMBER(J48), $B64 * K48, "")</f>
        <v>-6728.9719626168126</v>
      </c>
      <c r="M48" s="30">
        <v>10.5</v>
      </c>
      <c r="N48" s="21">
        <f t="shared" si="17"/>
        <v>-1.8691588785046665E-2</v>
      </c>
      <c r="O48" s="22">
        <f>IF(ISNUMBER(M48), $B64 * N48, "")</f>
        <v>-1869.1588785046665</v>
      </c>
      <c r="Q48" s="216"/>
      <c r="R48" s="216"/>
      <c r="S48" s="216"/>
    </row>
    <row r="49" spans="1:19" ht="17.25" customHeight="1" thickBot="1">
      <c r="A49" s="125" t="s">
        <v>235</v>
      </c>
      <c r="B49" s="129">
        <v>56.6</v>
      </c>
      <c r="C49" s="80">
        <v>4.2357274399999999E-2</v>
      </c>
      <c r="D49" s="106">
        <v>57.5</v>
      </c>
      <c r="E49" s="107">
        <f>IF(ISNUMBER(D49), (D49 - $B49) / $B49, "")</f>
        <v>1.5901060070671352E-2</v>
      </c>
      <c r="F49" s="108">
        <f>IF(ISNUMBER(D49), $B64 * E49, "")</f>
        <v>1590.1060070671351</v>
      </c>
      <c r="G49" s="109">
        <v>59.9</v>
      </c>
      <c r="H49" s="107">
        <f>IF(ISNUMBER(G49), (G49 - $B49) / $B49, "")</f>
        <v>5.8303886925795002E-2</v>
      </c>
      <c r="I49" s="110">
        <f>IF(ISNUMBER(G49), $B64 * H49, "")</f>
        <v>5830.3886925795005</v>
      </c>
      <c r="J49" s="106">
        <v>56.7</v>
      </c>
      <c r="K49" s="107">
        <f>IF(ISNUMBER(J49), (J49 - $B49) / $B49, "")</f>
        <v>1.7667844522968449E-3</v>
      </c>
      <c r="L49" s="108">
        <f>IF(ISNUMBER(J49), $B64 * K49, "")</f>
        <v>176.67844522968448</v>
      </c>
      <c r="M49" s="109">
        <v>58.3</v>
      </c>
      <c r="N49" s="107">
        <f>IF(ISNUMBER(M49), (M49 - $B49) / $B49, "")</f>
        <v>3.0035335689045862E-2</v>
      </c>
      <c r="O49" s="108">
        <f>IF(ISNUMBER(M49), $B64 * N49, "")</f>
        <v>3003.533568904586</v>
      </c>
      <c r="Q49" s="216"/>
      <c r="R49" s="216"/>
      <c r="S49" s="216"/>
    </row>
    <row r="50" spans="1:19" ht="17.25" customHeight="1" thickBot="1">
      <c r="A50" s="125" t="s">
        <v>202</v>
      </c>
      <c r="B50" s="126">
        <v>59.5</v>
      </c>
      <c r="C50" s="77">
        <v>3.29861111E-2</v>
      </c>
      <c r="D50" s="15">
        <v>64.099999999999994</v>
      </c>
      <c r="E50" s="32">
        <f t="shared" ref="E50:E53" si="18">IF(ISNUMBER(D50), (D50 - $B50) / $B50, "")</f>
        <v>7.7310924369747805E-2</v>
      </c>
      <c r="F50" s="18">
        <f>IF(ISNUMBER(D50), $B64 * E50, "")</f>
        <v>7731.0924369747809</v>
      </c>
      <c r="G50" s="31">
        <v>64.599999999999994</v>
      </c>
      <c r="H50" s="32">
        <f t="shared" ref="H50:H53" si="19">IF(ISNUMBER(G50), (G50 - $B50) / $B50, "")</f>
        <v>8.5714285714285618E-2</v>
      </c>
      <c r="I50" s="101">
        <f>IF(ISNUMBER(G50), $B64 * H50, "")</f>
        <v>8571.4285714285616</v>
      </c>
      <c r="J50" s="15">
        <v>59</v>
      </c>
      <c r="K50" s="32">
        <f t="shared" ref="K50:K53" si="20">IF(ISNUMBER(J50), (J50 - $B50) / $B50, "")</f>
        <v>-8.4033613445378148E-3</v>
      </c>
      <c r="L50" s="18">
        <f>IF(ISNUMBER(J50), $B64 * K50, "")</f>
        <v>-840.33613445378148</v>
      </c>
      <c r="M50" s="31">
        <v>61.1</v>
      </c>
      <c r="N50" s="32">
        <f t="shared" ref="N50:N53" si="21">IF(ISNUMBER(M50), (M50 - $B50) / $B50, "")</f>
        <v>2.6890756302521031E-2</v>
      </c>
      <c r="O50" s="18">
        <f>IF(ISNUMBER(M50), $B64 * N50, "")</f>
        <v>2689.0756302521031</v>
      </c>
      <c r="Q50" s="216"/>
      <c r="R50" s="216"/>
      <c r="S50" s="216"/>
    </row>
    <row r="51" spans="1:19" ht="17.25" customHeight="1" thickBot="1">
      <c r="A51" s="125" t="s">
        <v>190</v>
      </c>
      <c r="B51" s="126">
        <v>15.4</v>
      </c>
      <c r="C51" s="77">
        <v>2.6666666700000001E-2</v>
      </c>
      <c r="D51" s="15">
        <v>15.2</v>
      </c>
      <c r="E51" s="32">
        <f t="shared" si="18"/>
        <v>-1.2987012987013056E-2</v>
      </c>
      <c r="F51" s="18">
        <f>IF(ISNUMBER(D51), $B64 * E51, "")</f>
        <v>-1298.7012987013056</v>
      </c>
      <c r="G51" s="31">
        <v>16</v>
      </c>
      <c r="H51" s="32">
        <f t="shared" si="19"/>
        <v>3.8961038961038939E-2</v>
      </c>
      <c r="I51" s="101">
        <f>IF(ISNUMBER(G51), $B64 * H51, "")</f>
        <v>3896.1038961038939</v>
      </c>
      <c r="J51" s="15">
        <v>14.5</v>
      </c>
      <c r="K51" s="32">
        <f t="shared" si="20"/>
        <v>-5.8441558441558461E-2</v>
      </c>
      <c r="L51" s="18">
        <f>IF(ISNUMBER(J51), $B64 * K51, "")</f>
        <v>-5844.1558441558464</v>
      </c>
      <c r="M51" s="31">
        <v>15</v>
      </c>
      <c r="N51" s="32">
        <f t="shared" si="21"/>
        <v>-2.5974025974025997E-2</v>
      </c>
      <c r="O51" s="18">
        <f>IF(ISNUMBER(M51), $B64 * N51, "")</f>
        <v>-2597.4025974025994</v>
      </c>
      <c r="Q51" s="216"/>
      <c r="R51" s="216"/>
      <c r="S51" s="216"/>
    </row>
    <row r="52" spans="1:19" ht="17.25" customHeight="1" thickBot="1">
      <c r="A52" s="125" t="s">
        <v>130</v>
      </c>
      <c r="B52" s="126">
        <v>82.5</v>
      </c>
      <c r="C52" s="77">
        <v>2.1039604E-2</v>
      </c>
      <c r="D52" s="15">
        <v>85.3</v>
      </c>
      <c r="E52" s="32">
        <f t="shared" si="18"/>
        <v>3.3939393939393908E-2</v>
      </c>
      <c r="F52" s="18">
        <f>IF(ISNUMBER(D52), $B64 * E52, "")</f>
        <v>3393.9393939393908</v>
      </c>
      <c r="G52" s="31">
        <v>89.4</v>
      </c>
      <c r="H52" s="32">
        <f t="shared" si="19"/>
        <v>8.3636363636363703E-2</v>
      </c>
      <c r="I52" s="101">
        <f>IF(ISNUMBER(G52), $B64 * H52, "")</f>
        <v>8363.6363636363694</v>
      </c>
      <c r="J52" s="15">
        <v>84.9</v>
      </c>
      <c r="K52" s="32">
        <f t="shared" si="20"/>
        <v>2.909090909090916E-2</v>
      </c>
      <c r="L52" s="18">
        <f>IF(ISNUMBER(J52), $B64 * K52, "")</f>
        <v>2909.0909090909158</v>
      </c>
      <c r="M52" s="31">
        <v>86.8</v>
      </c>
      <c r="N52" s="32">
        <f t="shared" si="21"/>
        <v>5.2121212121212089E-2</v>
      </c>
      <c r="O52" s="18">
        <f>IF(ISNUMBER(M52), $B64 * N52, "")</f>
        <v>5212.1212121212093</v>
      </c>
      <c r="Q52" s="33"/>
      <c r="R52" s="33"/>
    </row>
    <row r="53" spans="1:19" ht="17.25" customHeight="1" thickBot="1">
      <c r="A53" s="130" t="s">
        <v>148</v>
      </c>
      <c r="B53" s="131">
        <v>16.399999999999999</v>
      </c>
      <c r="C53" s="79">
        <v>1.8633540399999999E-2</v>
      </c>
      <c r="D53" s="24">
        <v>15.7</v>
      </c>
      <c r="E53" s="25">
        <f t="shared" si="18"/>
        <v>-4.2682926829268254E-2</v>
      </c>
      <c r="F53" s="104">
        <f>IF(ISNUMBER(D53), $B64 * E53, "")</f>
        <v>-4268.2926829268254</v>
      </c>
      <c r="G53" s="102">
        <v>15.9</v>
      </c>
      <c r="H53" s="25">
        <f t="shared" si="19"/>
        <v>-3.0487804878048676E-2</v>
      </c>
      <c r="I53" s="103">
        <f>IF(ISNUMBER(G53), $B64 * H53, "")</f>
        <v>-3048.7804878048678</v>
      </c>
      <c r="J53" s="24">
        <v>15.3</v>
      </c>
      <c r="K53" s="25">
        <f t="shared" si="20"/>
        <v>-6.7073170731707196E-2</v>
      </c>
      <c r="L53" s="104">
        <f>IF(ISNUMBER(J53), $B64 * K53, "")</f>
        <v>-6707.3170731707196</v>
      </c>
      <c r="M53" s="102">
        <v>15.7</v>
      </c>
      <c r="N53" s="25">
        <f t="shared" si="21"/>
        <v>-4.2682926829268254E-2</v>
      </c>
      <c r="O53" s="104">
        <f>IF(ISNUMBER(M53), $B64 * N53, "")</f>
        <v>-4268.2926829268254</v>
      </c>
      <c r="Q53" s="217"/>
      <c r="R53" s="218"/>
      <c r="S53" s="219"/>
    </row>
    <row r="54" spans="1:19" ht="17.25" customHeight="1">
      <c r="A54" s="123" t="s">
        <v>152</v>
      </c>
      <c r="B54" s="124">
        <v>78.8</v>
      </c>
      <c r="C54" s="76">
        <v>1.2853470400000001E-2</v>
      </c>
      <c r="D54" s="13">
        <v>77.2</v>
      </c>
      <c r="E54" s="14">
        <f>IF(ISNUMBER(D54), (D54 - $B54) / $B54, "")</f>
        <v>-2.0304568527918711E-2</v>
      </c>
      <c r="F54" s="16">
        <f>IF(ISNUMBER(D54), $B64 * E54, "")</f>
        <v>-2030.4568527918711</v>
      </c>
      <c r="G54" s="29">
        <v>77</v>
      </c>
      <c r="H54" s="14">
        <f>IF(ISNUMBER(G54), (G54 - $B54) / $B54, "")</f>
        <v>-2.2842639593908594E-2</v>
      </c>
      <c r="I54" s="100">
        <f>IF(ISNUMBER(G54), $B64 * H54, "")</f>
        <v>-2284.2639593908593</v>
      </c>
      <c r="J54" s="13">
        <v>75</v>
      </c>
      <c r="K54" s="14">
        <f>IF(ISNUMBER(J54), (J54 - $B54) / $B54, "")</f>
        <v>-4.8223350253807071E-2</v>
      </c>
      <c r="L54" s="16">
        <f>IF(ISNUMBER(J54), $B64 * K54, "")</f>
        <v>-4822.3350253807075</v>
      </c>
      <c r="M54" s="29">
        <v>75.099999999999994</v>
      </c>
      <c r="N54" s="14">
        <f>IF(ISNUMBER(M54), (M54 - $B54) / $B54, "")</f>
        <v>-4.6954314720812219E-2</v>
      </c>
      <c r="O54" s="16">
        <f>IF(ISNUMBER(M54), $B64 * N54, "")</f>
        <v>-4695.4314720812217</v>
      </c>
      <c r="Q54" s="220"/>
      <c r="R54" s="221"/>
      <c r="S54" s="222"/>
    </row>
    <row r="55" spans="1:19" ht="17.25" customHeight="1" thickBot="1">
      <c r="A55" s="125" t="s">
        <v>98</v>
      </c>
      <c r="B55" s="126">
        <v>3.18</v>
      </c>
      <c r="C55" s="77">
        <v>1.2738853499999999E-2</v>
      </c>
      <c r="D55" s="15">
        <v>3.13</v>
      </c>
      <c r="E55" s="32">
        <f t="shared" ref="E55:E58" si="22">IF(ISNUMBER(D55), (D55 - $B55) / $B55, "")</f>
        <v>-1.5723270440251656E-2</v>
      </c>
      <c r="F55" s="18">
        <f>IF(ISNUMBER(D55), $B64 * E55, "")</f>
        <v>-1572.3270440251656</v>
      </c>
      <c r="G55" s="31">
        <v>3.15</v>
      </c>
      <c r="H55" s="32">
        <f t="shared" ref="H55:H58" si="23">IF(ISNUMBER(G55), (G55 - $B55) / $B55, "")</f>
        <v>-9.4339622641510211E-3</v>
      </c>
      <c r="I55" s="101">
        <f>IF(ISNUMBER(G55), $B64 * H55, "")</f>
        <v>-943.39622641510209</v>
      </c>
      <c r="J55" s="15">
        <v>3.08</v>
      </c>
      <c r="K55" s="32">
        <f t="shared" ref="K55:K58" si="24">IF(ISNUMBER(J55), (J55 - $B55) / $B55, "")</f>
        <v>-3.1446540880503172E-2</v>
      </c>
      <c r="L55" s="18">
        <f>IF(ISNUMBER(J55), $B64 * K55, "")</f>
        <v>-3144.6540880503171</v>
      </c>
      <c r="M55" s="31">
        <v>3.09</v>
      </c>
      <c r="N55" s="32">
        <f t="shared" ref="N55:N58" si="25">IF(ISNUMBER(M55), (M55 - $B55) / $B55, "")</f>
        <v>-2.8301886792452925E-2</v>
      </c>
      <c r="O55" s="18">
        <f>IF(ISNUMBER(M55), $B64 * N55, "")</f>
        <v>-2830.1886792452924</v>
      </c>
      <c r="Q55" s="223"/>
      <c r="R55" s="224"/>
      <c r="S55" s="225"/>
    </row>
    <row r="56" spans="1:19" ht="17.25" customHeight="1" thickBot="1">
      <c r="A56" s="125" t="s">
        <v>144</v>
      </c>
      <c r="B56" s="126">
        <v>88.3</v>
      </c>
      <c r="C56" s="77">
        <v>1.2614678900000001E-2</v>
      </c>
      <c r="D56" s="15">
        <v>85.5</v>
      </c>
      <c r="E56" s="32">
        <f t="shared" si="22"/>
        <v>-3.1710079275198158E-2</v>
      </c>
      <c r="F56" s="18">
        <f>IF(ISNUMBER(D56), $B64 * E56, "")</f>
        <v>-3171.0079275198159</v>
      </c>
      <c r="G56" s="31">
        <v>87.4</v>
      </c>
      <c r="H56" s="32">
        <f t="shared" si="23"/>
        <v>-1.0192525481313608E-2</v>
      </c>
      <c r="I56" s="101">
        <f>IF(ISNUMBER(G56), $B64 * H56, "")</f>
        <v>-1019.2525481313608</v>
      </c>
      <c r="J56" s="15">
        <v>84</v>
      </c>
      <c r="K56" s="32">
        <f t="shared" si="24"/>
        <v>-4.8697621744054329E-2</v>
      </c>
      <c r="L56" s="18">
        <f>IF(ISNUMBER(J56), $B64 * K56, "")</f>
        <v>-4869.7621744054331</v>
      </c>
      <c r="M56" s="31">
        <v>85</v>
      </c>
      <c r="N56" s="32">
        <f t="shared" si="25"/>
        <v>-3.7372593431483546E-2</v>
      </c>
      <c r="O56" s="18">
        <f>IF(ISNUMBER(M56), $B64 * N56, "")</f>
        <v>-3737.2593431483547</v>
      </c>
      <c r="Q56" s="216"/>
      <c r="R56" s="216"/>
      <c r="S56" s="216"/>
    </row>
    <row r="57" spans="1:19" ht="17.25" customHeight="1" thickBot="1">
      <c r="A57" s="125" t="s">
        <v>241</v>
      </c>
      <c r="B57" s="126">
        <v>54.6</v>
      </c>
      <c r="C57" s="77">
        <v>1.11111111E-2</v>
      </c>
      <c r="D57" s="15">
        <v>52.9</v>
      </c>
      <c r="E57" s="32">
        <f t="shared" si="22"/>
        <v>-3.1135531135531188E-2</v>
      </c>
      <c r="F57" s="18">
        <f>IF(ISNUMBER(D57), $B64 * E57, "")</f>
        <v>-3113.5531135531187</v>
      </c>
      <c r="G57" s="31">
        <v>54.9</v>
      </c>
      <c r="H57" s="32">
        <f t="shared" si="23"/>
        <v>5.494505494505442E-3</v>
      </c>
      <c r="I57" s="101">
        <f>IF(ISNUMBER(G57), $B64 * H57, "")</f>
        <v>549.45054945054426</v>
      </c>
      <c r="J57" s="15">
        <v>52.4</v>
      </c>
      <c r="K57" s="32">
        <f t="shared" si="24"/>
        <v>-4.0293040293040344E-2</v>
      </c>
      <c r="L57" s="18">
        <f>IF(ISNUMBER(J57), $B64 * K57, "")</f>
        <v>-4029.3040293040344</v>
      </c>
      <c r="M57" s="31">
        <v>53.8</v>
      </c>
      <c r="N57" s="32">
        <f t="shared" si="25"/>
        <v>-1.465201465201473E-2</v>
      </c>
      <c r="O57" s="18">
        <f>IF(ISNUMBER(M57), $B64 * N57, "")</f>
        <v>-1465.201465201473</v>
      </c>
      <c r="Q57" s="226"/>
      <c r="R57" s="226"/>
      <c r="S57" s="226"/>
    </row>
    <row r="58" spans="1:19" ht="17.25" customHeight="1" thickBot="1">
      <c r="A58" s="127" t="s">
        <v>132</v>
      </c>
      <c r="B58" s="128">
        <v>96.4</v>
      </c>
      <c r="C58" s="78">
        <v>3.1217482000000002E-3</v>
      </c>
      <c r="D58" s="20">
        <v>93.3</v>
      </c>
      <c r="E58" s="21">
        <f t="shared" si="22"/>
        <v>-3.2157676348547805E-2</v>
      </c>
      <c r="F58" s="22">
        <f>IF(ISNUMBER(D58), $B64 * E58, "")</f>
        <v>-3215.7676348547807</v>
      </c>
      <c r="G58" s="30">
        <v>94.5</v>
      </c>
      <c r="H58" s="21">
        <f t="shared" si="23"/>
        <v>-1.9709543568464789E-2</v>
      </c>
      <c r="I58" s="105">
        <f>IF(ISNUMBER(G58), $B64 * H58, "")</f>
        <v>-1970.954356846479</v>
      </c>
      <c r="J58" s="20">
        <v>91.2</v>
      </c>
      <c r="K58" s="21">
        <f t="shared" si="24"/>
        <v>-5.394190871369297E-2</v>
      </c>
      <c r="L58" s="22">
        <f>IF(ISNUMBER(J58), $B64 * K58, "")</f>
        <v>-5394.1908713692974</v>
      </c>
      <c r="M58" s="30">
        <v>93</v>
      </c>
      <c r="N58" s="21">
        <f t="shared" si="25"/>
        <v>-3.526970954356852E-2</v>
      </c>
      <c r="O58" s="22">
        <f>IF(ISNUMBER(M58), $B64 * N58, "")</f>
        <v>-3526.970954356852</v>
      </c>
      <c r="Q58" s="226"/>
      <c r="R58" s="226"/>
      <c r="S58" s="226"/>
    </row>
    <row r="59" spans="1:19" ht="17.25" customHeight="1" thickBot="1">
      <c r="A59" s="125" t="s">
        <v>239</v>
      </c>
      <c r="B59" s="129">
        <v>77.5</v>
      </c>
      <c r="C59" s="80">
        <v>2.5873221E-3</v>
      </c>
      <c r="D59" s="106">
        <v>74.7</v>
      </c>
      <c r="E59" s="107">
        <f>IF(ISNUMBER(D59), (D59 - $B59) / $B59, "")</f>
        <v>-3.6129032258064478E-2</v>
      </c>
      <c r="F59" s="108">
        <f>IF(ISNUMBER(D59), $B64 * E59, "")</f>
        <v>-3612.9032258064476</v>
      </c>
      <c r="G59" s="109">
        <v>79.7</v>
      </c>
      <c r="H59" s="107">
        <f>IF(ISNUMBER(G59), (G59 - $B59) / $B59, "")</f>
        <v>2.8387096774193585E-2</v>
      </c>
      <c r="I59" s="110">
        <f>IF(ISNUMBER(G59), $B64 * H59, "")</f>
        <v>2838.7096774193583</v>
      </c>
      <c r="J59" s="106">
        <v>74</v>
      </c>
      <c r="K59" s="107">
        <f>IF(ISNUMBER(J59), (J59 - $B59) / $B59, "")</f>
        <v>-4.5161290322580643E-2</v>
      </c>
      <c r="L59" s="108">
        <f>IF(ISNUMBER(J59), $B64 * K59, "")</f>
        <v>-4516.1290322580644</v>
      </c>
      <c r="M59" s="109">
        <v>76.400000000000006</v>
      </c>
      <c r="N59" s="107">
        <f>IF(ISNUMBER(M59), (M59 - $B59) / $B59, "")</f>
        <v>-1.41935483870967E-2</v>
      </c>
      <c r="O59" s="108">
        <f>IF(ISNUMBER(M59), $B64 * N59, "")</f>
        <v>-1419.35483870967</v>
      </c>
      <c r="Q59" s="216"/>
      <c r="R59" s="216"/>
      <c r="S59" s="216"/>
    </row>
    <row r="60" spans="1:19" ht="17.25" customHeight="1" thickBot="1">
      <c r="A60" s="125" t="s">
        <v>251</v>
      </c>
      <c r="B60" s="126">
        <v>62.4</v>
      </c>
      <c r="C60" s="77">
        <v>1.6051364E-3</v>
      </c>
      <c r="D60" s="15">
        <v>61.5</v>
      </c>
      <c r="E60" s="32">
        <f t="shared" ref="E60:E63" si="26">IF(ISNUMBER(D60), (D60 - $B60) / $B60, "")</f>
        <v>-1.4423076923076901E-2</v>
      </c>
      <c r="F60" s="18">
        <f>IF(ISNUMBER(D60), $B64 * E60, "")</f>
        <v>-1442.3076923076901</v>
      </c>
      <c r="G60" s="31">
        <v>61.9</v>
      </c>
      <c r="H60" s="32">
        <f t="shared" ref="H60:H63" si="27">IF(ISNUMBER(G60), (G60 - $B60) / $B60, "")</f>
        <v>-8.0128205128205138E-3</v>
      </c>
      <c r="I60" s="101">
        <f>IF(ISNUMBER(G60), $B64 * H60, "")</f>
        <v>-801.28205128205138</v>
      </c>
      <c r="J60" s="15">
        <v>59.5</v>
      </c>
      <c r="K60" s="32">
        <f t="shared" ref="K60:K63" si="28">IF(ISNUMBER(J60), (J60 - $B60) / $B60, "")</f>
        <v>-4.6474358974358955E-2</v>
      </c>
      <c r="L60" s="18">
        <f>IF(ISNUMBER(J60), $B64 * K60, "")</f>
        <v>-4647.4358974358956</v>
      </c>
      <c r="M60" s="31">
        <v>60.2</v>
      </c>
      <c r="N60" s="32">
        <f t="shared" ref="N60:N63" si="29">IF(ISNUMBER(M60), (M60 - $B60) / $B60, "")</f>
        <v>-3.5256410256410187E-2</v>
      </c>
      <c r="O60" s="18">
        <f>IF(ISNUMBER(M60), $B64 * N60, "")</f>
        <v>-3525.6410256410186</v>
      </c>
      <c r="Q60" s="216"/>
      <c r="R60" s="216"/>
      <c r="S60" s="216"/>
    </row>
    <row r="61" spans="1:19" ht="17.25" customHeight="1" thickBot="1">
      <c r="A61" s="125" t="s">
        <v>178</v>
      </c>
      <c r="B61" s="126">
        <v>15.8</v>
      </c>
      <c r="C61" s="77">
        <v>0</v>
      </c>
      <c r="D61" s="15">
        <v>15.5</v>
      </c>
      <c r="E61" s="32">
        <f t="shared" si="26"/>
        <v>-1.8987341772151944E-2</v>
      </c>
      <c r="F61" s="18">
        <f>IF(ISNUMBER(D61), $B64 * E61, "")</f>
        <v>-1898.7341772151944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15.4</v>
      </c>
      <c r="K61" s="32">
        <f t="shared" si="28"/>
        <v>-2.5316455696202552E-2</v>
      </c>
      <c r="L61" s="18">
        <f>IF(ISNUMBER(J61), $B64 * K61, "")</f>
        <v>-2531.6455696202552</v>
      </c>
      <c r="M61" s="31">
        <v>15.7</v>
      </c>
      <c r="N61" s="32">
        <f t="shared" si="29"/>
        <v>-6.3291139240507222E-3</v>
      </c>
      <c r="O61" s="18">
        <f>IF(ISNUMBER(M61), $B64 * N61, "")</f>
        <v>-632.91139240507221</v>
      </c>
      <c r="Q61" s="216"/>
      <c r="R61" s="216"/>
      <c r="S61" s="216"/>
    </row>
    <row r="62" spans="1:19" ht="17.25" customHeight="1">
      <c r="A62" s="125" t="s">
        <v>72</v>
      </c>
      <c r="B62" s="126">
        <v>19.3</v>
      </c>
      <c r="C62" s="77">
        <v>0</v>
      </c>
      <c r="D62" s="15">
        <v>18.8</v>
      </c>
      <c r="E62" s="32">
        <f t="shared" si="26"/>
        <v>-2.5906735751295335E-2</v>
      </c>
      <c r="F62" s="18">
        <f>IF(ISNUMBER(D62), $B64 * E62, "")</f>
        <v>-2590.6735751295337</v>
      </c>
      <c r="G62" s="31">
        <v>19.399999999999999</v>
      </c>
      <c r="H62" s="32">
        <f t="shared" si="27"/>
        <v>5.1813471502589565E-3</v>
      </c>
      <c r="I62" s="101">
        <f>IF(ISNUMBER(G62), $B64 * H62, "")</f>
        <v>518.13471502589562</v>
      </c>
      <c r="J62" s="15">
        <v>18</v>
      </c>
      <c r="K62" s="32">
        <f t="shared" si="28"/>
        <v>-6.7357512953367907E-2</v>
      </c>
      <c r="L62" s="18">
        <f>IF(ISNUMBER(J62), $B64 * K62, "")</f>
        <v>-6735.7512953367905</v>
      </c>
      <c r="M62" s="31">
        <v>18.5</v>
      </c>
      <c r="N62" s="32">
        <f t="shared" si="29"/>
        <v>-4.1450777202072575E-2</v>
      </c>
      <c r="O62" s="18">
        <f>IF(ISNUMBER(M62), $B64 * N62, "")</f>
        <v>-4145.0777202072577</v>
      </c>
      <c r="Q62" s="205"/>
      <c r="R62" s="206"/>
      <c r="S62" s="207"/>
    </row>
    <row r="63" spans="1:19" ht="17.25" customHeight="1" thickBot="1">
      <c r="A63" s="130" t="s">
        <v>210</v>
      </c>
      <c r="B63" s="131">
        <v>10.199999999999999</v>
      </c>
      <c r="C63" s="79">
        <v>0</v>
      </c>
      <c r="D63" s="24">
        <v>10.199999999999999</v>
      </c>
      <c r="E63" s="25">
        <f t="shared" si="26"/>
        <v>0</v>
      </c>
      <c r="F63" s="104">
        <f>IF(ISNUMBER(D63), $B64 * E63, "")</f>
        <v>0</v>
      </c>
      <c r="G63" s="102">
        <v>11</v>
      </c>
      <c r="H63" s="25">
        <f t="shared" si="27"/>
        <v>7.8431372549019676E-2</v>
      </c>
      <c r="I63" s="103">
        <f>IF(ISNUMBER(G63), $B64 * H63, "")</f>
        <v>7843.1372549019679</v>
      </c>
      <c r="J63" s="24">
        <v>9.83</v>
      </c>
      <c r="K63" s="25">
        <f t="shared" si="28"/>
        <v>-3.6274509803921495E-2</v>
      </c>
      <c r="L63" s="104">
        <f>IF(ISNUMBER(J63), $B64 * K63, "")</f>
        <v>-3627.4509803921496</v>
      </c>
      <c r="M63" s="102">
        <v>10.199999999999999</v>
      </c>
      <c r="N63" s="25">
        <f t="shared" si="29"/>
        <v>0</v>
      </c>
      <c r="O63" s="104">
        <f>IF(ISNUMBER(M63), $B64 * N63, "")</f>
        <v>0</v>
      </c>
      <c r="Q63" s="208"/>
      <c r="R63" s="209"/>
      <c r="S63" s="210"/>
    </row>
    <row r="64" spans="1:19" ht="17.25" customHeight="1" thickBot="1">
      <c r="A64" s="132" t="s">
        <v>271</v>
      </c>
      <c r="B64" s="269">
        <f>$B$37</f>
        <v>100000</v>
      </c>
      <c r="C64" s="270"/>
      <c r="D64" s="26" t="s">
        <v>272</v>
      </c>
      <c r="E64" s="27">
        <f>IF(COUNT(E44:E63), SUM(E44:E63) / COUNT(E44:E63), 0)</f>
        <v>3.1155336326449527E-3</v>
      </c>
      <c r="F64" s="28">
        <f>SUM(F44:F63)</f>
        <v>6231.0672652899038</v>
      </c>
      <c r="G64" s="26" t="s">
        <v>272</v>
      </c>
      <c r="H64" s="27">
        <f>IF(COUNT(H44:H63), SUM(H44:H63) / COUNT(H44:H63), 0)</f>
        <v>4.1006033350443227E-2</v>
      </c>
      <c r="I64" s="28">
        <f>SUM(I44:I63)</f>
        <v>82012.066700886469</v>
      </c>
      <c r="J64" s="26" t="s">
        <v>272</v>
      </c>
      <c r="K64" s="27">
        <f>IF(COUNT(K44:K63), SUM(K44:K63) / COUNT(K44:K63), 0)</f>
        <v>-2.7530182070135523E-2</v>
      </c>
      <c r="L64" s="28">
        <f>SUM(L44:L63)</f>
        <v>-55060.364140271035</v>
      </c>
      <c r="M64" s="26" t="s">
        <v>272</v>
      </c>
      <c r="N64" s="27">
        <f>IF(COUNT(N44:N63), SUM(N44:N63) / COUNT(N44:N63), 0)</f>
        <v>-3.7260409697898607E-3</v>
      </c>
      <c r="O64" s="28">
        <f>SUM(O44:O63)</f>
        <v>-7452.0819395797262</v>
      </c>
      <c r="Q64" s="211"/>
      <c r="R64" s="212"/>
      <c r="S64" s="213"/>
    </row>
    <row r="65" spans="1:19" ht="17.25" customHeight="1"/>
    <row r="66" spans="1:19" ht="17.25" customHeight="1" thickBot="1"/>
    <row r="67" spans="1:19" ht="17.25" thickBot="1">
      <c r="A67" s="227" t="s">
        <v>45</v>
      </c>
      <c r="B67" s="228"/>
      <c r="C67" s="228"/>
      <c r="D67" s="228"/>
      <c r="E67" s="228"/>
      <c r="F67" s="228"/>
      <c r="G67" s="228"/>
      <c r="H67" s="228"/>
      <c r="I67" s="228"/>
      <c r="J67" s="228"/>
      <c r="K67" s="228"/>
      <c r="L67" s="228"/>
      <c r="M67" s="228"/>
      <c r="N67" s="228"/>
      <c r="O67" s="229"/>
      <c r="Q67" s="226"/>
      <c r="R67" s="226"/>
      <c r="S67" s="226"/>
    </row>
    <row r="68" spans="1:19" ht="17.25" thickBot="1">
      <c r="A68" s="173" t="s">
        <v>268</v>
      </c>
      <c r="B68" s="227" t="s">
        <v>49</v>
      </c>
      <c r="C68" s="229"/>
      <c r="D68" s="227" t="s">
        <v>58</v>
      </c>
      <c r="E68" s="228"/>
      <c r="F68" s="229"/>
      <c r="G68" s="230">
        <f>_xlfn.IFNA(VLOOKUP(B68, 현재가테이블!$B$2:$D$200, 2, FALSE), "-")</f>
        <v>39916000</v>
      </c>
      <c r="H68" s="231"/>
      <c r="I68" s="232"/>
      <c r="J68" s="227" t="s">
        <v>59</v>
      </c>
      <c r="K68" s="228"/>
      <c r="L68" s="229"/>
      <c r="M68" s="233">
        <f>_xlfn.IFNA(VLOOKUP(B68, 현재가테이블!$B$2:$D$200, 3, FALSE), "-")</f>
        <v>7.3184273000000003E-3</v>
      </c>
      <c r="N68" s="234"/>
      <c r="O68" s="235"/>
      <c r="Q68" s="226"/>
      <c r="R68" s="226"/>
      <c r="S68" s="226"/>
    </row>
    <row r="69" spans="1:19" ht="17.25" thickBot="1">
      <c r="A69" s="271" t="s">
        <v>55</v>
      </c>
      <c r="B69" s="267" t="str">
        <f>TEXT($G$1, "[$-ko-KR]yyyy-mm-dd(ddd) ") &amp; "오전 00:00"</f>
        <v>2021-07-05(월) 오전 00:00</v>
      </c>
      <c r="C69" s="268"/>
      <c r="D69" s="240" t="str">
        <f>TEXT($G$1, "[$-ko-KR]yyyy-mm-dd(ddd) ") &amp; "오후 14:00"</f>
        <v>2021-07-05(월) 오후 14:00</v>
      </c>
      <c r="E69" s="241"/>
      <c r="F69" s="242"/>
      <c r="G69" s="240" t="str">
        <f>TEXT($G$1, "[$-ko-KR]yyyy-mm-dd(ddd) ") &amp; "오후 19:00"</f>
        <v>2021-07-05(월) 오후 19:00</v>
      </c>
      <c r="H69" s="241"/>
      <c r="I69" s="242"/>
      <c r="J69" s="240" t="str">
        <f>TEXT($G$1, "[$-ko-KR]yyyy-mm-dd(ddd) ") &amp; "오후 21:00"</f>
        <v>2021-07-05(월) 오후 21:00</v>
      </c>
      <c r="K69" s="241"/>
      <c r="L69" s="242"/>
      <c r="M69" s="240" t="str">
        <f>TEXT($G$1+1, "[$-ko-KR]yyyy-mm-dd(ddd) ") &amp; "오전 00:00"</f>
        <v>2021-07-06(화) 오전 00:00</v>
      </c>
      <c r="N69" s="241"/>
      <c r="O69" s="242"/>
      <c r="Q69" s="226"/>
      <c r="R69" s="226"/>
      <c r="S69" s="226"/>
    </row>
    <row r="70" spans="1:19" ht="17.25" thickBot="1">
      <c r="A70" s="27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4" t="s">
        <v>58</v>
      </c>
      <c r="H70" s="175" t="s">
        <v>269</v>
      </c>
      <c r="I70" s="17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6"/>
      <c r="R70" s="216"/>
      <c r="S70" s="216"/>
    </row>
    <row r="71" spans="1:19" ht="17.25" thickBot="1">
      <c r="A71" s="123" t="s">
        <v>200</v>
      </c>
      <c r="B71" s="124">
        <v>133</v>
      </c>
      <c r="C71" s="76">
        <v>0.35852911129999998</v>
      </c>
      <c r="D71" s="13">
        <v>133</v>
      </c>
      <c r="E71" s="14">
        <f>IF(ISNUMBER(D71), (D71 - $B71) / $B71, "")</f>
        <v>0</v>
      </c>
      <c r="F71" s="16">
        <f>IF(ISNUMBER(D71), $B91 * E71, "")</f>
        <v>0</v>
      </c>
      <c r="G71" s="29">
        <v>132</v>
      </c>
      <c r="H71" s="14">
        <f>IF(ISNUMBER(G71), (G71 - $B71) / $B71, "")</f>
        <v>-7.5187969924812026E-3</v>
      </c>
      <c r="I71" s="100">
        <f>IF(ISNUMBER(G71), $B91 * H71, "")</f>
        <v>-751.87969924812023</v>
      </c>
      <c r="J71" s="13">
        <v>126</v>
      </c>
      <c r="K71" s="14">
        <f>IF(ISNUMBER(J71), (J71 - $B71) / $B71, "")</f>
        <v>-5.2631578947368418E-2</v>
      </c>
      <c r="L71" s="16">
        <f>IF(ISNUMBER(J71), $B91 * K71, "")</f>
        <v>-5263.1578947368416</v>
      </c>
      <c r="M71" s="29">
        <v>127</v>
      </c>
      <c r="N71" s="14">
        <f>IF(ISNUMBER(M71), (M71 - $B71) / $B71, "")</f>
        <v>-4.5112781954887216E-2</v>
      </c>
      <c r="O71" s="16">
        <f>IF(ISNUMBER(M71), $B91 * N71, "")</f>
        <v>-4511.2781954887214</v>
      </c>
      <c r="Q71" s="226"/>
      <c r="R71" s="226"/>
      <c r="S71" s="226"/>
    </row>
    <row r="72" spans="1:19" ht="17.25" thickBot="1">
      <c r="A72" s="125" t="s">
        <v>243</v>
      </c>
      <c r="B72" s="126">
        <v>400</v>
      </c>
      <c r="C72" s="77">
        <v>0.16279069769999999</v>
      </c>
      <c r="D72" s="15">
        <v>372</v>
      </c>
      <c r="E72" s="32">
        <f t="shared" ref="E72:E75" si="30">IF(ISNUMBER(D72), (D72 - $B72) / $B72, "")</f>
        <v>-7.0000000000000007E-2</v>
      </c>
      <c r="F72" s="18">
        <f>IF(ISNUMBER(D72), $B91 * E72, "")</f>
        <v>-7000.0000000000009</v>
      </c>
      <c r="G72" s="31">
        <v>384</v>
      </c>
      <c r="H72" s="32">
        <f t="shared" ref="H72:H75" si="31">IF(ISNUMBER(G72), (G72 - $B72) / $B72, "")</f>
        <v>-0.04</v>
      </c>
      <c r="I72" s="101">
        <f>IF(ISNUMBER(G72), $B91 * H72, "")</f>
        <v>-4000</v>
      </c>
      <c r="J72" s="15">
        <v>360</v>
      </c>
      <c r="K72" s="32">
        <f t="shared" ref="K72:K75" si="32">IF(ISNUMBER(J72), (J72 - $B72) / $B72, "")</f>
        <v>-0.1</v>
      </c>
      <c r="L72" s="18">
        <f>IF(ISNUMBER(J72), $B91 * K72, "")</f>
        <v>-10000</v>
      </c>
      <c r="M72" s="31">
        <v>364</v>
      </c>
      <c r="N72" s="32">
        <f t="shared" ref="N72:N75" si="33">IF(ISNUMBER(M72), (M72 - $B72) / $B72, "")</f>
        <v>-0.09</v>
      </c>
      <c r="O72" s="18">
        <f>IF(ISNUMBER(M72), $B91 * N72, "")</f>
        <v>-9000</v>
      </c>
      <c r="Q72" s="226"/>
      <c r="R72" s="226"/>
      <c r="S72" s="226"/>
    </row>
    <row r="73" spans="1:19" ht="17.25" thickBot="1">
      <c r="A73" s="125" t="s">
        <v>222</v>
      </c>
      <c r="B73" s="126">
        <v>106</v>
      </c>
      <c r="C73" s="77">
        <v>0.1181434599</v>
      </c>
      <c r="D73" s="15">
        <v>115</v>
      </c>
      <c r="E73" s="32">
        <f t="shared" si="30"/>
        <v>8.4905660377358486E-2</v>
      </c>
      <c r="F73" s="18">
        <f>IF(ISNUMBER(D73), $B91 * E73, "")</f>
        <v>8490.566037735849</v>
      </c>
      <c r="G73" s="31">
        <v>115</v>
      </c>
      <c r="H73" s="32">
        <f t="shared" si="31"/>
        <v>8.4905660377358486E-2</v>
      </c>
      <c r="I73" s="101">
        <f>IF(ISNUMBER(G73), $B91 * H73, "")</f>
        <v>8490.566037735849</v>
      </c>
      <c r="J73" s="15">
        <v>108</v>
      </c>
      <c r="K73" s="32">
        <f t="shared" si="32"/>
        <v>1.8867924528301886E-2</v>
      </c>
      <c r="L73" s="18">
        <f>IF(ISNUMBER(J73), $B91 * K73, "")</f>
        <v>1886.7924528301885</v>
      </c>
      <c r="M73" s="31">
        <v>110</v>
      </c>
      <c r="N73" s="32">
        <f t="shared" si="33"/>
        <v>3.7735849056603772E-2</v>
      </c>
      <c r="O73" s="18">
        <f>IF(ISNUMBER(M73), $B91 * N73, "")</f>
        <v>3773.584905660377</v>
      </c>
      <c r="Q73" s="216"/>
      <c r="R73" s="216"/>
      <c r="S73" s="216"/>
    </row>
    <row r="74" spans="1:19" ht="17.25" thickBot="1">
      <c r="A74" s="125" t="s">
        <v>218</v>
      </c>
      <c r="B74" s="126">
        <v>106</v>
      </c>
      <c r="C74" s="77">
        <v>0.10647181629999999</v>
      </c>
      <c r="D74" s="15">
        <v>119</v>
      </c>
      <c r="E74" s="32">
        <f t="shared" si="30"/>
        <v>0.12264150943396226</v>
      </c>
      <c r="F74" s="18">
        <f>IF(ISNUMBER(D74), $B91 * E74, "")</f>
        <v>12264.150943396227</v>
      </c>
      <c r="G74" s="31">
        <v>115</v>
      </c>
      <c r="H74" s="32">
        <f t="shared" si="31"/>
        <v>8.4905660377358486E-2</v>
      </c>
      <c r="I74" s="101">
        <f>IF(ISNUMBER(G74), $B91 * H74, "")</f>
        <v>8490.566037735849</v>
      </c>
      <c r="J74" s="15">
        <v>112</v>
      </c>
      <c r="K74" s="32">
        <f t="shared" si="32"/>
        <v>5.6603773584905662E-2</v>
      </c>
      <c r="L74" s="18">
        <f>IF(ISNUMBER(J74), $B91 * K74, "")</f>
        <v>5660.3773584905666</v>
      </c>
      <c r="M74" s="31">
        <v>111</v>
      </c>
      <c r="N74" s="32">
        <f t="shared" si="33"/>
        <v>4.716981132075472E-2</v>
      </c>
      <c r="O74" s="18">
        <f>IF(ISNUMBER(M74), $B91 * N74, "")</f>
        <v>4716.9811320754725</v>
      </c>
      <c r="Q74" s="216"/>
      <c r="R74" s="216"/>
      <c r="S74" s="216"/>
    </row>
    <row r="75" spans="1:19" ht="17.25" thickBot="1">
      <c r="A75" s="127" t="s">
        <v>110</v>
      </c>
      <c r="B75" s="128">
        <v>127</v>
      </c>
      <c r="C75" s="78">
        <v>0.1043478261</v>
      </c>
      <c r="D75" s="20">
        <v>136</v>
      </c>
      <c r="E75" s="21">
        <f t="shared" si="30"/>
        <v>7.0866141732283464E-2</v>
      </c>
      <c r="F75" s="22">
        <f>IF(ISNUMBER(D75), $B91 * E75, "")</f>
        <v>7086.6141732283468</v>
      </c>
      <c r="G75" s="30">
        <v>137</v>
      </c>
      <c r="H75" s="21">
        <f t="shared" si="31"/>
        <v>7.874015748031496E-2</v>
      </c>
      <c r="I75" s="105">
        <f>IF(ISNUMBER(G75), $B91 * H75, "")</f>
        <v>7874.0157480314956</v>
      </c>
      <c r="J75" s="20">
        <v>126</v>
      </c>
      <c r="K75" s="21">
        <f t="shared" si="32"/>
        <v>-7.874015748031496E-3</v>
      </c>
      <c r="L75" s="22">
        <f>IF(ISNUMBER(J75), $B91 * K75, "")</f>
        <v>-787.40157480314963</v>
      </c>
      <c r="M75" s="30">
        <v>126</v>
      </c>
      <c r="N75" s="21">
        <f t="shared" si="33"/>
        <v>-7.874015748031496E-3</v>
      </c>
      <c r="O75" s="22">
        <f>IF(ISNUMBER(M75), $B91 * N75, "")</f>
        <v>-787.40157480314963</v>
      </c>
      <c r="Q75" s="216"/>
      <c r="R75" s="216"/>
      <c r="S75" s="216"/>
    </row>
    <row r="76" spans="1:19" ht="17.25" thickBot="1">
      <c r="A76" s="125" t="s">
        <v>255</v>
      </c>
      <c r="B76" s="129">
        <v>217</v>
      </c>
      <c r="C76" s="80">
        <v>7.4257425700000004E-2</v>
      </c>
      <c r="D76" s="106">
        <v>205</v>
      </c>
      <c r="E76" s="107">
        <f>IF(ISNUMBER(D76), (D76 - $B76) / $B76, "")</f>
        <v>-5.5299539170506916E-2</v>
      </c>
      <c r="F76" s="108">
        <f>IF(ISNUMBER(D76), $B91 * E76, "")</f>
        <v>-5529.9539170506914</v>
      </c>
      <c r="G76" s="109">
        <v>210</v>
      </c>
      <c r="H76" s="107">
        <f>IF(ISNUMBER(G76), (G76 - $B76) / $B76, "")</f>
        <v>-3.2258064516129031E-2</v>
      </c>
      <c r="I76" s="110">
        <f>IF(ISNUMBER(G76), $B91 * H76, "")</f>
        <v>-3225.8064516129029</v>
      </c>
      <c r="J76" s="106">
        <v>200</v>
      </c>
      <c r="K76" s="107">
        <f>IF(ISNUMBER(J76), (J76 - $B76) / $B76, "")</f>
        <v>-7.8341013824884786E-2</v>
      </c>
      <c r="L76" s="108">
        <f>IF(ISNUMBER(J76), $B91 * K76, "")</f>
        <v>-7834.1013824884785</v>
      </c>
      <c r="M76" s="109">
        <v>205</v>
      </c>
      <c r="N76" s="107">
        <f>IF(ISNUMBER(M76), (M76 - $B76) / $B76, "")</f>
        <v>-5.5299539170506916E-2</v>
      </c>
      <c r="O76" s="108">
        <f>IF(ISNUMBER(M76), $B91 * N76, "")</f>
        <v>-5529.9539170506914</v>
      </c>
      <c r="Q76" s="216"/>
      <c r="R76" s="216"/>
      <c r="S76" s="216"/>
    </row>
    <row r="77" spans="1:19" ht="17.25" thickBot="1">
      <c r="A77" s="125" t="s">
        <v>114</v>
      </c>
      <c r="B77" s="126">
        <v>328</v>
      </c>
      <c r="C77" s="77">
        <v>6.1488673100000002E-2</v>
      </c>
      <c r="D77" s="15">
        <v>311</v>
      </c>
      <c r="E77" s="32">
        <f t="shared" ref="E77:E80" si="34">IF(ISNUMBER(D77), (D77 - $B77) / $B77, "")</f>
        <v>-5.1829268292682924E-2</v>
      </c>
      <c r="F77" s="18">
        <f>IF(ISNUMBER(D77), $B91 * E77, "")</f>
        <v>-5182.9268292682927</v>
      </c>
      <c r="G77" s="31">
        <v>326</v>
      </c>
      <c r="H77" s="32">
        <f t="shared" ref="H77:H80" si="35">IF(ISNUMBER(G77), (G77 - $B77) / $B77, "")</f>
        <v>-6.0975609756097563E-3</v>
      </c>
      <c r="I77" s="101">
        <f>IF(ISNUMBER(G77), $B91 * H77, "")</f>
        <v>-609.7560975609756</v>
      </c>
      <c r="J77" s="15">
        <v>306</v>
      </c>
      <c r="K77" s="32">
        <f t="shared" ref="K77:K80" si="36">IF(ISNUMBER(J77), (J77 - $B77) / $B77, "")</f>
        <v>-6.7073170731707321E-2</v>
      </c>
      <c r="L77" s="18">
        <f>IF(ISNUMBER(J77), $B91 * K77, "")</f>
        <v>-6707.3170731707323</v>
      </c>
      <c r="M77" s="31">
        <v>312</v>
      </c>
      <c r="N77" s="32">
        <f t="shared" ref="N77:N80" si="37">IF(ISNUMBER(M77), (M77 - $B77) / $B77, "")</f>
        <v>-4.878048780487805E-2</v>
      </c>
      <c r="O77" s="18">
        <f>IF(ISNUMBER(M77), $B91 * N77, "")</f>
        <v>-4878.0487804878048</v>
      </c>
      <c r="Q77" s="216"/>
      <c r="R77" s="216"/>
      <c r="S77" s="216"/>
    </row>
    <row r="78" spans="1:19" ht="17.25" thickBot="1">
      <c r="A78" s="125" t="s">
        <v>253</v>
      </c>
      <c r="B78" s="126">
        <v>764</v>
      </c>
      <c r="C78" s="77">
        <v>6.1111111099999997E-2</v>
      </c>
      <c r="D78" s="15">
        <v>846</v>
      </c>
      <c r="E78" s="32">
        <f t="shared" si="34"/>
        <v>0.10732984293193717</v>
      </c>
      <c r="F78" s="18">
        <f>IF(ISNUMBER(D78), $B91 * E78, "")</f>
        <v>10732.984293193718</v>
      </c>
      <c r="G78" s="31">
        <v>927</v>
      </c>
      <c r="H78" s="32">
        <f t="shared" si="35"/>
        <v>0.21335078534031413</v>
      </c>
      <c r="I78" s="101">
        <f>IF(ISNUMBER(G78), $B91 * H78, "")</f>
        <v>21335.078534031414</v>
      </c>
      <c r="J78" s="15">
        <v>854</v>
      </c>
      <c r="K78" s="32">
        <f t="shared" si="36"/>
        <v>0.11780104712041885</v>
      </c>
      <c r="L78" s="18">
        <f>IF(ISNUMBER(J78), $B91 * K78, "")</f>
        <v>11780.104712041884</v>
      </c>
      <c r="M78" s="31">
        <v>880</v>
      </c>
      <c r="N78" s="32">
        <f t="shared" si="37"/>
        <v>0.15183246073298429</v>
      </c>
      <c r="O78" s="18">
        <f>IF(ISNUMBER(M78), $B91 * N78, "")</f>
        <v>15183.246073298429</v>
      </c>
      <c r="Q78" s="216"/>
      <c r="R78" s="216"/>
      <c r="S78" s="216"/>
    </row>
    <row r="79" spans="1:19" ht="17.25" thickBot="1">
      <c r="A79" s="125" t="s">
        <v>220</v>
      </c>
      <c r="B79" s="126">
        <v>128</v>
      </c>
      <c r="C79" s="77">
        <v>5.7851239700000001E-2</v>
      </c>
      <c r="D79" s="15">
        <v>176</v>
      </c>
      <c r="E79" s="32">
        <f t="shared" si="34"/>
        <v>0.375</v>
      </c>
      <c r="F79" s="18">
        <f>IF(ISNUMBER(D79), $B91 * E79, "")</f>
        <v>37500</v>
      </c>
      <c r="G79" s="31">
        <v>175</v>
      </c>
      <c r="H79" s="32">
        <f t="shared" si="35"/>
        <v>0.3671875</v>
      </c>
      <c r="I79" s="101">
        <f>IF(ISNUMBER(G79), $B91 * H79, "")</f>
        <v>36718.75</v>
      </c>
      <c r="J79" s="15">
        <v>168</v>
      </c>
      <c r="K79" s="32">
        <f t="shared" si="36"/>
        <v>0.3125</v>
      </c>
      <c r="L79" s="18">
        <f>IF(ISNUMBER(J79), $B91 * K79, "")</f>
        <v>31250</v>
      </c>
      <c r="M79" s="31">
        <v>166</v>
      </c>
      <c r="N79" s="32">
        <f t="shared" si="37"/>
        <v>0.296875</v>
      </c>
      <c r="O79" s="18">
        <f>IF(ISNUMBER(M79), $B91 * N79, "")</f>
        <v>29687.5</v>
      </c>
      <c r="Q79" s="33"/>
      <c r="R79" s="33"/>
    </row>
    <row r="80" spans="1:19" ht="17.25" thickBot="1">
      <c r="A80" s="130" t="s">
        <v>164</v>
      </c>
      <c r="B80" s="131">
        <v>251</v>
      </c>
      <c r="C80" s="79">
        <v>5.0209205E-2</v>
      </c>
      <c r="D80" s="24">
        <v>241</v>
      </c>
      <c r="E80" s="25">
        <f t="shared" si="34"/>
        <v>-3.9840637450199202E-2</v>
      </c>
      <c r="F80" s="104">
        <f>IF(ISNUMBER(D80), $B91 * E80, "")</f>
        <v>-3984.0637450199201</v>
      </c>
      <c r="G80" s="102">
        <v>246</v>
      </c>
      <c r="H80" s="25">
        <f t="shared" si="35"/>
        <v>-1.9920318725099601E-2</v>
      </c>
      <c r="I80" s="103">
        <f>IF(ISNUMBER(G80), $B91 * H80, "")</f>
        <v>-1992.0318725099601</v>
      </c>
      <c r="J80" s="24">
        <v>232</v>
      </c>
      <c r="K80" s="25">
        <f t="shared" si="36"/>
        <v>-7.5697211155378488E-2</v>
      </c>
      <c r="L80" s="104">
        <f>IF(ISNUMBER(J80), $B91 * K80, "")</f>
        <v>-7569.7211155378491</v>
      </c>
      <c r="M80" s="102">
        <v>240</v>
      </c>
      <c r="N80" s="25">
        <f t="shared" si="37"/>
        <v>-4.3824701195219126E-2</v>
      </c>
      <c r="O80" s="104">
        <f>IF(ISNUMBER(M80), $B91 * N80, "")</f>
        <v>-4382.4701195219122</v>
      </c>
      <c r="Q80" s="217"/>
      <c r="R80" s="218"/>
      <c r="S80" s="219"/>
    </row>
    <row r="81" spans="1:19">
      <c r="A81" s="123" t="s">
        <v>166</v>
      </c>
      <c r="B81" s="124">
        <v>125</v>
      </c>
      <c r="C81" s="76">
        <v>4.16666667E-2</v>
      </c>
      <c r="D81" s="13">
        <v>138</v>
      </c>
      <c r="E81" s="14">
        <f>IF(ISNUMBER(D81), (D81 - $B81) / $B81, "")</f>
        <v>0.104</v>
      </c>
      <c r="F81" s="16">
        <f>IF(ISNUMBER(D81), $B91 * E81, "")</f>
        <v>10400</v>
      </c>
      <c r="G81" s="29">
        <v>138</v>
      </c>
      <c r="H81" s="14">
        <f>IF(ISNUMBER(G81), (G81 - $B81) / $B81, "")</f>
        <v>0.104</v>
      </c>
      <c r="I81" s="100">
        <f>IF(ISNUMBER(G81), $B91 * H81, "")</f>
        <v>10400</v>
      </c>
      <c r="J81" s="13">
        <v>130</v>
      </c>
      <c r="K81" s="14">
        <f>IF(ISNUMBER(J81), (J81 - $B81) / $B81, "")</f>
        <v>0.04</v>
      </c>
      <c r="L81" s="16">
        <f>IF(ISNUMBER(J81), $B91 * K81, "")</f>
        <v>4000</v>
      </c>
      <c r="M81" s="29">
        <v>130</v>
      </c>
      <c r="N81" s="14">
        <f>IF(ISNUMBER(M81), (M81 - $B81) / $B81, "")</f>
        <v>0.04</v>
      </c>
      <c r="O81" s="16">
        <f>IF(ISNUMBER(M81), $B91 * N81, "")</f>
        <v>4000</v>
      </c>
      <c r="Q81" s="220"/>
      <c r="R81" s="221"/>
      <c r="S81" s="222"/>
    </row>
    <row r="82" spans="1:19" ht="17.25" thickBot="1">
      <c r="A82" s="125" t="s">
        <v>194</v>
      </c>
      <c r="B82" s="126">
        <v>129</v>
      </c>
      <c r="C82" s="77">
        <v>4.0322580599999998E-2</v>
      </c>
      <c r="D82" s="15">
        <v>137</v>
      </c>
      <c r="E82" s="32">
        <f t="shared" ref="E82:E85" si="38">IF(ISNUMBER(D82), (D82 - $B82) / $B82, "")</f>
        <v>6.2015503875968991E-2</v>
      </c>
      <c r="F82" s="18">
        <f>IF(ISNUMBER(D82), $B91 * E82, "")</f>
        <v>6201.5503875968989</v>
      </c>
      <c r="G82" s="31">
        <v>137</v>
      </c>
      <c r="H82" s="32">
        <f t="shared" ref="H82:H85" si="39">IF(ISNUMBER(G82), (G82 - $B82) / $B82, "")</f>
        <v>6.2015503875968991E-2</v>
      </c>
      <c r="I82" s="101">
        <f>IF(ISNUMBER(G82), $B91 * H82, "")</f>
        <v>6201.5503875968989</v>
      </c>
      <c r="J82" s="15">
        <v>127</v>
      </c>
      <c r="K82" s="32">
        <f t="shared" ref="K82:K85" si="40">IF(ISNUMBER(J82), (J82 - $B82) / $B82, "")</f>
        <v>-1.5503875968992248E-2</v>
      </c>
      <c r="L82" s="18">
        <f>IF(ISNUMBER(J82), $B91 * K82, "")</f>
        <v>-1550.3875968992247</v>
      </c>
      <c r="M82" s="31">
        <v>130</v>
      </c>
      <c r="N82" s="32">
        <f t="shared" ref="N82:N85" si="41">IF(ISNUMBER(M82), (M82 - $B82) / $B82, "")</f>
        <v>7.7519379844961239E-3</v>
      </c>
      <c r="O82" s="18">
        <f>IF(ISNUMBER(M82), $B91 * N82, "")</f>
        <v>775.19379844961236</v>
      </c>
      <c r="Q82" s="223"/>
      <c r="R82" s="224"/>
      <c r="S82" s="225"/>
    </row>
    <row r="83" spans="1:19" ht="17.25" thickBot="1">
      <c r="A83" s="125" t="s">
        <v>124</v>
      </c>
      <c r="B83" s="126">
        <v>292</v>
      </c>
      <c r="C83" s="77">
        <v>3.1802120099999998E-2</v>
      </c>
      <c r="D83" s="15">
        <v>295</v>
      </c>
      <c r="E83" s="32">
        <f t="shared" si="38"/>
        <v>1.0273972602739725E-2</v>
      </c>
      <c r="F83" s="18">
        <f>IF(ISNUMBER(D83), $B91 * E83, "")</f>
        <v>1027.3972602739725</v>
      </c>
      <c r="G83" s="31">
        <v>315</v>
      </c>
      <c r="H83" s="32">
        <f t="shared" si="39"/>
        <v>7.8767123287671229E-2</v>
      </c>
      <c r="I83" s="101">
        <f>IF(ISNUMBER(G83), $B91 * H83, "")</f>
        <v>7876.7123287671229</v>
      </c>
      <c r="J83" s="15">
        <v>308</v>
      </c>
      <c r="K83" s="32">
        <f t="shared" si="40"/>
        <v>5.4794520547945202E-2</v>
      </c>
      <c r="L83" s="18">
        <f>IF(ISNUMBER(J83), $B91 * K83, "")</f>
        <v>5479.4520547945203</v>
      </c>
      <c r="M83" s="31">
        <v>331</v>
      </c>
      <c r="N83" s="32">
        <f t="shared" si="41"/>
        <v>0.13356164383561644</v>
      </c>
      <c r="O83" s="18">
        <f>IF(ISNUMBER(M83), $B91 * N83, "")</f>
        <v>13356.164383561645</v>
      </c>
      <c r="Q83" s="216"/>
      <c r="R83" s="216"/>
      <c r="S83" s="216"/>
    </row>
    <row r="84" spans="1:19" ht="17.25" thickBot="1">
      <c r="A84" s="125" t="s">
        <v>231</v>
      </c>
      <c r="B84" s="126">
        <v>144</v>
      </c>
      <c r="C84" s="77">
        <v>2.85714286E-2</v>
      </c>
      <c r="D84" s="15">
        <v>161</v>
      </c>
      <c r="E84" s="32">
        <f t="shared" si="38"/>
        <v>0.11805555555555555</v>
      </c>
      <c r="F84" s="18">
        <f>IF(ISNUMBER(D84), $B91 * E84, "")</f>
        <v>11805.555555555555</v>
      </c>
      <c r="G84" s="31">
        <v>161</v>
      </c>
      <c r="H84" s="32">
        <f t="shared" si="39"/>
        <v>0.11805555555555555</v>
      </c>
      <c r="I84" s="101">
        <f>IF(ISNUMBER(G84), $B91 * H84, "")</f>
        <v>11805.555555555555</v>
      </c>
      <c r="J84" s="15">
        <v>149</v>
      </c>
      <c r="K84" s="32">
        <f t="shared" si="40"/>
        <v>3.4722222222222224E-2</v>
      </c>
      <c r="L84" s="18">
        <f>IF(ISNUMBER(J84), $B91 * K84, "")</f>
        <v>3472.2222222222222</v>
      </c>
      <c r="M84" s="31">
        <v>152</v>
      </c>
      <c r="N84" s="32">
        <f t="shared" si="41"/>
        <v>5.5555555555555552E-2</v>
      </c>
      <c r="O84" s="18">
        <f>IF(ISNUMBER(M84), $B91 * N84, "")</f>
        <v>5555.5555555555557</v>
      </c>
      <c r="Q84" s="226"/>
      <c r="R84" s="226"/>
      <c r="S84" s="226"/>
    </row>
    <row r="85" spans="1:19" ht="17.25" thickBot="1">
      <c r="A85" s="127" t="s">
        <v>192</v>
      </c>
      <c r="B85" s="128">
        <v>198</v>
      </c>
      <c r="C85" s="78">
        <v>2.59067358E-2</v>
      </c>
      <c r="D85" s="20">
        <v>203</v>
      </c>
      <c r="E85" s="21">
        <f t="shared" si="38"/>
        <v>2.5252525252525252E-2</v>
      </c>
      <c r="F85" s="22">
        <f>IF(ISNUMBER(D85), $B91 * E85, "")</f>
        <v>2525.2525252525252</v>
      </c>
      <c r="G85" s="30">
        <v>205</v>
      </c>
      <c r="H85" s="21">
        <f t="shared" si="39"/>
        <v>3.5353535353535352E-2</v>
      </c>
      <c r="I85" s="105">
        <f>IF(ISNUMBER(G85), $B91 * H85, "")</f>
        <v>3535.3535353535353</v>
      </c>
      <c r="J85" s="20">
        <v>189</v>
      </c>
      <c r="K85" s="21">
        <f t="shared" si="40"/>
        <v>-4.5454545454545456E-2</v>
      </c>
      <c r="L85" s="22">
        <f>IF(ISNUMBER(J85), $B91 * K85, "")</f>
        <v>-4545.454545454546</v>
      </c>
      <c r="M85" s="30">
        <v>193</v>
      </c>
      <c r="N85" s="21">
        <f t="shared" si="41"/>
        <v>-2.5252525252525252E-2</v>
      </c>
      <c r="O85" s="22">
        <f>IF(ISNUMBER(M85), $B91 * N85, "")</f>
        <v>-2525.2525252525252</v>
      </c>
      <c r="Q85" s="226"/>
      <c r="R85" s="226"/>
      <c r="S85" s="226"/>
    </row>
    <row r="86" spans="1:19" ht="17.25" thickBot="1">
      <c r="A86" s="125" t="s">
        <v>90</v>
      </c>
      <c r="B86" s="129">
        <v>803</v>
      </c>
      <c r="C86" s="80">
        <v>2.5542784200000002E-2</v>
      </c>
      <c r="D86" s="106">
        <v>786</v>
      </c>
      <c r="E86" s="107">
        <f>IF(ISNUMBER(D86), (D86 - $B86) / $B86, "")</f>
        <v>-2.1170610211706103E-2</v>
      </c>
      <c r="F86" s="108">
        <f>IF(ISNUMBER(D86), $B91 * E86, "")</f>
        <v>-2117.0610211706103</v>
      </c>
      <c r="G86" s="109">
        <v>791</v>
      </c>
      <c r="H86" s="107">
        <f>IF(ISNUMBER(G86), (G86 - $B86) / $B86, "")</f>
        <v>-1.4943960149439602E-2</v>
      </c>
      <c r="I86" s="110">
        <f>IF(ISNUMBER(G86), $B91 * H86, "")</f>
        <v>-1494.3960149439602</v>
      </c>
      <c r="J86" s="106">
        <v>764</v>
      </c>
      <c r="K86" s="107">
        <f>IF(ISNUMBER(J86), (J86 - $B86) / $B86, "")</f>
        <v>-4.8567870485678705E-2</v>
      </c>
      <c r="L86" s="108">
        <f>IF(ISNUMBER(J86), $B91 * K86, "")</f>
        <v>-4856.7870485678704</v>
      </c>
      <c r="M86" s="109">
        <v>768</v>
      </c>
      <c r="N86" s="107">
        <f>IF(ISNUMBER(M86), (M86 - $B86) / $B86, "")</f>
        <v>-4.3586550435865505E-2</v>
      </c>
      <c r="O86" s="108">
        <f>IF(ISNUMBER(M86), $B91 * N86, "")</f>
        <v>-4358.6550435865502</v>
      </c>
      <c r="Q86" s="216"/>
      <c r="R86" s="216"/>
      <c r="S86" s="216"/>
    </row>
    <row r="87" spans="1:19" ht="17.25" thickBot="1">
      <c r="A87" s="125" t="s">
        <v>104</v>
      </c>
      <c r="B87" s="126">
        <v>838</v>
      </c>
      <c r="C87" s="77">
        <v>2.1951219500000001E-2</v>
      </c>
      <c r="D87" s="15">
        <v>812</v>
      </c>
      <c r="E87" s="32">
        <f t="shared" ref="E87:E90" si="42">IF(ISNUMBER(D87), (D87 - $B87) / $B87, "")</f>
        <v>-3.1026252983293555E-2</v>
      </c>
      <c r="F87" s="18">
        <f>IF(ISNUMBER(D87), $B91 * E87, "")</f>
        <v>-3102.6252983293557</v>
      </c>
      <c r="G87" s="31">
        <v>818</v>
      </c>
      <c r="H87" s="32">
        <f t="shared" ref="H87:H90" si="43">IF(ISNUMBER(G87), (G87 - $B87) / $B87, "")</f>
        <v>-2.386634844868735E-2</v>
      </c>
      <c r="I87" s="101">
        <f>IF(ISNUMBER(G87), $B91 * H87, "")</f>
        <v>-2386.6348448687349</v>
      </c>
      <c r="J87" s="15">
        <v>798</v>
      </c>
      <c r="K87" s="32">
        <f t="shared" ref="K87:K90" si="44">IF(ISNUMBER(J87), (J87 - $B87) / $B87, "")</f>
        <v>-4.77326968973747E-2</v>
      </c>
      <c r="L87" s="18">
        <f>IF(ISNUMBER(J87), $B91 * K87, "")</f>
        <v>-4773.2696897374699</v>
      </c>
      <c r="M87" s="31">
        <v>806</v>
      </c>
      <c r="N87" s="32">
        <f t="shared" ref="N87:N90" si="45">IF(ISNUMBER(M87), (M87 - $B87) / $B87, "")</f>
        <v>-3.8186157517899763E-2</v>
      </c>
      <c r="O87" s="18">
        <f>IF(ISNUMBER(M87), $B91 * N87, "")</f>
        <v>-3818.6157517899765</v>
      </c>
      <c r="Q87" s="216"/>
      <c r="R87" s="216"/>
      <c r="S87" s="216"/>
    </row>
    <row r="88" spans="1:19" ht="17.25" thickBot="1">
      <c r="A88" s="125" t="s">
        <v>118</v>
      </c>
      <c r="B88" s="126">
        <v>142</v>
      </c>
      <c r="C88" s="77">
        <v>2.15827338E-2</v>
      </c>
      <c r="D88" s="15">
        <v>138</v>
      </c>
      <c r="E88" s="32">
        <f t="shared" si="42"/>
        <v>-2.8169014084507043E-2</v>
      </c>
      <c r="F88" s="18">
        <f>IF(ISNUMBER(D88), $B91 * E88, "")</f>
        <v>-2816.9014084507044</v>
      </c>
      <c r="G88" s="31">
        <v>138</v>
      </c>
      <c r="H88" s="32">
        <f t="shared" si="43"/>
        <v>-2.8169014084507043E-2</v>
      </c>
      <c r="I88" s="101">
        <f>IF(ISNUMBER(G88), $B91 * H88, "")</f>
        <v>-2816.9014084507044</v>
      </c>
      <c r="J88" s="15">
        <v>132</v>
      </c>
      <c r="K88" s="32">
        <f t="shared" si="44"/>
        <v>-7.0422535211267609E-2</v>
      </c>
      <c r="L88" s="18">
        <f>IF(ISNUMBER(J88), $B91 * K88, "")</f>
        <v>-7042.2535211267605</v>
      </c>
      <c r="M88" s="31">
        <v>135</v>
      </c>
      <c r="N88" s="32">
        <f t="shared" si="45"/>
        <v>-4.9295774647887321E-2</v>
      </c>
      <c r="O88" s="18">
        <f>IF(ISNUMBER(M88), $B91 * N88, "")</f>
        <v>-4929.577464788732</v>
      </c>
      <c r="Q88" s="216"/>
      <c r="R88" s="216"/>
      <c r="S88" s="216"/>
    </row>
    <row r="89" spans="1:19">
      <c r="A89" s="125" t="s">
        <v>108</v>
      </c>
      <c r="B89" s="126">
        <v>989</v>
      </c>
      <c r="C89" s="77">
        <v>1.9587628900000001E-2</v>
      </c>
      <c r="D89" s="15">
        <v>954</v>
      </c>
      <c r="E89" s="32">
        <f t="shared" si="42"/>
        <v>-3.5389282103134481E-2</v>
      </c>
      <c r="F89" s="18">
        <f>IF(ISNUMBER(D89), $B91 * E89, "")</f>
        <v>-3538.9282103134483</v>
      </c>
      <c r="G89" s="31">
        <v>984</v>
      </c>
      <c r="H89" s="32">
        <f t="shared" si="43"/>
        <v>-5.0556117290192111E-3</v>
      </c>
      <c r="I89" s="101">
        <f>IF(ISNUMBER(G89), $B91 * H89, "")</f>
        <v>-505.56117290192111</v>
      </c>
      <c r="J89" s="15">
        <v>940</v>
      </c>
      <c r="K89" s="32">
        <f t="shared" si="44"/>
        <v>-4.9544994944388271E-2</v>
      </c>
      <c r="L89" s="18">
        <f>IF(ISNUMBER(J89), $B91 * K89, "")</f>
        <v>-4954.4994944388272</v>
      </c>
      <c r="M89" s="31">
        <v>1000</v>
      </c>
      <c r="N89" s="32">
        <f t="shared" si="45"/>
        <v>1.1122345803842264E-2</v>
      </c>
      <c r="O89" s="18">
        <f>IF(ISNUMBER(M89), $B91 * N89, "")</f>
        <v>1112.2345803842263</v>
      </c>
      <c r="Q89" s="205"/>
      <c r="R89" s="206"/>
      <c r="S89" s="207"/>
    </row>
    <row r="90" spans="1:19" ht="17.25" thickBot="1">
      <c r="A90" s="130" t="s">
        <v>51</v>
      </c>
      <c r="B90" s="131">
        <v>313</v>
      </c>
      <c r="C90" s="79">
        <v>1.9543973900000001E-2</v>
      </c>
      <c r="D90" s="24">
        <v>303</v>
      </c>
      <c r="E90" s="25">
        <f t="shared" si="42"/>
        <v>-3.1948881789137379E-2</v>
      </c>
      <c r="F90" s="104">
        <f>IF(ISNUMBER(D90), $B91 * E90, "")</f>
        <v>-3194.8881789137381</v>
      </c>
      <c r="G90" s="102">
        <v>305</v>
      </c>
      <c r="H90" s="25">
        <f t="shared" si="43"/>
        <v>-2.5559105431309903E-2</v>
      </c>
      <c r="I90" s="103">
        <f>IF(ISNUMBER(G90), $B91 * H90, "")</f>
        <v>-2555.9105431309904</v>
      </c>
      <c r="J90" s="24">
        <v>297</v>
      </c>
      <c r="K90" s="25">
        <f t="shared" si="44"/>
        <v>-5.1118210862619806E-2</v>
      </c>
      <c r="L90" s="104">
        <f>IF(ISNUMBER(J90), $B91 * K90, "")</f>
        <v>-5111.8210862619808</v>
      </c>
      <c r="M90" s="102">
        <v>297</v>
      </c>
      <c r="N90" s="25">
        <f t="shared" si="45"/>
        <v>-5.1118210862619806E-2</v>
      </c>
      <c r="O90" s="104">
        <f>IF(ISNUMBER(M90), $B91 * N90, "")</f>
        <v>-5111.8210862619808</v>
      </c>
      <c r="Q90" s="208"/>
      <c r="R90" s="209"/>
      <c r="S90" s="210"/>
    </row>
    <row r="91" spans="1:19" ht="17.25" thickBot="1">
      <c r="A91" s="132" t="s">
        <v>271</v>
      </c>
      <c r="B91" s="269">
        <f>$B$37</f>
        <v>100000</v>
      </c>
      <c r="C91" s="270"/>
      <c r="D91" s="26" t="s">
        <v>272</v>
      </c>
      <c r="E91" s="27">
        <f>IF(COUNT(E71:E90), SUM(E71:E90) / COUNT(E71:E90), 0)</f>
        <v>3.578336128385818E-2</v>
      </c>
      <c r="F91" s="28">
        <f>SUM(F71:F90)</f>
        <v>71566.722567716322</v>
      </c>
      <c r="G91" s="26" t="s">
        <v>272</v>
      </c>
      <c r="H91" s="27">
        <f>IF(COUNT(H71:H90), SUM(H71:H90) / COUNT(H71:H90), 0)</f>
        <v>5.1194635029789715E-2</v>
      </c>
      <c r="I91" s="28">
        <f>SUM(I71:I90)</f>
        <v>102389.27005957944</v>
      </c>
      <c r="J91" s="26" t="s">
        <v>272</v>
      </c>
      <c r="K91" s="27">
        <f>IF(COUNT(K71:K90), SUM(K71:K90) / COUNT(K71:K90), 0)</f>
        <v>-3.7336116114221737E-3</v>
      </c>
      <c r="L91" s="28">
        <f>SUM(L71:L90)</f>
        <v>-7467.2232228443472</v>
      </c>
      <c r="M91" s="26" t="s">
        <v>272</v>
      </c>
      <c r="N91" s="27">
        <f>IF(COUNT(N71:N90), SUM(N71:N90) / COUNT(N71:N90), 0)</f>
        <v>1.4163692984976634E-2</v>
      </c>
      <c r="O91" s="28">
        <f>SUM(O71:O90)</f>
        <v>28327.38596995327</v>
      </c>
      <c r="Q91" s="211"/>
      <c r="R91" s="212"/>
      <c r="S91" s="213"/>
    </row>
    <row r="93" spans="1:19" ht="17.25" thickBot="1"/>
    <row r="94" spans="1:19" ht="17.25" thickBot="1">
      <c r="A94" s="227" t="s">
        <v>46</v>
      </c>
      <c r="B94" s="228"/>
      <c r="C94" s="228"/>
      <c r="D94" s="228"/>
      <c r="E94" s="228"/>
      <c r="F94" s="228"/>
      <c r="G94" s="228"/>
      <c r="H94" s="228"/>
      <c r="I94" s="228"/>
      <c r="J94" s="228"/>
      <c r="K94" s="228"/>
      <c r="L94" s="228"/>
      <c r="M94" s="228"/>
      <c r="N94" s="228"/>
      <c r="O94" s="229"/>
      <c r="Q94" s="226"/>
      <c r="R94" s="226"/>
      <c r="S94" s="226"/>
    </row>
    <row r="95" spans="1:19" ht="17.25" thickBot="1">
      <c r="A95" s="173" t="s">
        <v>268</v>
      </c>
      <c r="B95" s="227" t="s">
        <v>49</v>
      </c>
      <c r="C95" s="229"/>
      <c r="D95" s="227" t="s">
        <v>58</v>
      </c>
      <c r="E95" s="228"/>
      <c r="F95" s="229"/>
      <c r="G95" s="230">
        <f>_xlfn.IFNA(VLOOKUP(B95, 현재가테이블!$B$2:$D$200, 2, FALSE), "-")</f>
        <v>39916000</v>
      </c>
      <c r="H95" s="231"/>
      <c r="I95" s="232"/>
      <c r="J95" s="227" t="s">
        <v>59</v>
      </c>
      <c r="K95" s="228"/>
      <c r="L95" s="229"/>
      <c r="M95" s="233">
        <f>_xlfn.IFNA(VLOOKUP(B95, 현재가테이블!$B$2:$D$200, 3, FALSE), "-")</f>
        <v>7.3184273000000003E-3</v>
      </c>
      <c r="N95" s="234"/>
      <c r="O95" s="235"/>
      <c r="Q95" s="226"/>
      <c r="R95" s="226"/>
      <c r="S95" s="226"/>
    </row>
    <row r="96" spans="1:19" ht="17.25" thickBot="1">
      <c r="A96" s="271" t="s">
        <v>55</v>
      </c>
      <c r="B96" s="267" t="str">
        <f>TEXT($G$1, "[$-ko-KR]yyyy-mm-dd(ddd) ") &amp; "오전 00:00"</f>
        <v>2021-07-05(월) 오전 00:00</v>
      </c>
      <c r="C96" s="268"/>
      <c r="D96" s="240" t="str">
        <f>TEXT($G$1, "[$-ko-KR]yyyy-mm-dd(ddd) ") &amp; "오후 14:00"</f>
        <v>2021-07-05(월) 오후 14:00</v>
      </c>
      <c r="E96" s="241"/>
      <c r="F96" s="242"/>
      <c r="G96" s="240" t="str">
        <f>TEXT($G$1, "[$-ko-KR]yyyy-mm-dd(ddd) ") &amp; "오후 19:00"</f>
        <v>2021-07-05(월) 오후 19:00</v>
      </c>
      <c r="H96" s="241"/>
      <c r="I96" s="242"/>
      <c r="J96" s="240" t="str">
        <f>TEXT($G$1, "[$-ko-KR]yyyy-mm-dd(ddd) ") &amp; "오후 21:00"</f>
        <v>2021-07-05(월) 오후 21:00</v>
      </c>
      <c r="K96" s="241"/>
      <c r="L96" s="242"/>
      <c r="M96" s="240" t="str">
        <f>TEXT($G$1+1, "[$-ko-KR]yyyy-mm-dd(ddd) ") &amp; "오전 00:00"</f>
        <v>2021-07-06(화) 오전 00:00</v>
      </c>
      <c r="N96" s="241"/>
      <c r="O96" s="242"/>
      <c r="Q96" s="226"/>
      <c r="R96" s="226"/>
      <c r="S96" s="226"/>
    </row>
    <row r="97" spans="1:19" ht="17.25" thickBot="1">
      <c r="A97" s="27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4" t="s">
        <v>58</v>
      </c>
      <c r="H97" s="175" t="s">
        <v>269</v>
      </c>
      <c r="I97" s="17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6"/>
      <c r="R97" s="216"/>
      <c r="S97" s="216"/>
    </row>
    <row r="98" spans="1:19" ht="17.25" thickBot="1">
      <c r="A98" s="123" t="s">
        <v>200</v>
      </c>
      <c r="B98" s="124">
        <v>133</v>
      </c>
      <c r="C98" s="76">
        <v>0.35852911129999998</v>
      </c>
      <c r="D98" s="13">
        <v>133</v>
      </c>
      <c r="E98" s="14">
        <f>IF(ISNUMBER(D98), (D98 - $B98) / $B98, "")</f>
        <v>0</v>
      </c>
      <c r="F98" s="16">
        <f>IF(ISNUMBER(D98), $B118 * E98, "")</f>
        <v>0</v>
      </c>
      <c r="G98" s="29">
        <v>132</v>
      </c>
      <c r="H98" s="14">
        <f>IF(ISNUMBER(G98), (G98 - $B98) / $B98, "")</f>
        <v>-7.5187969924812026E-3</v>
      </c>
      <c r="I98" s="100">
        <f>IF(ISNUMBER(G98), $B118 * H98, "")</f>
        <v>-751.87969924812023</v>
      </c>
      <c r="J98" s="13">
        <v>126</v>
      </c>
      <c r="K98" s="14">
        <f>IF(ISNUMBER(J98), (J98 - $B98) / $B98, "")</f>
        <v>-5.2631578947368418E-2</v>
      </c>
      <c r="L98" s="16">
        <f>IF(ISNUMBER(J98), $B118 * K98, "")</f>
        <v>-5263.1578947368416</v>
      </c>
      <c r="M98" s="29">
        <v>127</v>
      </c>
      <c r="N98" s="14">
        <f>IF(ISNUMBER(M98), (M98 - $B98) / $B98, "")</f>
        <v>-4.5112781954887216E-2</v>
      </c>
      <c r="O98" s="16">
        <f>IF(ISNUMBER(M98), $B118 * N98, "")</f>
        <v>-4511.2781954887214</v>
      </c>
      <c r="Q98" s="226"/>
      <c r="R98" s="226"/>
      <c r="S98" s="226"/>
    </row>
    <row r="99" spans="1:19" ht="17.25" thickBot="1">
      <c r="A99" s="125" t="s">
        <v>243</v>
      </c>
      <c r="B99" s="126">
        <v>400</v>
      </c>
      <c r="C99" s="77">
        <v>0.16279069769999999</v>
      </c>
      <c r="D99" s="15">
        <v>372</v>
      </c>
      <c r="E99" s="32">
        <f t="shared" ref="E99:E102" si="46">IF(ISNUMBER(D99), (D99 - $B99) / $B99, "")</f>
        <v>-7.0000000000000007E-2</v>
      </c>
      <c r="F99" s="18">
        <f>IF(ISNUMBER(D99), $B118 * E99, "")</f>
        <v>-7000.0000000000009</v>
      </c>
      <c r="G99" s="31">
        <v>384</v>
      </c>
      <c r="H99" s="32">
        <f t="shared" ref="H99:H102" si="47">IF(ISNUMBER(G99), (G99 - $B99) / $B99, "")</f>
        <v>-0.04</v>
      </c>
      <c r="I99" s="101">
        <f>IF(ISNUMBER(G99), $B118 * H99, "")</f>
        <v>-4000</v>
      </c>
      <c r="J99" s="15">
        <v>360</v>
      </c>
      <c r="K99" s="32">
        <f t="shared" ref="K99:K102" si="48">IF(ISNUMBER(J99), (J99 - $B99) / $B99, "")</f>
        <v>-0.1</v>
      </c>
      <c r="L99" s="18">
        <f>IF(ISNUMBER(J99), $B118 * K99, "")</f>
        <v>-10000</v>
      </c>
      <c r="M99" s="31">
        <v>364</v>
      </c>
      <c r="N99" s="32">
        <f t="shared" ref="N99:N102" si="49">IF(ISNUMBER(M99), (M99 - $B99) / $B99, "")</f>
        <v>-0.09</v>
      </c>
      <c r="O99" s="18">
        <f>IF(ISNUMBER(M99), $B118 * N99, "")</f>
        <v>-9000</v>
      </c>
      <c r="Q99" s="226"/>
      <c r="R99" s="226"/>
      <c r="S99" s="226"/>
    </row>
    <row r="100" spans="1:19" ht="17.25" thickBot="1">
      <c r="A100" s="125" t="s">
        <v>222</v>
      </c>
      <c r="B100" s="126">
        <v>106</v>
      </c>
      <c r="C100" s="77">
        <v>0.1181434599</v>
      </c>
      <c r="D100" s="15">
        <v>115</v>
      </c>
      <c r="E100" s="32">
        <f t="shared" si="46"/>
        <v>8.4905660377358486E-2</v>
      </c>
      <c r="F100" s="18">
        <f>IF(ISNUMBER(D100), $B118 * E100, "")</f>
        <v>8490.566037735849</v>
      </c>
      <c r="G100" s="31">
        <v>115</v>
      </c>
      <c r="H100" s="32">
        <f t="shared" si="47"/>
        <v>8.4905660377358486E-2</v>
      </c>
      <c r="I100" s="101">
        <f>IF(ISNUMBER(G100), $B118 * H100, "")</f>
        <v>8490.566037735849</v>
      </c>
      <c r="J100" s="15">
        <v>108</v>
      </c>
      <c r="K100" s="32">
        <f t="shared" si="48"/>
        <v>1.8867924528301886E-2</v>
      </c>
      <c r="L100" s="18">
        <f>IF(ISNUMBER(J100), $B118 * K100, "")</f>
        <v>1886.7924528301885</v>
      </c>
      <c r="M100" s="31">
        <v>110</v>
      </c>
      <c r="N100" s="32">
        <f t="shared" si="49"/>
        <v>3.7735849056603772E-2</v>
      </c>
      <c r="O100" s="18">
        <f>IF(ISNUMBER(M100), $B118 * N100, "")</f>
        <v>3773.584905660377</v>
      </c>
      <c r="Q100" s="216"/>
      <c r="R100" s="216"/>
      <c r="S100" s="216"/>
    </row>
    <row r="101" spans="1:19" ht="17.25" thickBot="1">
      <c r="A101" s="125" t="s">
        <v>154</v>
      </c>
      <c r="B101" s="126">
        <v>9995</v>
      </c>
      <c r="C101" s="77">
        <v>0.1167597765</v>
      </c>
      <c r="D101" s="15">
        <v>9680</v>
      </c>
      <c r="E101" s="32">
        <f t="shared" si="46"/>
        <v>-3.1515757878939468E-2</v>
      </c>
      <c r="F101" s="18">
        <f>IF(ISNUMBER(D101), $B118 * E101, "")</f>
        <v>-3151.5757878939467</v>
      </c>
      <c r="G101" s="31">
        <v>9440</v>
      </c>
      <c r="H101" s="32">
        <f t="shared" si="47"/>
        <v>-5.5527763881940972E-2</v>
      </c>
      <c r="I101" s="101">
        <f>IF(ISNUMBER(G101), $B118 * H101, "")</f>
        <v>-5552.7763881940973</v>
      </c>
      <c r="J101" s="15">
        <v>9205</v>
      </c>
      <c r="K101" s="32">
        <f t="shared" si="48"/>
        <v>-7.9039519759879939E-2</v>
      </c>
      <c r="L101" s="18">
        <f>IF(ISNUMBER(J101), $B118 * K101, "")</f>
        <v>-7903.951975987994</v>
      </c>
      <c r="M101" s="31">
        <v>9260</v>
      </c>
      <c r="N101" s="32">
        <f t="shared" si="49"/>
        <v>-7.3536768384192097E-2</v>
      </c>
      <c r="O101" s="18">
        <f>IF(ISNUMBER(M101), $B118 * N101, "")</f>
        <v>-7353.6768384192101</v>
      </c>
      <c r="Q101" s="216"/>
      <c r="R101" s="216"/>
      <c r="S101" s="216"/>
    </row>
    <row r="102" spans="1:19" ht="17.25" thickBot="1">
      <c r="A102" s="127" t="s">
        <v>218</v>
      </c>
      <c r="B102" s="128">
        <v>106</v>
      </c>
      <c r="C102" s="78">
        <v>0.10647181629999999</v>
      </c>
      <c r="D102" s="20">
        <v>119</v>
      </c>
      <c r="E102" s="21">
        <f t="shared" si="46"/>
        <v>0.12264150943396226</v>
      </c>
      <c r="F102" s="22">
        <f>IF(ISNUMBER(D102), $B118 * E102, "")</f>
        <v>12264.150943396227</v>
      </c>
      <c r="G102" s="30">
        <v>115</v>
      </c>
      <c r="H102" s="21">
        <f t="shared" si="47"/>
        <v>8.4905660377358486E-2</v>
      </c>
      <c r="I102" s="105">
        <f>IF(ISNUMBER(G102), $B118 * H102, "")</f>
        <v>8490.566037735849</v>
      </c>
      <c r="J102" s="20">
        <v>112</v>
      </c>
      <c r="K102" s="21">
        <f t="shared" si="48"/>
        <v>5.6603773584905662E-2</v>
      </c>
      <c r="L102" s="22">
        <f>IF(ISNUMBER(J102), $B118 * K102, "")</f>
        <v>5660.3773584905666</v>
      </c>
      <c r="M102" s="30">
        <v>111</v>
      </c>
      <c r="N102" s="21">
        <f t="shared" si="49"/>
        <v>4.716981132075472E-2</v>
      </c>
      <c r="O102" s="22">
        <f>IF(ISNUMBER(M102), $B118 * N102, "")</f>
        <v>4716.9811320754725</v>
      </c>
      <c r="Q102" s="216"/>
      <c r="R102" s="216"/>
      <c r="S102" s="216"/>
    </row>
    <row r="103" spans="1:19" ht="17.25" thickBot="1">
      <c r="A103" s="125" t="s">
        <v>110</v>
      </c>
      <c r="B103" s="129">
        <v>127</v>
      </c>
      <c r="C103" s="80">
        <v>0.1043478261</v>
      </c>
      <c r="D103" s="106">
        <v>136</v>
      </c>
      <c r="E103" s="107">
        <f>IF(ISNUMBER(D103), (D103 - $B103) / $B103, "")</f>
        <v>7.0866141732283464E-2</v>
      </c>
      <c r="F103" s="108">
        <f>IF(ISNUMBER(D103), $B118 * E103, "")</f>
        <v>7086.6141732283468</v>
      </c>
      <c r="G103" s="109">
        <v>137</v>
      </c>
      <c r="H103" s="107">
        <f>IF(ISNUMBER(G103), (G103 - $B103) / $B103, "")</f>
        <v>7.874015748031496E-2</v>
      </c>
      <c r="I103" s="110">
        <f>IF(ISNUMBER(G103), $B118 * H103, "")</f>
        <v>7874.0157480314956</v>
      </c>
      <c r="J103" s="106">
        <v>126</v>
      </c>
      <c r="K103" s="107">
        <f>IF(ISNUMBER(J103), (J103 - $B103) / $B103, "")</f>
        <v>-7.874015748031496E-3</v>
      </c>
      <c r="L103" s="108">
        <f>IF(ISNUMBER(J103), $B118 * K103, "")</f>
        <v>-787.40157480314963</v>
      </c>
      <c r="M103" s="109">
        <v>126</v>
      </c>
      <c r="N103" s="107">
        <f>IF(ISNUMBER(M103), (M103 - $B103) / $B103, "")</f>
        <v>-7.874015748031496E-3</v>
      </c>
      <c r="O103" s="108">
        <f>IF(ISNUMBER(M103), $B118 * N103, "")</f>
        <v>-787.40157480314963</v>
      </c>
      <c r="Q103" s="216"/>
      <c r="R103" s="216"/>
      <c r="S103" s="216"/>
    </row>
    <row r="104" spans="1:19" ht="17.25" thickBot="1">
      <c r="A104" s="125" t="s">
        <v>150</v>
      </c>
      <c r="B104" s="126">
        <v>9.99</v>
      </c>
      <c r="C104" s="77">
        <v>9.0611353699999994E-2</v>
      </c>
      <c r="D104" s="15">
        <v>10.8</v>
      </c>
      <c r="E104" s="32">
        <f t="shared" ref="E104:E107" si="50">IF(ISNUMBER(D104), (D104 - $B104) / $B104, "")</f>
        <v>8.1081081081081127E-2</v>
      </c>
      <c r="F104" s="18">
        <f>IF(ISNUMBER(D104), $B118 * E104, "")</f>
        <v>8108.1081081081129</v>
      </c>
      <c r="G104" s="31">
        <v>11</v>
      </c>
      <c r="H104" s="32">
        <f t="shared" ref="H104:H107" si="51">IF(ISNUMBER(G104), (G104 - $B104) / $B104, "")</f>
        <v>0.10110110110110107</v>
      </c>
      <c r="I104" s="101">
        <f>IF(ISNUMBER(G104), $B118 * H104, "")</f>
        <v>10110.110110110107</v>
      </c>
      <c r="J104" s="15">
        <v>10.1</v>
      </c>
      <c r="K104" s="32">
        <f t="shared" ref="K104:K107" si="52">IF(ISNUMBER(J104), (J104 - $B104) / $B104, "")</f>
        <v>1.1011011011010954E-2</v>
      </c>
      <c r="L104" s="18">
        <f>IF(ISNUMBER(J104), $B118 * K104, "")</f>
        <v>1101.1011011010953</v>
      </c>
      <c r="M104" s="31">
        <v>10.5</v>
      </c>
      <c r="N104" s="32">
        <f t="shared" ref="N104:N107" si="53">IF(ISNUMBER(M104), (M104 - $B104) / $B104, "")</f>
        <v>5.1051051051051032E-2</v>
      </c>
      <c r="O104" s="18">
        <f>IF(ISNUMBER(M104), $B118 * N104, "")</f>
        <v>5105.1051051051036</v>
      </c>
      <c r="Q104" s="216"/>
      <c r="R104" s="216"/>
      <c r="S104" s="216"/>
    </row>
    <row r="105" spans="1:19" ht="17.25" thickBot="1">
      <c r="A105" s="125" t="s">
        <v>188</v>
      </c>
      <c r="B105" s="126">
        <v>10.1</v>
      </c>
      <c r="C105" s="77">
        <v>8.9536138099999996E-2</v>
      </c>
      <c r="D105" s="15">
        <v>10.9</v>
      </c>
      <c r="E105" s="32">
        <f t="shared" si="50"/>
        <v>7.9207920792079278E-2</v>
      </c>
      <c r="F105" s="18">
        <f>IF(ISNUMBER(D105), $B118 * E105, "")</f>
        <v>7920.7920792079276</v>
      </c>
      <c r="G105" s="31">
        <v>10.9</v>
      </c>
      <c r="H105" s="32">
        <f t="shared" si="51"/>
        <v>7.9207920792079278E-2</v>
      </c>
      <c r="I105" s="101">
        <f>IF(ISNUMBER(G105), $B118 * H105, "")</f>
        <v>7920.7920792079276</v>
      </c>
      <c r="J105" s="15">
        <v>10</v>
      </c>
      <c r="K105" s="32">
        <f t="shared" si="52"/>
        <v>-9.9009900990098664E-3</v>
      </c>
      <c r="L105" s="18">
        <f>IF(ISNUMBER(J105), $B118 * K105, "")</f>
        <v>-990.09900990098663</v>
      </c>
      <c r="M105" s="31">
        <v>10.199999999999999</v>
      </c>
      <c r="N105" s="32">
        <f t="shared" si="53"/>
        <v>9.9009900990098664E-3</v>
      </c>
      <c r="O105" s="18">
        <f>IF(ISNUMBER(M105), $B118 * N105, "")</f>
        <v>990.09900990098663</v>
      </c>
      <c r="Q105" s="216"/>
      <c r="R105" s="216"/>
      <c r="S105" s="216"/>
    </row>
    <row r="106" spans="1:19" ht="17.25" thickBot="1">
      <c r="A106" s="125" t="s">
        <v>204</v>
      </c>
      <c r="B106" s="126">
        <v>11.8</v>
      </c>
      <c r="C106" s="77">
        <v>8.2568807300000005E-2</v>
      </c>
      <c r="D106" s="15">
        <v>11.9</v>
      </c>
      <c r="E106" s="32">
        <f t="shared" si="50"/>
        <v>8.4745762711864094E-3</v>
      </c>
      <c r="F106" s="18">
        <f>IF(ISNUMBER(D106), $B118 * E106, "")</f>
        <v>847.45762711864097</v>
      </c>
      <c r="G106" s="31">
        <v>13.5</v>
      </c>
      <c r="H106" s="32">
        <f t="shared" si="51"/>
        <v>0.14406779661016941</v>
      </c>
      <c r="I106" s="101">
        <f>IF(ISNUMBER(G106), $B118 * H106, "")</f>
        <v>14406.779661016941</v>
      </c>
      <c r="J106" s="15">
        <v>11.9</v>
      </c>
      <c r="K106" s="32">
        <f t="shared" si="52"/>
        <v>8.4745762711864094E-3</v>
      </c>
      <c r="L106" s="18">
        <f>IF(ISNUMBER(J106), $B118 * K106, "")</f>
        <v>847.45762711864097</v>
      </c>
      <c r="M106" s="31">
        <v>12.1</v>
      </c>
      <c r="N106" s="32">
        <f t="shared" si="53"/>
        <v>2.542372881355923E-2</v>
      </c>
      <c r="O106" s="18">
        <f>IF(ISNUMBER(M106), $B118 * N106, "")</f>
        <v>2542.3728813559228</v>
      </c>
      <c r="Q106" s="33"/>
      <c r="R106" s="33"/>
    </row>
    <row r="107" spans="1:19" ht="17.25" thickBot="1">
      <c r="A107" s="130" t="s">
        <v>216</v>
      </c>
      <c r="B107" s="131">
        <v>8.81</v>
      </c>
      <c r="C107" s="79">
        <v>7.8335373299999997E-2</v>
      </c>
      <c r="D107" s="24">
        <v>9.32</v>
      </c>
      <c r="E107" s="25">
        <f t="shared" si="50"/>
        <v>5.7888762769579993E-2</v>
      </c>
      <c r="F107" s="104">
        <f>IF(ISNUMBER(D107), $B118 * E107, "")</f>
        <v>5788.8762769579989</v>
      </c>
      <c r="G107" s="102">
        <v>9.99</v>
      </c>
      <c r="H107" s="25">
        <f t="shared" si="51"/>
        <v>0.133938706015891</v>
      </c>
      <c r="I107" s="103">
        <f>IF(ISNUMBER(G107), $B118 * H107, "")</f>
        <v>13393.8706015891</v>
      </c>
      <c r="J107" s="24">
        <v>9.2799999999999994</v>
      </c>
      <c r="K107" s="25">
        <f t="shared" si="52"/>
        <v>5.3348467650397143E-2</v>
      </c>
      <c r="L107" s="104">
        <f>IF(ISNUMBER(J107), $B118 * K107, "")</f>
        <v>5334.8467650397142</v>
      </c>
      <c r="M107" s="102">
        <v>9.49</v>
      </c>
      <c r="N107" s="25">
        <f t="shared" si="53"/>
        <v>7.7185017026106667E-2</v>
      </c>
      <c r="O107" s="104">
        <f>IF(ISNUMBER(M107), $B118 * N107, "")</f>
        <v>7718.5017026106671</v>
      </c>
      <c r="Q107" s="217"/>
      <c r="R107" s="218"/>
      <c r="S107" s="219"/>
    </row>
    <row r="108" spans="1:19">
      <c r="A108" s="123" t="s">
        <v>255</v>
      </c>
      <c r="B108" s="124">
        <v>217</v>
      </c>
      <c r="C108" s="76">
        <v>7.4257425700000004E-2</v>
      </c>
      <c r="D108" s="13">
        <v>205</v>
      </c>
      <c r="E108" s="14">
        <f>IF(ISNUMBER(D108), (D108 - $B108) / $B108, "")</f>
        <v>-5.5299539170506916E-2</v>
      </c>
      <c r="F108" s="16">
        <f>IF(ISNUMBER(D108), $B118 * E108, "")</f>
        <v>-5529.9539170506914</v>
      </c>
      <c r="G108" s="29">
        <v>210</v>
      </c>
      <c r="H108" s="14">
        <f>IF(ISNUMBER(G108), (G108 - $B108) / $B108, "")</f>
        <v>-3.2258064516129031E-2</v>
      </c>
      <c r="I108" s="100">
        <f>IF(ISNUMBER(G108), $B118 * H108, "")</f>
        <v>-3225.8064516129029</v>
      </c>
      <c r="J108" s="13">
        <v>200</v>
      </c>
      <c r="K108" s="14">
        <f>IF(ISNUMBER(J108), (J108 - $B108) / $B108, "")</f>
        <v>-7.8341013824884786E-2</v>
      </c>
      <c r="L108" s="16">
        <f>IF(ISNUMBER(J108), $B118 * K108, "")</f>
        <v>-7834.1013824884785</v>
      </c>
      <c r="M108" s="29">
        <v>205</v>
      </c>
      <c r="N108" s="14">
        <f>IF(ISNUMBER(M108), (M108 - $B108) / $B108, "")</f>
        <v>-5.5299539170506916E-2</v>
      </c>
      <c r="O108" s="16">
        <f>IF(ISNUMBER(M108), $B118 * N108, "")</f>
        <v>-5529.9539170506914</v>
      </c>
      <c r="Q108" s="220"/>
      <c r="R108" s="221"/>
      <c r="S108" s="222"/>
    </row>
    <row r="109" spans="1:19" ht="17.25" thickBot="1">
      <c r="A109" s="125" t="s">
        <v>208</v>
      </c>
      <c r="B109" s="126">
        <v>10.7</v>
      </c>
      <c r="C109" s="77">
        <v>7.2144288599999995E-2</v>
      </c>
      <c r="D109" s="15">
        <v>10.6</v>
      </c>
      <c r="E109" s="32">
        <f t="shared" ref="E109:E112" si="54">IF(ISNUMBER(D109), (D109 - $B109) / $B109, "")</f>
        <v>-9.3457943925233326E-3</v>
      </c>
      <c r="F109" s="18">
        <f>IF(ISNUMBER(D109), $B118 * E109, "")</f>
        <v>-934.57943925233326</v>
      </c>
      <c r="G109" s="31">
        <v>11.2</v>
      </c>
      <c r="H109" s="32">
        <f t="shared" ref="H109:H112" si="55">IF(ISNUMBER(G109), (G109 - $B109) / $B109, "")</f>
        <v>4.6728971962616828E-2</v>
      </c>
      <c r="I109" s="101">
        <f>IF(ISNUMBER(G109), $B118 * H109, "")</f>
        <v>4672.8971962616824</v>
      </c>
      <c r="J109" s="15">
        <v>9.98</v>
      </c>
      <c r="K109" s="32">
        <f t="shared" ref="K109:K112" si="56">IF(ISNUMBER(J109), (J109 - $B109) / $B109, "")</f>
        <v>-6.7289719626168129E-2</v>
      </c>
      <c r="L109" s="18">
        <f>IF(ISNUMBER(J109), $B118 * K109, "")</f>
        <v>-6728.9719626168126</v>
      </c>
      <c r="M109" s="31">
        <v>10.5</v>
      </c>
      <c r="N109" s="32">
        <f t="shared" ref="N109:N112" si="57">IF(ISNUMBER(M109), (M109 - $B109) / $B109, "")</f>
        <v>-1.8691588785046665E-2</v>
      </c>
      <c r="O109" s="18">
        <f>IF(ISNUMBER(M109), $B118 * N109, "")</f>
        <v>-1869.1588785046665</v>
      </c>
      <c r="Q109" s="223"/>
      <c r="R109" s="224"/>
      <c r="S109" s="225"/>
    </row>
    <row r="110" spans="1:19" ht="17.25" thickBot="1">
      <c r="A110" s="125" t="s">
        <v>158</v>
      </c>
      <c r="B110" s="126">
        <v>20130</v>
      </c>
      <c r="C110" s="77">
        <v>7.1884983999999999E-2</v>
      </c>
      <c r="D110" s="15">
        <v>19420</v>
      </c>
      <c r="E110" s="32">
        <f t="shared" si="54"/>
        <v>-3.5270740188772978E-2</v>
      </c>
      <c r="F110" s="18">
        <f>IF(ISNUMBER(D110), $B118 * E110, "")</f>
        <v>-3527.0740188772979</v>
      </c>
      <c r="G110" s="31">
        <v>19880</v>
      </c>
      <c r="H110" s="32">
        <f t="shared" si="55"/>
        <v>-1.2419274714356682E-2</v>
      </c>
      <c r="I110" s="101">
        <f>IF(ISNUMBER(G110), $B118 * H110, "")</f>
        <v>-1241.9274714356682</v>
      </c>
      <c r="J110" s="15">
        <v>19220</v>
      </c>
      <c r="K110" s="32">
        <f t="shared" si="56"/>
        <v>-4.520615996025832E-2</v>
      </c>
      <c r="L110" s="18">
        <f>IF(ISNUMBER(J110), $B118 * K110, "")</f>
        <v>-4520.6159960258319</v>
      </c>
      <c r="M110" s="31">
        <v>19300</v>
      </c>
      <c r="N110" s="32">
        <f t="shared" si="57"/>
        <v>-4.1231992051664182E-2</v>
      </c>
      <c r="O110" s="18">
        <f>IF(ISNUMBER(M110), $B118 * N110, "")</f>
        <v>-4123.1992051664183</v>
      </c>
      <c r="Q110" s="216"/>
      <c r="R110" s="216"/>
      <c r="S110" s="216"/>
    </row>
    <row r="111" spans="1:19" ht="17.25" thickBot="1">
      <c r="A111" s="125" t="s">
        <v>114</v>
      </c>
      <c r="B111" s="126">
        <v>328</v>
      </c>
      <c r="C111" s="77">
        <v>6.1488673100000002E-2</v>
      </c>
      <c r="D111" s="15">
        <v>311</v>
      </c>
      <c r="E111" s="32">
        <f t="shared" si="54"/>
        <v>-5.1829268292682924E-2</v>
      </c>
      <c r="F111" s="18">
        <f>IF(ISNUMBER(D111), $B118 * E111, "")</f>
        <v>-5182.9268292682927</v>
      </c>
      <c r="G111" s="31">
        <v>326</v>
      </c>
      <c r="H111" s="32">
        <f t="shared" si="55"/>
        <v>-6.0975609756097563E-3</v>
      </c>
      <c r="I111" s="101">
        <f>IF(ISNUMBER(G111), $B118 * H111, "")</f>
        <v>-609.7560975609756</v>
      </c>
      <c r="J111" s="15">
        <v>306</v>
      </c>
      <c r="K111" s="32">
        <f t="shared" si="56"/>
        <v>-6.7073170731707321E-2</v>
      </c>
      <c r="L111" s="18">
        <f>IF(ISNUMBER(J111), $B118 * K111, "")</f>
        <v>-6707.3170731707323</v>
      </c>
      <c r="M111" s="31">
        <v>312</v>
      </c>
      <c r="N111" s="32">
        <f t="shared" si="57"/>
        <v>-4.878048780487805E-2</v>
      </c>
      <c r="O111" s="18">
        <f>IF(ISNUMBER(M111), $B118 * N111, "")</f>
        <v>-4878.0487804878048</v>
      </c>
      <c r="Q111" s="226"/>
      <c r="R111" s="226"/>
      <c r="S111" s="226"/>
    </row>
    <row r="112" spans="1:19" ht="17.25" thickBot="1">
      <c r="A112" s="127" t="s">
        <v>253</v>
      </c>
      <c r="B112" s="128">
        <v>764</v>
      </c>
      <c r="C112" s="78">
        <v>6.1111111099999997E-2</v>
      </c>
      <c r="D112" s="20">
        <v>846</v>
      </c>
      <c r="E112" s="21">
        <f t="shared" si="54"/>
        <v>0.10732984293193717</v>
      </c>
      <c r="F112" s="22">
        <f>IF(ISNUMBER(D112), $B118 * E112, "")</f>
        <v>10732.984293193718</v>
      </c>
      <c r="G112" s="30">
        <v>927</v>
      </c>
      <c r="H112" s="21">
        <f t="shared" si="55"/>
        <v>0.21335078534031413</v>
      </c>
      <c r="I112" s="105">
        <f>IF(ISNUMBER(G112), $B118 * H112, "")</f>
        <v>21335.078534031414</v>
      </c>
      <c r="J112" s="20">
        <v>854</v>
      </c>
      <c r="K112" s="21">
        <f t="shared" si="56"/>
        <v>0.11780104712041885</v>
      </c>
      <c r="L112" s="22">
        <f>IF(ISNUMBER(J112), $B118 * K112, "")</f>
        <v>11780.104712041884</v>
      </c>
      <c r="M112" s="30">
        <v>880</v>
      </c>
      <c r="N112" s="21">
        <f t="shared" si="57"/>
        <v>0.15183246073298429</v>
      </c>
      <c r="O112" s="22">
        <f>IF(ISNUMBER(M112), $B118 * N112, "")</f>
        <v>15183.246073298429</v>
      </c>
      <c r="Q112" s="226"/>
      <c r="R112" s="226"/>
      <c r="S112" s="226"/>
    </row>
    <row r="113" spans="1:19" ht="17.25" thickBot="1">
      <c r="A113" s="125" t="s">
        <v>220</v>
      </c>
      <c r="B113" s="129">
        <v>128</v>
      </c>
      <c r="C113" s="80">
        <v>5.7851239700000001E-2</v>
      </c>
      <c r="D113" s="106">
        <v>176</v>
      </c>
      <c r="E113" s="107">
        <f>IF(ISNUMBER(D113), (D113 - $B113) / $B113, "")</f>
        <v>0.375</v>
      </c>
      <c r="F113" s="108">
        <f>IF(ISNUMBER(D113), $B118 * E113, "")</f>
        <v>37500</v>
      </c>
      <c r="G113" s="109">
        <v>175</v>
      </c>
      <c r="H113" s="107">
        <f>IF(ISNUMBER(G113), (G113 - $B113) / $B113, "")</f>
        <v>0.3671875</v>
      </c>
      <c r="I113" s="110">
        <f>IF(ISNUMBER(G113), $B118 * H113, "")</f>
        <v>36718.75</v>
      </c>
      <c r="J113" s="106">
        <v>168</v>
      </c>
      <c r="K113" s="107">
        <f>IF(ISNUMBER(J113), (J113 - $B113) / $B113, "")</f>
        <v>0.3125</v>
      </c>
      <c r="L113" s="108">
        <f>IF(ISNUMBER(J113), $B118 * K113, "")</f>
        <v>31250</v>
      </c>
      <c r="M113" s="109">
        <v>166</v>
      </c>
      <c r="N113" s="107">
        <f>IF(ISNUMBER(M113), (M113 - $B113) / $B113, "")</f>
        <v>0.296875</v>
      </c>
      <c r="O113" s="108">
        <f>IF(ISNUMBER(M113), $B118 * N113, "")</f>
        <v>29687.5</v>
      </c>
      <c r="Q113" s="216"/>
      <c r="R113" s="216"/>
      <c r="S113" s="216"/>
    </row>
    <row r="114" spans="1:19" ht="17.25" thickBot="1">
      <c r="A114" s="125" t="s">
        <v>224</v>
      </c>
      <c r="B114" s="126">
        <v>3250</v>
      </c>
      <c r="C114" s="77">
        <v>5.5194805200000002E-2</v>
      </c>
      <c r="D114" s="15">
        <v>3070</v>
      </c>
      <c r="E114" s="32">
        <f t="shared" ref="E114:E117" si="58">IF(ISNUMBER(D114), (D114 - $B114) / $B114, "")</f>
        <v>-5.5384615384615386E-2</v>
      </c>
      <c r="F114" s="18">
        <f>IF(ISNUMBER(D114), $B118 * E114, "")</f>
        <v>-5538.461538461539</v>
      </c>
      <c r="G114" s="31">
        <v>3095</v>
      </c>
      <c r="H114" s="32">
        <f t="shared" ref="H114:H117" si="59">IF(ISNUMBER(G114), (G114 - $B114) / $B114, "")</f>
        <v>-4.7692307692307694E-2</v>
      </c>
      <c r="I114" s="101">
        <f>IF(ISNUMBER(G114), $B118 * H114, "")</f>
        <v>-4769.2307692307695</v>
      </c>
      <c r="J114" s="15">
        <v>2970</v>
      </c>
      <c r="K114" s="32">
        <f t="shared" ref="K114:K117" si="60">IF(ISNUMBER(J114), (J114 - $B114) / $B114, "")</f>
        <v>-8.615384615384615E-2</v>
      </c>
      <c r="L114" s="18">
        <f>IF(ISNUMBER(J114), $B118 * K114, "")</f>
        <v>-8615.3846153846152</v>
      </c>
      <c r="M114" s="31">
        <v>3030</v>
      </c>
      <c r="N114" s="32">
        <f t="shared" ref="N114:N117" si="61">IF(ISNUMBER(M114), (M114 - $B114) / $B114, "")</f>
        <v>-6.7692307692307691E-2</v>
      </c>
      <c r="O114" s="18">
        <f>IF(ISNUMBER(M114), $B118 * N114, "")</f>
        <v>-6769.2307692307686</v>
      </c>
      <c r="Q114" s="216"/>
      <c r="R114" s="216"/>
      <c r="S114" s="216"/>
    </row>
    <row r="115" spans="1:19" ht="17.25" thickBot="1">
      <c r="A115" s="125" t="s">
        <v>78</v>
      </c>
      <c r="B115" s="126">
        <v>618800</v>
      </c>
      <c r="C115" s="77">
        <v>5.2918155500000001E-2</v>
      </c>
      <c r="D115" s="15">
        <v>600800</v>
      </c>
      <c r="E115" s="32">
        <f t="shared" si="58"/>
        <v>-2.9088558500323207E-2</v>
      </c>
      <c r="F115" s="18">
        <f>IF(ISNUMBER(D115), $B118 * E115, "")</f>
        <v>-2908.8558500323206</v>
      </c>
      <c r="G115" s="31">
        <v>603300</v>
      </c>
      <c r="H115" s="32">
        <f t="shared" si="59"/>
        <v>-2.5048480930833873E-2</v>
      </c>
      <c r="I115" s="101">
        <f>IF(ISNUMBER(G115), $B118 * H115, "")</f>
        <v>-2504.8480930833875</v>
      </c>
      <c r="J115" s="15">
        <v>579200</v>
      </c>
      <c r="K115" s="32">
        <f t="shared" si="60"/>
        <v>-6.3994828700711048E-2</v>
      </c>
      <c r="L115" s="18">
        <f>IF(ISNUMBER(J115), $B118 * K115, "")</f>
        <v>-6399.482870071105</v>
      </c>
      <c r="M115" s="31">
        <v>587600</v>
      </c>
      <c r="N115" s="32">
        <f t="shared" si="61"/>
        <v>-5.0420168067226892E-2</v>
      </c>
      <c r="O115" s="18">
        <f>IF(ISNUMBER(M115), $B118 * N115, "")</f>
        <v>-5042.0168067226896</v>
      </c>
      <c r="Q115" s="216"/>
      <c r="R115" s="216"/>
      <c r="S115" s="216"/>
    </row>
    <row r="116" spans="1:19">
      <c r="A116" s="125" t="s">
        <v>164</v>
      </c>
      <c r="B116" s="126">
        <v>251</v>
      </c>
      <c r="C116" s="77">
        <v>5.0209205E-2</v>
      </c>
      <c r="D116" s="15">
        <v>241</v>
      </c>
      <c r="E116" s="32">
        <f t="shared" si="58"/>
        <v>-3.9840637450199202E-2</v>
      </c>
      <c r="F116" s="18">
        <f>IF(ISNUMBER(D116), $B118 * E116, "")</f>
        <v>-3984.0637450199201</v>
      </c>
      <c r="G116" s="31">
        <v>246</v>
      </c>
      <c r="H116" s="32">
        <f t="shared" si="59"/>
        <v>-1.9920318725099601E-2</v>
      </c>
      <c r="I116" s="101">
        <f>IF(ISNUMBER(G116), $B118 * H116, "")</f>
        <v>-1992.0318725099601</v>
      </c>
      <c r="J116" s="15">
        <v>232</v>
      </c>
      <c r="K116" s="32">
        <f t="shared" si="60"/>
        <v>-7.5697211155378488E-2</v>
      </c>
      <c r="L116" s="18">
        <f>IF(ISNUMBER(J116), $B118 * K116, "")</f>
        <v>-7569.7211155378491</v>
      </c>
      <c r="M116" s="31">
        <v>240</v>
      </c>
      <c r="N116" s="32">
        <f t="shared" si="61"/>
        <v>-4.3824701195219126E-2</v>
      </c>
      <c r="O116" s="18">
        <f>IF(ISNUMBER(M116), $B118 * N116, "")</f>
        <v>-4382.4701195219122</v>
      </c>
      <c r="Q116" s="205"/>
      <c r="R116" s="206"/>
      <c r="S116" s="207"/>
    </row>
    <row r="117" spans="1:19" ht="17.25" thickBot="1">
      <c r="A117" s="130" t="s">
        <v>116</v>
      </c>
      <c r="B117" s="131">
        <v>5250</v>
      </c>
      <c r="C117" s="79">
        <v>0.05</v>
      </c>
      <c r="D117" s="24">
        <v>5310</v>
      </c>
      <c r="E117" s="25">
        <f t="shared" si="58"/>
        <v>1.1428571428571429E-2</v>
      </c>
      <c r="F117" s="104">
        <f>IF(ISNUMBER(D117), $B118 * E117, "")</f>
        <v>1142.8571428571429</v>
      </c>
      <c r="G117" s="102">
        <v>5385</v>
      </c>
      <c r="H117" s="25">
        <f t="shared" si="59"/>
        <v>2.5714285714285714E-2</v>
      </c>
      <c r="I117" s="103">
        <f>IF(ISNUMBER(G117), $B118 * H117, "")</f>
        <v>2571.4285714285716</v>
      </c>
      <c r="J117" s="24">
        <v>5145</v>
      </c>
      <c r="K117" s="25">
        <f t="shared" si="60"/>
        <v>-0.02</v>
      </c>
      <c r="L117" s="104">
        <f>IF(ISNUMBER(J117), $B118 * K117, "")</f>
        <v>-2000</v>
      </c>
      <c r="M117" s="102">
        <v>5175</v>
      </c>
      <c r="N117" s="25">
        <f t="shared" si="61"/>
        <v>-1.4285714285714285E-2</v>
      </c>
      <c r="O117" s="104">
        <f>IF(ISNUMBER(M117), $B118 * N117, "")</f>
        <v>-1428.5714285714284</v>
      </c>
      <c r="Q117" s="208"/>
      <c r="R117" s="209"/>
      <c r="S117" s="210"/>
    </row>
    <row r="118" spans="1:19" ht="17.25" thickBot="1">
      <c r="A118" s="132" t="s">
        <v>271</v>
      </c>
      <c r="B118" s="269">
        <f>$B$37</f>
        <v>100000</v>
      </c>
      <c r="C118" s="270"/>
      <c r="D118" s="26" t="s">
        <v>272</v>
      </c>
      <c r="E118" s="27">
        <f>IF(COUNT(E98:E117), SUM(E98:E117) / COUNT(E98:E117), 0)</f>
        <v>3.1062457777973819E-2</v>
      </c>
      <c r="F118" s="28">
        <f>SUM(F98:F117)</f>
        <v>62124.915555947635</v>
      </c>
      <c r="G118" s="26" t="s">
        <v>272</v>
      </c>
      <c r="H118" s="27">
        <f>IF(COUNT(H98:H117), SUM(H98:H117) / COUNT(H98:H117), 0)</f>
        <v>5.5668298867136534E-2</v>
      </c>
      <c r="I118" s="28">
        <f>SUM(I98:I117)</f>
        <v>111336.59773427306</v>
      </c>
      <c r="J118" s="26" t="s">
        <v>272</v>
      </c>
      <c r="K118" s="27">
        <f>IF(COUNT(K98:K117), SUM(K98:K117) / COUNT(K98:K117), 0)</f>
        <v>-8.7297627270511522E-3</v>
      </c>
      <c r="L118" s="28">
        <f>SUM(L98:L117)</f>
        <v>-17459.525454102302</v>
      </c>
      <c r="M118" s="26" t="s">
        <v>272</v>
      </c>
      <c r="N118" s="27">
        <f>IF(COUNT(N98:N117), SUM(N98:N117) / COUNT(N98:N117), 0)</f>
        <v>7.0211921480197474E-3</v>
      </c>
      <c r="O118" s="28">
        <f>SUM(O98:O117)</f>
        <v>14042.384296039494</v>
      </c>
      <c r="Q118" s="211"/>
      <c r="R118" s="212"/>
      <c r="S118" s="213"/>
    </row>
    <row r="120" spans="1:19" ht="17.25" thickBot="1"/>
    <row r="121" spans="1:19" ht="17.25" thickBot="1">
      <c r="A121" s="227" t="s">
        <v>259</v>
      </c>
      <c r="B121" s="228"/>
      <c r="C121" s="228"/>
      <c r="D121" s="228"/>
      <c r="E121" s="228"/>
      <c r="F121" s="228"/>
      <c r="G121" s="228"/>
      <c r="H121" s="228"/>
      <c r="I121" s="228"/>
      <c r="J121" s="228"/>
      <c r="K121" s="228"/>
      <c r="L121" s="228"/>
      <c r="M121" s="228"/>
      <c r="N121" s="228"/>
      <c r="O121" s="229"/>
      <c r="Q121" s="226"/>
      <c r="R121" s="226"/>
      <c r="S121" s="226"/>
    </row>
    <row r="122" spans="1:19" ht="17.25" thickBot="1">
      <c r="A122" s="173" t="s">
        <v>268</v>
      </c>
      <c r="B122" s="227" t="s">
        <v>49</v>
      </c>
      <c r="C122" s="229"/>
      <c r="D122" s="227" t="s">
        <v>58</v>
      </c>
      <c r="E122" s="228"/>
      <c r="F122" s="229"/>
      <c r="G122" s="230">
        <f>_xlfn.IFNA(VLOOKUP(B122, 현재가테이블!$B$2:$D$200, 2, FALSE), "-")</f>
        <v>39916000</v>
      </c>
      <c r="H122" s="231"/>
      <c r="I122" s="232"/>
      <c r="J122" s="227" t="s">
        <v>59</v>
      </c>
      <c r="K122" s="228"/>
      <c r="L122" s="229"/>
      <c r="M122" s="233">
        <f>_xlfn.IFNA(VLOOKUP(B122, 현재가테이블!$B$2:$D$200, 3, FALSE), "-")</f>
        <v>7.3184273000000003E-3</v>
      </c>
      <c r="N122" s="234"/>
      <c r="O122" s="235"/>
      <c r="Q122" s="226"/>
      <c r="R122" s="226"/>
      <c r="S122" s="226"/>
    </row>
    <row r="123" spans="1:19" ht="17.25" thickBot="1">
      <c r="A123" s="271" t="s">
        <v>55</v>
      </c>
      <c r="B123" s="267" t="str">
        <f>TEXT($G$1, "[$-ko-KR]yyyy-mm-dd(ddd) ") &amp; "오전 00:00"</f>
        <v>2021-07-05(월) 오전 00:00</v>
      </c>
      <c r="C123" s="268"/>
      <c r="D123" s="240" t="str">
        <f>TEXT($G$1, "[$-ko-KR]yyyy-mm-dd(ddd) ") &amp; "오후 14:00"</f>
        <v>2021-07-05(월) 오후 14:00</v>
      </c>
      <c r="E123" s="241"/>
      <c r="F123" s="242"/>
      <c r="G123" s="240" t="str">
        <f>TEXT($G$1, "[$-ko-KR]yyyy-mm-dd(ddd) ") &amp; "오후 19:00"</f>
        <v>2021-07-05(월) 오후 19:00</v>
      </c>
      <c r="H123" s="241"/>
      <c r="I123" s="242"/>
      <c r="J123" s="240" t="str">
        <f>TEXT($G$1, "[$-ko-KR]yyyy-mm-dd(ddd) ") &amp; "오후 21:00"</f>
        <v>2021-07-05(월) 오후 21:00</v>
      </c>
      <c r="K123" s="241"/>
      <c r="L123" s="242"/>
      <c r="M123" s="240" t="str">
        <f>TEXT($G$1+1, "[$-ko-KR]yyyy-mm-dd(ddd) ") &amp; "오전 00:00"</f>
        <v>2021-07-06(화) 오전 00:00</v>
      </c>
      <c r="N123" s="241"/>
      <c r="O123" s="242"/>
      <c r="Q123" s="226"/>
      <c r="R123" s="226"/>
      <c r="S123" s="226"/>
    </row>
    <row r="124" spans="1:19" ht="17.25" thickBot="1">
      <c r="A124" s="27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4" t="s">
        <v>58</v>
      </c>
      <c r="H124" s="175" t="s">
        <v>269</v>
      </c>
      <c r="I124" s="17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6"/>
      <c r="R124" s="216"/>
      <c r="S124" s="216"/>
    </row>
    <row r="125" spans="1:19" ht="17.25" thickBot="1">
      <c r="A125" s="123" t="s">
        <v>216</v>
      </c>
      <c r="B125" s="124">
        <v>8.81</v>
      </c>
      <c r="C125" s="76">
        <v>7.8335373299999997E-2</v>
      </c>
      <c r="D125" s="13">
        <v>9.32</v>
      </c>
      <c r="E125" s="14">
        <f>IF(ISNUMBER(D125), (D125 - $B125) / $B125, "")</f>
        <v>5.7888762769579993E-2</v>
      </c>
      <c r="F125" s="16">
        <f>IF(ISNUMBER(D125), $B145 * E125, "")</f>
        <v>5788.8762769579989</v>
      </c>
      <c r="G125" s="29">
        <v>9.99</v>
      </c>
      <c r="H125" s="14">
        <f>IF(ISNUMBER(G125), (G125 - $B125) / $B125, "")</f>
        <v>0.133938706015891</v>
      </c>
      <c r="I125" s="100">
        <f>IF(ISNUMBER(G125), $B145 * H125, "")</f>
        <v>13393.8706015891</v>
      </c>
      <c r="J125" s="13">
        <v>9.2799999999999994</v>
      </c>
      <c r="K125" s="14">
        <f>IF(ISNUMBER(J125), (J125 - $B125) / $B125, "")</f>
        <v>5.3348467650397143E-2</v>
      </c>
      <c r="L125" s="16">
        <f>IF(ISNUMBER(J125), $B145 * K125, "")</f>
        <v>5334.8467650397142</v>
      </c>
      <c r="M125" s="29">
        <v>9.49</v>
      </c>
      <c r="N125" s="14">
        <f>IF(ISNUMBER(M125), (M125 - $B125) / $B125, "")</f>
        <v>7.7185017026106667E-2</v>
      </c>
      <c r="O125" s="16">
        <f>IF(ISNUMBER(M125), $B145 * N125, "")</f>
        <v>7718.5017026106671</v>
      </c>
      <c r="Q125" s="226"/>
      <c r="R125" s="226"/>
      <c r="S125" s="226"/>
    </row>
    <row r="126" spans="1:19" ht="17.25" thickBot="1">
      <c r="A126" s="125" t="s">
        <v>208</v>
      </c>
      <c r="B126" s="126">
        <v>10.7</v>
      </c>
      <c r="C126" s="77">
        <v>7.2144288599999995E-2</v>
      </c>
      <c r="D126" s="15">
        <v>10.6</v>
      </c>
      <c r="E126" s="32">
        <f t="shared" ref="E126:E129" si="62">IF(ISNUMBER(D126), (D126 - $B126) / $B126, "")</f>
        <v>-9.3457943925233326E-3</v>
      </c>
      <c r="F126" s="18">
        <f>IF(ISNUMBER(D126), $B145 * E126, "")</f>
        <v>-934.57943925233326</v>
      </c>
      <c r="G126" s="31">
        <v>11.2</v>
      </c>
      <c r="H126" s="32">
        <f t="shared" ref="H126:H129" si="63">IF(ISNUMBER(G126), (G126 - $B126) / $B126, "")</f>
        <v>4.6728971962616828E-2</v>
      </c>
      <c r="I126" s="101">
        <f>IF(ISNUMBER(G126), $B145 * H126, "")</f>
        <v>4672.8971962616824</v>
      </c>
      <c r="J126" s="15">
        <v>9.98</v>
      </c>
      <c r="K126" s="32">
        <f t="shared" ref="K126:K129" si="64">IF(ISNUMBER(J126), (J126 - $B126) / $B126, "")</f>
        <v>-6.7289719626168129E-2</v>
      </c>
      <c r="L126" s="18">
        <f>IF(ISNUMBER(J126), $B145 * K126, "")</f>
        <v>-6728.9719626168126</v>
      </c>
      <c r="M126" s="31">
        <v>10.5</v>
      </c>
      <c r="N126" s="32">
        <f t="shared" ref="N126:N129" si="65">IF(ISNUMBER(M126), (M126 - $B126) / $B126, "")</f>
        <v>-1.8691588785046665E-2</v>
      </c>
      <c r="O126" s="18">
        <f>IF(ISNUMBER(M126), $B145 * N126, "")</f>
        <v>-1869.1588785046665</v>
      </c>
      <c r="Q126" s="226"/>
      <c r="R126" s="226"/>
      <c r="S126" s="226"/>
    </row>
    <row r="127" spans="1:19" ht="17.25" thickBot="1">
      <c r="A127" s="125" t="s">
        <v>235</v>
      </c>
      <c r="B127" s="126">
        <v>56.6</v>
      </c>
      <c r="C127" s="77">
        <v>4.2357274399999999E-2</v>
      </c>
      <c r="D127" s="15">
        <v>57.5</v>
      </c>
      <c r="E127" s="32">
        <f t="shared" si="62"/>
        <v>1.5901060070671352E-2</v>
      </c>
      <c r="F127" s="18">
        <f>IF(ISNUMBER(D127), $B145 * E127, "")</f>
        <v>1590.1060070671351</v>
      </c>
      <c r="G127" s="31">
        <v>59.9</v>
      </c>
      <c r="H127" s="32">
        <f t="shared" si="63"/>
        <v>5.8303886925795002E-2</v>
      </c>
      <c r="I127" s="101">
        <f>IF(ISNUMBER(G127), $B145 * H127, "")</f>
        <v>5830.3886925795005</v>
      </c>
      <c r="J127" s="15">
        <v>56.7</v>
      </c>
      <c r="K127" s="32">
        <f t="shared" si="64"/>
        <v>1.7667844522968449E-3</v>
      </c>
      <c r="L127" s="18">
        <f>IF(ISNUMBER(J127), $B145 * K127, "")</f>
        <v>176.67844522968448</v>
      </c>
      <c r="M127" s="31">
        <v>58.3</v>
      </c>
      <c r="N127" s="32">
        <f t="shared" si="65"/>
        <v>3.0035335689045862E-2</v>
      </c>
      <c r="O127" s="18">
        <f>IF(ISNUMBER(M127), $B145 * N127, "")</f>
        <v>3003.533568904586</v>
      </c>
      <c r="Q127" s="216"/>
      <c r="R127" s="216"/>
      <c r="S127" s="216"/>
    </row>
    <row r="128" spans="1:19" ht="17.25" thickBot="1">
      <c r="A128" s="125" t="s">
        <v>202</v>
      </c>
      <c r="B128" s="126">
        <v>59.5</v>
      </c>
      <c r="C128" s="77">
        <v>3.29861111E-2</v>
      </c>
      <c r="D128" s="15">
        <v>64.099999999999994</v>
      </c>
      <c r="E128" s="32">
        <f t="shared" si="62"/>
        <v>7.7310924369747805E-2</v>
      </c>
      <c r="F128" s="18">
        <f>IF(ISNUMBER(D128), $B145 * E128, "")</f>
        <v>7731.0924369747809</v>
      </c>
      <c r="G128" s="31">
        <v>64.599999999999994</v>
      </c>
      <c r="H128" s="32">
        <f t="shared" si="63"/>
        <v>8.5714285714285618E-2</v>
      </c>
      <c r="I128" s="101">
        <f>IF(ISNUMBER(G128), $B145 * H128, "")</f>
        <v>8571.4285714285616</v>
      </c>
      <c r="J128" s="15">
        <v>59</v>
      </c>
      <c r="K128" s="32">
        <f t="shared" si="64"/>
        <v>-8.4033613445378148E-3</v>
      </c>
      <c r="L128" s="18">
        <f>IF(ISNUMBER(J128), $B145 * K128, "")</f>
        <v>-840.33613445378148</v>
      </c>
      <c r="M128" s="31">
        <v>61.1</v>
      </c>
      <c r="N128" s="32">
        <f t="shared" si="65"/>
        <v>2.6890756302521031E-2</v>
      </c>
      <c r="O128" s="18">
        <f>IF(ISNUMBER(M128), $B145 * N128, "")</f>
        <v>2689.0756302521031</v>
      </c>
      <c r="Q128" s="216"/>
      <c r="R128" s="216"/>
      <c r="S128" s="216"/>
    </row>
    <row r="129" spans="1:19" ht="17.25" thickBot="1">
      <c r="A129" s="127" t="s">
        <v>190</v>
      </c>
      <c r="B129" s="128">
        <v>15.4</v>
      </c>
      <c r="C129" s="78">
        <v>2.6666666700000001E-2</v>
      </c>
      <c r="D129" s="20">
        <v>15.2</v>
      </c>
      <c r="E129" s="21">
        <f t="shared" si="62"/>
        <v>-1.2987012987013056E-2</v>
      </c>
      <c r="F129" s="22">
        <f>IF(ISNUMBER(D129), $B145 * E129, "")</f>
        <v>-1298.7012987013056</v>
      </c>
      <c r="G129" s="30">
        <v>16</v>
      </c>
      <c r="H129" s="21">
        <f t="shared" si="63"/>
        <v>3.8961038961038939E-2</v>
      </c>
      <c r="I129" s="105">
        <f>IF(ISNUMBER(G129), $B145 * H129, "")</f>
        <v>3896.1038961038939</v>
      </c>
      <c r="J129" s="20">
        <v>14.5</v>
      </c>
      <c r="K129" s="21">
        <f t="shared" si="64"/>
        <v>-5.8441558441558461E-2</v>
      </c>
      <c r="L129" s="22">
        <f>IF(ISNUMBER(J129), $B145 * K129, "")</f>
        <v>-5844.1558441558464</v>
      </c>
      <c r="M129" s="30">
        <v>15</v>
      </c>
      <c r="N129" s="21">
        <f t="shared" si="65"/>
        <v>-2.5974025974025997E-2</v>
      </c>
      <c r="O129" s="22">
        <f>IF(ISNUMBER(M129), $B145 * N129, "")</f>
        <v>-2597.4025974025994</v>
      </c>
      <c r="Q129" s="216"/>
      <c r="R129" s="216"/>
      <c r="S129" s="216"/>
    </row>
    <row r="130" spans="1:19" ht="17.25" thickBot="1">
      <c r="A130" s="125" t="s">
        <v>130</v>
      </c>
      <c r="B130" s="129">
        <v>82.5</v>
      </c>
      <c r="C130" s="80">
        <v>2.1039604E-2</v>
      </c>
      <c r="D130" s="106">
        <v>85.3</v>
      </c>
      <c r="E130" s="107">
        <f>IF(ISNUMBER(D130), (D130 - $B130) / $B130, "")</f>
        <v>3.3939393939393908E-2</v>
      </c>
      <c r="F130" s="108">
        <f>IF(ISNUMBER(D130), $B145 * E130, "")</f>
        <v>3393.9393939393908</v>
      </c>
      <c r="G130" s="109">
        <v>89.4</v>
      </c>
      <c r="H130" s="107">
        <f>IF(ISNUMBER(G130), (G130 - $B130) / $B130, "")</f>
        <v>8.3636363636363703E-2</v>
      </c>
      <c r="I130" s="110">
        <f>IF(ISNUMBER(G130), $B145 * H130, "")</f>
        <v>8363.6363636363694</v>
      </c>
      <c r="J130" s="106">
        <v>84.9</v>
      </c>
      <c r="K130" s="107">
        <f>IF(ISNUMBER(J130), (J130 - $B130) / $B130, "")</f>
        <v>2.909090909090916E-2</v>
      </c>
      <c r="L130" s="108">
        <f>IF(ISNUMBER(J130), $B145 * K130, "")</f>
        <v>2909.0909090909158</v>
      </c>
      <c r="M130" s="109">
        <v>86.8</v>
      </c>
      <c r="N130" s="107">
        <f>IF(ISNUMBER(M130), (M130 - $B130) / $B130, "")</f>
        <v>5.2121212121212089E-2</v>
      </c>
      <c r="O130" s="108">
        <f>IF(ISNUMBER(M130), $B145 * N130, "")</f>
        <v>5212.1212121212093</v>
      </c>
      <c r="Q130" s="216"/>
      <c r="R130" s="216"/>
      <c r="S130" s="216"/>
    </row>
    <row r="131" spans="1:19" ht="17.25" thickBot="1">
      <c r="A131" s="125" t="s">
        <v>148</v>
      </c>
      <c r="B131" s="126">
        <v>16.399999999999999</v>
      </c>
      <c r="C131" s="77">
        <v>1.8633540399999999E-2</v>
      </c>
      <c r="D131" s="15">
        <v>15.7</v>
      </c>
      <c r="E131" s="32">
        <f t="shared" ref="E131:E134" si="66">IF(ISNUMBER(D131), (D131 - $B131) / $B131, "")</f>
        <v>-4.2682926829268254E-2</v>
      </c>
      <c r="F131" s="18">
        <f>IF(ISNUMBER(D131), $B145 * E131, "")</f>
        <v>-4268.2926829268254</v>
      </c>
      <c r="G131" s="31">
        <v>15.9</v>
      </c>
      <c r="H131" s="32">
        <f t="shared" ref="H131:H134" si="67">IF(ISNUMBER(G131), (G131 - $B131) / $B131, "")</f>
        <v>-3.0487804878048676E-2</v>
      </c>
      <c r="I131" s="101">
        <f>IF(ISNUMBER(G131), $B145 * H131, "")</f>
        <v>-3048.7804878048678</v>
      </c>
      <c r="J131" s="15">
        <v>15.3</v>
      </c>
      <c r="K131" s="32">
        <f t="shared" ref="K131:K134" si="68">IF(ISNUMBER(J131), (J131 - $B131) / $B131, "")</f>
        <v>-6.7073170731707196E-2</v>
      </c>
      <c r="L131" s="18">
        <f>IF(ISNUMBER(J131), $B145 * K131, "")</f>
        <v>-6707.3170731707196</v>
      </c>
      <c r="M131" s="31">
        <v>15.7</v>
      </c>
      <c r="N131" s="32">
        <f t="shared" ref="N131:N134" si="69">IF(ISNUMBER(M131), (M131 - $B131) / $B131, "")</f>
        <v>-4.2682926829268254E-2</v>
      </c>
      <c r="O131" s="18">
        <f>IF(ISNUMBER(M131), $B145 * N131, "")</f>
        <v>-4268.2926829268254</v>
      </c>
      <c r="Q131" s="216"/>
      <c r="R131" s="216"/>
      <c r="S131" s="216"/>
    </row>
    <row r="132" spans="1:19" ht="17.25" thickBot="1">
      <c r="A132" s="125" t="s">
        <v>152</v>
      </c>
      <c r="B132" s="126">
        <v>78.8</v>
      </c>
      <c r="C132" s="77">
        <v>1.2853470400000001E-2</v>
      </c>
      <c r="D132" s="15">
        <v>77.2</v>
      </c>
      <c r="E132" s="32">
        <f t="shared" si="66"/>
        <v>-2.0304568527918711E-2</v>
      </c>
      <c r="F132" s="18">
        <f>IF(ISNUMBER(D132), $B145 * E132, "")</f>
        <v>-2030.4568527918711</v>
      </c>
      <c r="G132" s="31">
        <v>77</v>
      </c>
      <c r="H132" s="32">
        <f t="shared" si="67"/>
        <v>-2.2842639593908594E-2</v>
      </c>
      <c r="I132" s="101">
        <f>IF(ISNUMBER(G132), $B145 * H132, "")</f>
        <v>-2284.2639593908593</v>
      </c>
      <c r="J132" s="15">
        <v>75</v>
      </c>
      <c r="K132" s="32">
        <f t="shared" si="68"/>
        <v>-4.8223350253807071E-2</v>
      </c>
      <c r="L132" s="18">
        <f>IF(ISNUMBER(J132), $B145 * K132, "")</f>
        <v>-4822.3350253807075</v>
      </c>
      <c r="M132" s="31">
        <v>75.099999999999994</v>
      </c>
      <c r="N132" s="32">
        <f t="shared" si="69"/>
        <v>-4.6954314720812219E-2</v>
      </c>
      <c r="O132" s="18">
        <f>IF(ISNUMBER(M132), $B145 * N132, "")</f>
        <v>-4695.4314720812217</v>
      </c>
      <c r="Q132" s="216"/>
      <c r="R132" s="216"/>
      <c r="S132" s="216"/>
    </row>
    <row r="133" spans="1:19" ht="17.25" thickBot="1">
      <c r="A133" s="125" t="s">
        <v>98</v>
      </c>
      <c r="B133" s="126">
        <v>3.18</v>
      </c>
      <c r="C133" s="77">
        <v>1.2738853499999999E-2</v>
      </c>
      <c r="D133" s="15">
        <v>3.13</v>
      </c>
      <c r="E133" s="32">
        <f t="shared" si="66"/>
        <v>-1.5723270440251656E-2</v>
      </c>
      <c r="F133" s="18">
        <f>IF(ISNUMBER(D133), $B145 * E133, "")</f>
        <v>-1572.3270440251656</v>
      </c>
      <c r="G133" s="31">
        <v>3.15</v>
      </c>
      <c r="H133" s="32">
        <f t="shared" si="67"/>
        <v>-9.4339622641510211E-3</v>
      </c>
      <c r="I133" s="101">
        <f>IF(ISNUMBER(G133), $B145 * H133, "")</f>
        <v>-943.39622641510209</v>
      </c>
      <c r="J133" s="15">
        <v>3.08</v>
      </c>
      <c r="K133" s="32">
        <f t="shared" si="68"/>
        <v>-3.1446540880503172E-2</v>
      </c>
      <c r="L133" s="18">
        <f>IF(ISNUMBER(J133), $B145 * K133, "")</f>
        <v>-3144.6540880503171</v>
      </c>
      <c r="M133" s="31">
        <v>3.09</v>
      </c>
      <c r="N133" s="32">
        <f t="shared" si="69"/>
        <v>-2.8301886792452925E-2</v>
      </c>
      <c r="O133" s="18">
        <f>IF(ISNUMBER(M133), $B145 * N133, "")</f>
        <v>-2830.1886792452924</v>
      </c>
      <c r="Q133" s="33"/>
      <c r="R133" s="33"/>
    </row>
    <row r="134" spans="1:19" ht="17.25" thickBot="1">
      <c r="A134" s="130" t="s">
        <v>144</v>
      </c>
      <c r="B134" s="131">
        <v>88.3</v>
      </c>
      <c r="C134" s="79">
        <v>1.2614678900000001E-2</v>
      </c>
      <c r="D134" s="24">
        <v>85.5</v>
      </c>
      <c r="E134" s="25">
        <f t="shared" si="66"/>
        <v>-3.1710079275198158E-2</v>
      </c>
      <c r="F134" s="104">
        <f>IF(ISNUMBER(D134), $B145 * E134, "")</f>
        <v>-3171.0079275198159</v>
      </c>
      <c r="G134" s="102">
        <v>87.4</v>
      </c>
      <c r="H134" s="25">
        <f t="shared" si="67"/>
        <v>-1.0192525481313608E-2</v>
      </c>
      <c r="I134" s="103">
        <f>IF(ISNUMBER(G134), $B145 * H134, "")</f>
        <v>-1019.2525481313608</v>
      </c>
      <c r="J134" s="24">
        <v>84</v>
      </c>
      <c r="K134" s="25">
        <f t="shared" si="68"/>
        <v>-4.8697621744054329E-2</v>
      </c>
      <c r="L134" s="104">
        <f>IF(ISNUMBER(J134), $B145 * K134, "")</f>
        <v>-4869.7621744054331</v>
      </c>
      <c r="M134" s="102">
        <v>85</v>
      </c>
      <c r="N134" s="25">
        <f t="shared" si="69"/>
        <v>-3.7372593431483546E-2</v>
      </c>
      <c r="O134" s="104">
        <f>IF(ISNUMBER(M134), $B145 * N134, "")</f>
        <v>-3737.2593431483547</v>
      </c>
      <c r="Q134" s="217"/>
      <c r="R134" s="218"/>
      <c r="S134" s="219"/>
    </row>
    <row r="135" spans="1:19">
      <c r="A135" s="123" t="s">
        <v>241</v>
      </c>
      <c r="B135" s="124">
        <v>54.6</v>
      </c>
      <c r="C135" s="76">
        <v>1.11111111E-2</v>
      </c>
      <c r="D135" s="13">
        <v>52.9</v>
      </c>
      <c r="E135" s="14">
        <f>IF(ISNUMBER(D135), (D135 - $B135) / $B135, "")</f>
        <v>-3.1135531135531188E-2</v>
      </c>
      <c r="F135" s="16">
        <f>IF(ISNUMBER(D135), $B145 * E135, "")</f>
        <v>-3113.5531135531187</v>
      </c>
      <c r="G135" s="29">
        <v>54.9</v>
      </c>
      <c r="H135" s="14">
        <f>IF(ISNUMBER(G135), (G135 - $B135) / $B135, "")</f>
        <v>5.494505494505442E-3</v>
      </c>
      <c r="I135" s="100">
        <f>IF(ISNUMBER(G135), $B145 * H135, "")</f>
        <v>549.45054945054426</v>
      </c>
      <c r="J135" s="13">
        <v>52.4</v>
      </c>
      <c r="K135" s="14">
        <f>IF(ISNUMBER(J135), (J135 - $B135) / $B135, "")</f>
        <v>-4.0293040293040344E-2</v>
      </c>
      <c r="L135" s="16">
        <f>IF(ISNUMBER(J135), $B145 * K135, "")</f>
        <v>-4029.3040293040344</v>
      </c>
      <c r="M135" s="29">
        <v>53.8</v>
      </c>
      <c r="N135" s="14">
        <f>IF(ISNUMBER(M135), (M135 - $B135) / $B135, "")</f>
        <v>-1.465201465201473E-2</v>
      </c>
      <c r="O135" s="16">
        <f>IF(ISNUMBER(M135), $B145 * N135, "")</f>
        <v>-1465.201465201473</v>
      </c>
      <c r="Q135" s="220"/>
      <c r="R135" s="221"/>
      <c r="S135" s="222"/>
    </row>
    <row r="136" spans="1:19" ht="17.25" thickBot="1">
      <c r="A136" s="125" t="s">
        <v>132</v>
      </c>
      <c r="B136" s="126">
        <v>96.4</v>
      </c>
      <c r="C136" s="77">
        <v>3.1217482000000002E-3</v>
      </c>
      <c r="D136" s="15">
        <v>93.3</v>
      </c>
      <c r="E136" s="32">
        <f t="shared" ref="E136:E139" si="70">IF(ISNUMBER(D136), (D136 - $B136) / $B136, "")</f>
        <v>-3.2157676348547805E-2</v>
      </c>
      <c r="F136" s="18">
        <f>IF(ISNUMBER(D136), $B145 * E136, "")</f>
        <v>-3215.7676348547807</v>
      </c>
      <c r="G136" s="31">
        <v>94.5</v>
      </c>
      <c r="H136" s="32">
        <f t="shared" ref="H136:H139" si="71">IF(ISNUMBER(G136), (G136 - $B136) / $B136, "")</f>
        <v>-1.9709543568464789E-2</v>
      </c>
      <c r="I136" s="101">
        <f>IF(ISNUMBER(G136), $B145 * H136, "")</f>
        <v>-1970.954356846479</v>
      </c>
      <c r="J136" s="15">
        <v>91.2</v>
      </c>
      <c r="K136" s="32">
        <f t="shared" ref="K136:K139" si="72">IF(ISNUMBER(J136), (J136 - $B136) / $B136, "")</f>
        <v>-5.394190871369297E-2</v>
      </c>
      <c r="L136" s="18">
        <f>IF(ISNUMBER(J136), $B145 * K136, "")</f>
        <v>-5394.1908713692974</v>
      </c>
      <c r="M136" s="31">
        <v>93</v>
      </c>
      <c r="N136" s="32">
        <f t="shared" ref="N136:N139" si="73">IF(ISNUMBER(M136), (M136 - $B136) / $B136, "")</f>
        <v>-3.526970954356852E-2</v>
      </c>
      <c r="O136" s="18">
        <f>IF(ISNUMBER(M136), $B145 * N136, "")</f>
        <v>-3526.970954356852</v>
      </c>
      <c r="Q136" s="223"/>
      <c r="R136" s="224"/>
      <c r="S136" s="225"/>
    </row>
    <row r="137" spans="1:19" ht="17.25" thickBot="1">
      <c r="A137" s="125" t="s">
        <v>239</v>
      </c>
      <c r="B137" s="126">
        <v>77.5</v>
      </c>
      <c r="C137" s="77">
        <v>2.5873221E-3</v>
      </c>
      <c r="D137" s="15">
        <v>74.7</v>
      </c>
      <c r="E137" s="32">
        <f t="shared" si="70"/>
        <v>-3.6129032258064478E-2</v>
      </c>
      <c r="F137" s="18">
        <f>IF(ISNUMBER(D137), $B145 * E137, "")</f>
        <v>-3612.9032258064476</v>
      </c>
      <c r="G137" s="31">
        <v>79.7</v>
      </c>
      <c r="H137" s="32">
        <f t="shared" si="71"/>
        <v>2.8387096774193585E-2</v>
      </c>
      <c r="I137" s="101">
        <f>IF(ISNUMBER(G137), $B145 * H137, "")</f>
        <v>2838.7096774193583</v>
      </c>
      <c r="J137" s="15">
        <v>74</v>
      </c>
      <c r="K137" s="32">
        <f t="shared" si="72"/>
        <v>-4.5161290322580643E-2</v>
      </c>
      <c r="L137" s="18">
        <f>IF(ISNUMBER(J137), $B145 * K137, "")</f>
        <v>-4516.1290322580644</v>
      </c>
      <c r="M137" s="31">
        <v>76.400000000000006</v>
      </c>
      <c r="N137" s="32">
        <f t="shared" si="73"/>
        <v>-1.41935483870967E-2</v>
      </c>
      <c r="O137" s="18">
        <f>IF(ISNUMBER(M137), $B145 * N137, "")</f>
        <v>-1419.35483870967</v>
      </c>
      <c r="Q137" s="216"/>
      <c r="R137" s="216"/>
      <c r="S137" s="216"/>
    </row>
    <row r="138" spans="1:19" ht="17.25" thickBot="1">
      <c r="A138" s="125" t="s">
        <v>251</v>
      </c>
      <c r="B138" s="126">
        <v>62.4</v>
      </c>
      <c r="C138" s="77">
        <v>1.6051364E-3</v>
      </c>
      <c r="D138" s="15">
        <v>61.5</v>
      </c>
      <c r="E138" s="32">
        <f t="shared" si="70"/>
        <v>-1.4423076923076901E-2</v>
      </c>
      <c r="F138" s="18">
        <f>IF(ISNUMBER(D138), $B145 * E138, "")</f>
        <v>-1442.3076923076901</v>
      </c>
      <c r="G138" s="31">
        <v>61.9</v>
      </c>
      <c r="H138" s="32">
        <f t="shared" si="71"/>
        <v>-8.0128205128205138E-3</v>
      </c>
      <c r="I138" s="101">
        <f>IF(ISNUMBER(G138), $B145 * H138, "")</f>
        <v>-801.28205128205138</v>
      </c>
      <c r="J138" s="15">
        <v>59.5</v>
      </c>
      <c r="K138" s="32">
        <f t="shared" si="72"/>
        <v>-4.6474358974358955E-2</v>
      </c>
      <c r="L138" s="18">
        <f>IF(ISNUMBER(J138), $B145 * K138, "")</f>
        <v>-4647.4358974358956</v>
      </c>
      <c r="M138" s="31">
        <v>60.2</v>
      </c>
      <c r="N138" s="32">
        <f t="shared" si="73"/>
        <v>-3.5256410256410187E-2</v>
      </c>
      <c r="O138" s="18">
        <f>IF(ISNUMBER(M138), $B145 * N138, "")</f>
        <v>-3525.6410256410186</v>
      </c>
      <c r="Q138" s="226"/>
      <c r="R138" s="226"/>
      <c r="S138" s="226"/>
    </row>
    <row r="139" spans="1:19" ht="17.25" thickBot="1">
      <c r="A139" s="127" t="s">
        <v>178</v>
      </c>
      <c r="B139" s="128">
        <v>15.8</v>
      </c>
      <c r="C139" s="78">
        <v>0</v>
      </c>
      <c r="D139" s="20">
        <v>15.5</v>
      </c>
      <c r="E139" s="21">
        <f t="shared" si="70"/>
        <v>-1.8987341772151944E-2</v>
      </c>
      <c r="F139" s="22">
        <f>IF(ISNUMBER(D139), $B145 * E139, "")</f>
        <v>-1898.7341772151944</v>
      </c>
      <c r="G139" s="30">
        <v>16.3</v>
      </c>
      <c r="H139" s="21">
        <f t="shared" si="71"/>
        <v>3.164556962025316E-2</v>
      </c>
      <c r="I139" s="105">
        <f>IF(ISNUMBER(G139), $B145 * H139, "")</f>
        <v>3164.5569620253159</v>
      </c>
      <c r="J139" s="20">
        <v>15.4</v>
      </c>
      <c r="K139" s="21">
        <f t="shared" si="72"/>
        <v>-2.5316455696202552E-2</v>
      </c>
      <c r="L139" s="22">
        <f>IF(ISNUMBER(J139), $B145 * K139, "")</f>
        <v>-2531.6455696202552</v>
      </c>
      <c r="M139" s="30">
        <v>15.7</v>
      </c>
      <c r="N139" s="21">
        <f t="shared" si="73"/>
        <v>-6.3291139240507222E-3</v>
      </c>
      <c r="O139" s="22">
        <f>IF(ISNUMBER(M139), $B145 * N139, "")</f>
        <v>-632.91139240507221</v>
      </c>
      <c r="Q139" s="226"/>
      <c r="R139" s="226"/>
      <c r="S139" s="226"/>
    </row>
    <row r="140" spans="1:19" ht="17.25" thickBot="1">
      <c r="A140" s="125" t="s">
        <v>72</v>
      </c>
      <c r="B140" s="129">
        <v>19.3</v>
      </c>
      <c r="C140" s="80">
        <v>0</v>
      </c>
      <c r="D140" s="106">
        <v>18.8</v>
      </c>
      <c r="E140" s="107">
        <f>IF(ISNUMBER(D140), (D140 - $B140) / $B140, "")</f>
        <v>-2.5906735751295335E-2</v>
      </c>
      <c r="F140" s="108">
        <f>IF(ISNUMBER(D140), $B145 * E140, "")</f>
        <v>-2590.6735751295337</v>
      </c>
      <c r="G140" s="109">
        <v>19.399999999999999</v>
      </c>
      <c r="H140" s="107">
        <f>IF(ISNUMBER(G140), (G140 - $B140) / $B140, "")</f>
        <v>5.1813471502589565E-3</v>
      </c>
      <c r="I140" s="110">
        <f>IF(ISNUMBER(G140), $B145 * H140, "")</f>
        <v>518.13471502589562</v>
      </c>
      <c r="J140" s="106">
        <v>18</v>
      </c>
      <c r="K140" s="107">
        <f>IF(ISNUMBER(J140), (J140 - $B140) / $B140, "")</f>
        <v>-6.7357512953367907E-2</v>
      </c>
      <c r="L140" s="108">
        <f>IF(ISNUMBER(J140), $B145 * K140, "")</f>
        <v>-6735.7512953367905</v>
      </c>
      <c r="M140" s="109">
        <v>18.5</v>
      </c>
      <c r="N140" s="107">
        <f>IF(ISNUMBER(M140), (M140 - $B140) / $B140, "")</f>
        <v>-4.1450777202072575E-2</v>
      </c>
      <c r="O140" s="108">
        <f>IF(ISNUMBER(M140), $B145 * N140, "")</f>
        <v>-4145.0777202072577</v>
      </c>
      <c r="Q140" s="216"/>
      <c r="R140" s="216"/>
      <c r="S140" s="216"/>
    </row>
    <row r="141" spans="1:19" ht="17.25" thickBot="1">
      <c r="A141" s="125" t="s">
        <v>210</v>
      </c>
      <c r="B141" s="126">
        <v>10.199999999999999</v>
      </c>
      <c r="C141" s="77">
        <v>0</v>
      </c>
      <c r="D141" s="15">
        <v>10.199999999999999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11</v>
      </c>
      <c r="H141" s="32">
        <f t="shared" ref="H141:H144" si="75">IF(ISNUMBER(G141), (G141 - $B141) / $B141, "")</f>
        <v>7.8431372549019676E-2</v>
      </c>
      <c r="I141" s="101">
        <f>IF(ISNUMBER(G141), $B145 * H141, "")</f>
        <v>7843.1372549019679</v>
      </c>
      <c r="J141" s="15">
        <v>9.83</v>
      </c>
      <c r="K141" s="32">
        <f t="shared" ref="K141:K144" si="76">IF(ISNUMBER(J141), (J141 - $B141) / $B141, "")</f>
        <v>-3.6274509803921495E-2</v>
      </c>
      <c r="L141" s="18">
        <f>IF(ISNUMBER(J141), $B145 * K141, "")</f>
        <v>-3627.4509803921496</v>
      </c>
      <c r="M141" s="31">
        <v>10.199999999999999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16"/>
      <c r="R141" s="216"/>
      <c r="S141" s="216"/>
    </row>
    <row r="142" spans="1:19" ht="17.25" thickBot="1">
      <c r="A142" s="125" t="s">
        <v>162</v>
      </c>
      <c r="B142" s="126">
        <v>86.1</v>
      </c>
      <c r="C142" s="77">
        <v>-3.4722222000000001E-3</v>
      </c>
      <c r="D142" s="15">
        <v>83</v>
      </c>
      <c r="E142" s="32">
        <f t="shared" si="74"/>
        <v>-3.6004645760743255E-2</v>
      </c>
      <c r="F142" s="18">
        <f>IF(ISNUMBER(D142), $B145 * E142, "")</f>
        <v>-3600.4645760743256</v>
      </c>
      <c r="G142" s="31">
        <v>84.5</v>
      </c>
      <c r="H142" s="32">
        <f t="shared" si="75"/>
        <v>-1.858304297328681E-2</v>
      </c>
      <c r="I142" s="101">
        <f>IF(ISNUMBER(G142), $B145 * H142, "")</f>
        <v>-1858.3042973286811</v>
      </c>
      <c r="J142" s="15">
        <v>80.5</v>
      </c>
      <c r="K142" s="32">
        <f t="shared" si="76"/>
        <v>-6.5040650406504003E-2</v>
      </c>
      <c r="L142" s="18">
        <f>IF(ISNUMBER(J142), $B145 * K142, "")</f>
        <v>-6504.0650406504001</v>
      </c>
      <c r="M142" s="31">
        <v>82.2</v>
      </c>
      <c r="N142" s="32">
        <f t="shared" si="77"/>
        <v>-4.5296167247386665E-2</v>
      </c>
      <c r="O142" s="18">
        <f>IF(ISNUMBER(M142), $B145 * N142, "")</f>
        <v>-4529.6167247386666</v>
      </c>
      <c r="Q142" s="216"/>
      <c r="R142" s="216"/>
      <c r="S142" s="216"/>
    </row>
    <row r="143" spans="1:19">
      <c r="A143" s="125" t="s">
        <v>65</v>
      </c>
      <c r="B143" s="126">
        <v>29</v>
      </c>
      <c r="C143" s="77">
        <v>-1.02389078E-2</v>
      </c>
      <c r="D143" s="15">
        <v>28.2</v>
      </c>
      <c r="E143" s="32">
        <f t="shared" si="74"/>
        <v>-2.7586206896551748E-2</v>
      </c>
      <c r="F143" s="18">
        <f>IF(ISNUMBER(D143), $B145 * E143, "")</f>
        <v>-2758.6206896551748</v>
      </c>
      <c r="G143" s="31">
        <v>29</v>
      </c>
      <c r="H143" s="32">
        <f t="shared" si="75"/>
        <v>0</v>
      </c>
      <c r="I143" s="101">
        <f>IF(ISNUMBER(G143), $B145 * H143, "")</f>
        <v>0</v>
      </c>
      <c r="J143" s="15">
        <v>27.5</v>
      </c>
      <c r="K143" s="32">
        <f t="shared" si="76"/>
        <v>-5.1724137931034482E-2</v>
      </c>
      <c r="L143" s="18">
        <f>IF(ISNUMBER(J143), $B145 * K143, "")</f>
        <v>-5172.4137931034484</v>
      </c>
      <c r="M143" s="31">
        <v>28.3</v>
      </c>
      <c r="N143" s="32">
        <f t="shared" si="77"/>
        <v>-2.4137931034482734E-2</v>
      </c>
      <c r="O143" s="18">
        <f>IF(ISNUMBER(M143), $B145 * N143, "")</f>
        <v>-2413.7931034482735</v>
      </c>
      <c r="Q143" s="205"/>
      <c r="R143" s="206"/>
      <c r="S143" s="207"/>
    </row>
    <row r="144" spans="1:19" ht="17.25" thickBot="1">
      <c r="A144" s="130" t="s">
        <v>122</v>
      </c>
      <c r="B144" s="131">
        <v>24.8</v>
      </c>
      <c r="C144" s="79">
        <v>-1.19521912E-2</v>
      </c>
      <c r="D144" s="24">
        <v>24.1</v>
      </c>
      <c r="E144" s="25">
        <f t="shared" si="74"/>
        <v>-2.8225806451612875E-2</v>
      </c>
      <c r="F144" s="104">
        <f>IF(ISNUMBER(D144), $B145 * E144, "")</f>
        <v>-2822.5806451612875</v>
      </c>
      <c r="G144" s="102">
        <v>24.8</v>
      </c>
      <c r="H144" s="25">
        <f t="shared" si="75"/>
        <v>0</v>
      </c>
      <c r="I144" s="103">
        <f>IF(ISNUMBER(G144), $B145 * H144, "")</f>
        <v>0</v>
      </c>
      <c r="J144" s="24">
        <v>23.4</v>
      </c>
      <c r="K144" s="25">
        <f t="shared" si="76"/>
        <v>-5.6451612903225888E-2</v>
      </c>
      <c r="L144" s="104">
        <f>IF(ISNUMBER(J144), $B145 * K144, "")</f>
        <v>-5645.1612903225887</v>
      </c>
      <c r="M144" s="102">
        <v>23.8</v>
      </c>
      <c r="N144" s="25">
        <f t="shared" si="77"/>
        <v>-4.0322580645161289E-2</v>
      </c>
      <c r="O144" s="104">
        <f>IF(ISNUMBER(M144), $B145 * N144, "")</f>
        <v>-4032.2580645161288</v>
      </c>
      <c r="Q144" s="208"/>
      <c r="R144" s="209"/>
      <c r="S144" s="210"/>
    </row>
    <row r="145" spans="1:19" ht="17.25" thickBot="1">
      <c r="A145" s="132" t="s">
        <v>271</v>
      </c>
      <c r="B145" s="269">
        <f>$B$37</f>
        <v>100000</v>
      </c>
      <c r="C145" s="270"/>
      <c r="D145" s="26" t="s">
        <v>272</v>
      </c>
      <c r="E145" s="27">
        <f>IF(COUNT(E125:E144), SUM(E125:E144) / COUNT(E125:E144), 0)</f>
        <v>-9.9134782300177825E-3</v>
      </c>
      <c r="F145" s="28">
        <f>SUM(F125:F144)</f>
        <v>-19826.956460035562</v>
      </c>
      <c r="G145" s="26" t="s">
        <v>272</v>
      </c>
      <c r="H145" s="27">
        <f>IF(COUNT(H125:H144), SUM(H125:H144) / COUNT(H125:H144), 0)</f>
        <v>2.3858040276611391E-2</v>
      </c>
      <c r="I145" s="28">
        <f>SUM(I125:I144)</f>
        <v>47716.080553222768</v>
      </c>
      <c r="J145" s="26" t="s">
        <v>272</v>
      </c>
      <c r="K145" s="27">
        <f>IF(COUNT(K125:K144), SUM(K125:K144) / COUNT(K125:K144), 0)</f>
        <v>-3.6670231991333117E-2</v>
      </c>
      <c r="L145" s="28">
        <f>SUM(L125:L144)</f>
        <v>-73340.463982666231</v>
      </c>
      <c r="M145" s="26" t="s">
        <v>272</v>
      </c>
      <c r="N145" s="27">
        <f>IF(COUNT(N125:N144), SUM(N125:N144) / COUNT(N125:N144), 0)</f>
        <v>-1.3532663414322405E-2</v>
      </c>
      <c r="O145" s="28">
        <f>SUM(O125:O144)</f>
        <v>-27065.326828644807</v>
      </c>
      <c r="Q145" s="211"/>
      <c r="R145" s="212"/>
      <c r="S145" s="213"/>
    </row>
    <row r="147" spans="1:19" ht="17.25" thickBot="1"/>
    <row r="148" spans="1:19" ht="17.25" thickBot="1">
      <c r="A148" s="227" t="s">
        <v>260</v>
      </c>
      <c r="B148" s="228"/>
      <c r="C148" s="228"/>
      <c r="D148" s="228"/>
      <c r="E148" s="228"/>
      <c r="F148" s="228"/>
      <c r="G148" s="228"/>
      <c r="H148" s="228"/>
      <c r="I148" s="228"/>
      <c r="J148" s="228"/>
      <c r="K148" s="228"/>
      <c r="L148" s="228"/>
      <c r="M148" s="228"/>
      <c r="N148" s="228"/>
      <c r="O148" s="229"/>
      <c r="Q148" s="226"/>
      <c r="R148" s="226"/>
      <c r="S148" s="226"/>
    </row>
    <row r="149" spans="1:19" ht="17.25" thickBot="1">
      <c r="A149" s="173" t="s">
        <v>268</v>
      </c>
      <c r="B149" s="227" t="s">
        <v>49</v>
      </c>
      <c r="C149" s="229"/>
      <c r="D149" s="227" t="s">
        <v>58</v>
      </c>
      <c r="E149" s="228"/>
      <c r="F149" s="229"/>
      <c r="G149" s="230">
        <f>_xlfn.IFNA(VLOOKUP(B149, 현재가테이블!$B$2:$D$200, 2, FALSE), "-")</f>
        <v>39916000</v>
      </c>
      <c r="H149" s="231"/>
      <c r="I149" s="232"/>
      <c r="J149" s="227" t="s">
        <v>59</v>
      </c>
      <c r="K149" s="228"/>
      <c r="L149" s="229"/>
      <c r="M149" s="233">
        <f>_xlfn.IFNA(VLOOKUP(B149, 현재가테이블!$B$2:$D$200, 3, FALSE), "-")</f>
        <v>7.3184273000000003E-3</v>
      </c>
      <c r="N149" s="234"/>
      <c r="O149" s="235"/>
      <c r="Q149" s="226"/>
      <c r="R149" s="226"/>
      <c r="S149" s="226"/>
    </row>
    <row r="150" spans="1:19" ht="17.25" thickBot="1">
      <c r="A150" s="271" t="s">
        <v>55</v>
      </c>
      <c r="B150" s="267" t="str">
        <f>TEXT($G$1, "[$-ko-KR]yyyy-mm-dd(ddd) ") &amp; "오전 00:00"</f>
        <v>2021-07-05(월) 오전 00:00</v>
      </c>
      <c r="C150" s="268"/>
      <c r="D150" s="240" t="str">
        <f>TEXT($G$1, "[$-ko-KR]yyyy-mm-dd(ddd) ") &amp; "오후 14:00"</f>
        <v>2021-07-05(월) 오후 14:00</v>
      </c>
      <c r="E150" s="241"/>
      <c r="F150" s="242"/>
      <c r="G150" s="240" t="str">
        <f>TEXT($G$1, "[$-ko-KR]yyyy-mm-dd(ddd) ") &amp; "오후 19:00"</f>
        <v>2021-07-05(월) 오후 19:00</v>
      </c>
      <c r="H150" s="241"/>
      <c r="I150" s="242"/>
      <c r="J150" s="240" t="str">
        <f>TEXT($G$1, "[$-ko-KR]yyyy-mm-dd(ddd) ") &amp; "오후 21:00"</f>
        <v>2021-07-05(월) 오후 21:00</v>
      </c>
      <c r="K150" s="241"/>
      <c r="L150" s="242"/>
      <c r="M150" s="240" t="str">
        <f>TEXT($G$1+1, "[$-ko-KR]yyyy-mm-dd(ddd) ") &amp; "오전 00:00"</f>
        <v>2021-07-06(화) 오전 00:00</v>
      </c>
      <c r="N150" s="241"/>
      <c r="O150" s="242"/>
      <c r="Q150" s="226"/>
      <c r="R150" s="226"/>
      <c r="S150" s="226"/>
    </row>
    <row r="151" spans="1:19" ht="17.25" thickBot="1">
      <c r="A151" s="27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4" t="s">
        <v>58</v>
      </c>
      <c r="H151" s="175" t="s">
        <v>269</v>
      </c>
      <c r="I151" s="17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6"/>
      <c r="R151" s="216"/>
      <c r="S151" s="216"/>
    </row>
    <row r="152" spans="1:19" ht="17.25" thickBot="1">
      <c r="A152" s="123" t="s">
        <v>118</v>
      </c>
      <c r="B152" s="124">
        <v>142</v>
      </c>
      <c r="C152" s="76">
        <v>2.15827338E-2</v>
      </c>
      <c r="D152" s="13">
        <v>138</v>
      </c>
      <c r="E152" s="14">
        <f>IF(ISNUMBER(D152), (D152 - $B152) / $B152, "")</f>
        <v>-2.8169014084507043E-2</v>
      </c>
      <c r="F152" s="16">
        <f>IF(ISNUMBER(D152), $B172 * E152, "")</f>
        <v>-2816.9014084507044</v>
      </c>
      <c r="G152" s="29">
        <v>138</v>
      </c>
      <c r="H152" s="14">
        <f>IF(ISNUMBER(G152), (G152 - $B152) / $B152, "")</f>
        <v>-2.8169014084507043E-2</v>
      </c>
      <c r="I152" s="100">
        <f>IF(ISNUMBER(G152), $B172 * H152, "")</f>
        <v>-2816.9014084507044</v>
      </c>
      <c r="J152" s="13">
        <v>132</v>
      </c>
      <c r="K152" s="14">
        <f>IF(ISNUMBER(J152), (J152 - $B152) / $B152, "")</f>
        <v>-7.0422535211267609E-2</v>
      </c>
      <c r="L152" s="16">
        <f>IF(ISNUMBER(J152), $B172 * K152, "")</f>
        <v>-7042.2535211267605</v>
      </c>
      <c r="M152" s="29">
        <v>135</v>
      </c>
      <c r="N152" s="14">
        <f>IF(ISNUMBER(M152), (M152 - $B152) / $B152, "")</f>
        <v>-4.9295774647887321E-2</v>
      </c>
      <c r="O152" s="16">
        <f>IF(ISNUMBER(M152), $B172 * N152, "")</f>
        <v>-4929.577464788732</v>
      </c>
      <c r="Q152" s="226"/>
      <c r="R152" s="226"/>
      <c r="S152" s="226"/>
    </row>
    <row r="153" spans="1:19" ht="17.25" thickBot="1">
      <c r="A153" s="125" t="s">
        <v>108</v>
      </c>
      <c r="B153" s="126">
        <v>989</v>
      </c>
      <c r="C153" s="77">
        <v>1.9587628900000001E-2</v>
      </c>
      <c r="D153" s="15">
        <v>954</v>
      </c>
      <c r="E153" s="32">
        <f t="shared" ref="E153:E156" si="78">IF(ISNUMBER(D153), (D153 - $B153) / $B153, "")</f>
        <v>-3.5389282103134481E-2</v>
      </c>
      <c r="F153" s="18">
        <f>IF(ISNUMBER(D153), $B172 * E153, "")</f>
        <v>-3538.9282103134483</v>
      </c>
      <c r="G153" s="31">
        <v>984</v>
      </c>
      <c r="H153" s="32">
        <f t="shared" ref="H153:H156" si="79">IF(ISNUMBER(G153), (G153 - $B153) / $B153, "")</f>
        <v>-5.0556117290192111E-3</v>
      </c>
      <c r="I153" s="101">
        <f>IF(ISNUMBER(G153), $B172 * H153, "")</f>
        <v>-505.56117290192111</v>
      </c>
      <c r="J153" s="15">
        <v>940</v>
      </c>
      <c r="K153" s="32">
        <f t="shared" ref="K153:K156" si="80">IF(ISNUMBER(J153), (J153 - $B153) / $B153, "")</f>
        <v>-4.9544994944388271E-2</v>
      </c>
      <c r="L153" s="18">
        <f>IF(ISNUMBER(J153), $B172 * K153, "")</f>
        <v>-4954.4994944388272</v>
      </c>
      <c r="M153" s="31">
        <v>1000</v>
      </c>
      <c r="N153" s="32">
        <f t="shared" ref="N153:N156" si="81">IF(ISNUMBER(M153), (M153 - $B153) / $B153, "")</f>
        <v>1.1122345803842264E-2</v>
      </c>
      <c r="O153" s="18">
        <f>IF(ISNUMBER(M153), $B172 * N153, "")</f>
        <v>1112.2345803842263</v>
      </c>
      <c r="Q153" s="226"/>
      <c r="R153" s="226"/>
      <c r="S153" s="226"/>
    </row>
    <row r="154" spans="1:19" ht="17.25" thickBot="1">
      <c r="A154" s="125" t="s">
        <v>51</v>
      </c>
      <c r="B154" s="126">
        <v>313</v>
      </c>
      <c r="C154" s="77">
        <v>1.9543973900000001E-2</v>
      </c>
      <c r="D154" s="15">
        <v>303</v>
      </c>
      <c r="E154" s="32">
        <f t="shared" si="78"/>
        <v>-3.1948881789137379E-2</v>
      </c>
      <c r="F154" s="18">
        <f>IF(ISNUMBER(D154), $B172 * E154, "")</f>
        <v>-3194.8881789137381</v>
      </c>
      <c r="G154" s="31">
        <v>305</v>
      </c>
      <c r="H154" s="32">
        <f t="shared" si="79"/>
        <v>-2.5559105431309903E-2</v>
      </c>
      <c r="I154" s="101">
        <f>IF(ISNUMBER(G154), $B172 * H154, "")</f>
        <v>-2555.9105431309904</v>
      </c>
      <c r="J154" s="15">
        <v>297</v>
      </c>
      <c r="K154" s="32">
        <f t="shared" si="80"/>
        <v>-5.1118210862619806E-2</v>
      </c>
      <c r="L154" s="18">
        <f>IF(ISNUMBER(J154), $B172 * K154, "")</f>
        <v>-5111.8210862619808</v>
      </c>
      <c r="M154" s="31">
        <v>297</v>
      </c>
      <c r="N154" s="32">
        <f t="shared" si="81"/>
        <v>-5.1118210862619806E-2</v>
      </c>
      <c r="O154" s="18">
        <f>IF(ISNUMBER(M154), $B172 * N154, "")</f>
        <v>-5111.8210862619808</v>
      </c>
      <c r="Q154" s="216"/>
      <c r="R154" s="216"/>
      <c r="S154" s="216"/>
    </row>
    <row r="155" spans="1:19" ht="17.25" thickBot="1">
      <c r="A155" s="125" t="s">
        <v>86</v>
      </c>
      <c r="B155" s="126">
        <v>285</v>
      </c>
      <c r="C155" s="77">
        <v>1.7857142900000001E-2</v>
      </c>
      <c r="D155" s="15">
        <v>284</v>
      </c>
      <c r="E155" s="32">
        <f t="shared" si="78"/>
        <v>-3.5087719298245615E-3</v>
      </c>
      <c r="F155" s="18">
        <f>IF(ISNUMBER(D155), $B172 * E155, "")</f>
        <v>-350.87719298245617</v>
      </c>
      <c r="G155" s="31">
        <v>282</v>
      </c>
      <c r="H155" s="32">
        <f t="shared" si="79"/>
        <v>-1.0526315789473684E-2</v>
      </c>
      <c r="I155" s="101">
        <f>IF(ISNUMBER(G155), $B172 * H155, "")</f>
        <v>-1052.6315789473683</v>
      </c>
      <c r="J155" s="15">
        <v>272</v>
      </c>
      <c r="K155" s="32">
        <f t="shared" si="80"/>
        <v>-4.5614035087719301E-2</v>
      </c>
      <c r="L155" s="18">
        <f>IF(ISNUMBER(J155), $B172 * K155, "")</f>
        <v>-4561.4035087719303</v>
      </c>
      <c r="M155" s="31">
        <v>274</v>
      </c>
      <c r="N155" s="32">
        <f t="shared" si="81"/>
        <v>-3.8596491228070177E-2</v>
      </c>
      <c r="O155" s="18">
        <f>IF(ISNUMBER(M155), $B172 * N155, "")</f>
        <v>-3859.6491228070176</v>
      </c>
      <c r="Q155" s="216"/>
      <c r="R155" s="216"/>
      <c r="S155" s="216"/>
    </row>
    <row r="156" spans="1:19" ht="17.25" thickBot="1">
      <c r="A156" s="127" t="s">
        <v>233</v>
      </c>
      <c r="B156" s="128">
        <v>395</v>
      </c>
      <c r="C156" s="78">
        <v>1.54241645E-2</v>
      </c>
      <c r="D156" s="20">
        <v>380</v>
      </c>
      <c r="E156" s="21">
        <f t="shared" si="78"/>
        <v>-3.7974683544303799E-2</v>
      </c>
      <c r="F156" s="22">
        <f>IF(ISNUMBER(D156), $B172 * E156, "")</f>
        <v>-3797.4683544303798</v>
      </c>
      <c r="G156" s="30">
        <v>384</v>
      </c>
      <c r="H156" s="21">
        <f t="shared" si="79"/>
        <v>-2.7848101265822784E-2</v>
      </c>
      <c r="I156" s="105">
        <f>IF(ISNUMBER(G156), $B172 * H156, "")</f>
        <v>-2784.8101265822784</v>
      </c>
      <c r="J156" s="20">
        <v>369</v>
      </c>
      <c r="K156" s="21">
        <f t="shared" si="80"/>
        <v>-6.5822784810126586E-2</v>
      </c>
      <c r="L156" s="22">
        <f>IF(ISNUMBER(J156), $B172 * K156, "")</f>
        <v>-6582.2784810126586</v>
      </c>
      <c r="M156" s="30">
        <v>374</v>
      </c>
      <c r="N156" s="21">
        <f t="shared" si="81"/>
        <v>-5.3164556962025315E-2</v>
      </c>
      <c r="O156" s="22">
        <f>IF(ISNUMBER(M156), $B172 * N156, "")</f>
        <v>-5316.4556962025317</v>
      </c>
      <c r="Q156" s="216"/>
      <c r="R156" s="216"/>
      <c r="S156" s="216"/>
    </row>
    <row r="157" spans="1:19" ht="17.25" thickBot="1">
      <c r="A157" s="125" t="s">
        <v>61</v>
      </c>
      <c r="B157" s="129">
        <v>664</v>
      </c>
      <c r="C157" s="80">
        <v>1.5290519900000001E-2</v>
      </c>
      <c r="D157" s="106">
        <v>652</v>
      </c>
      <c r="E157" s="107">
        <f>IF(ISNUMBER(D157), (D157 - $B157) / $B157, "")</f>
        <v>-1.8072289156626505E-2</v>
      </c>
      <c r="F157" s="108">
        <f>IF(ISNUMBER(D157), $B172 * E157, "")</f>
        <v>-1807.2289156626505</v>
      </c>
      <c r="G157" s="109">
        <v>660</v>
      </c>
      <c r="H157" s="107">
        <f>IF(ISNUMBER(G157), (G157 - $B157) / $B157, "")</f>
        <v>-6.024096385542169E-3</v>
      </c>
      <c r="I157" s="110">
        <f>IF(ISNUMBER(G157), $B172 * H157, "")</f>
        <v>-602.40963855421694</v>
      </c>
      <c r="J157" s="106">
        <v>631</v>
      </c>
      <c r="K157" s="107">
        <f>IF(ISNUMBER(J157), (J157 - $B157) / $B157, "")</f>
        <v>-4.9698795180722892E-2</v>
      </c>
      <c r="L157" s="108">
        <f>IF(ISNUMBER(J157), $B172 * K157, "")</f>
        <v>-4969.8795180722891</v>
      </c>
      <c r="M157" s="109">
        <v>644</v>
      </c>
      <c r="N157" s="107">
        <f>IF(ISNUMBER(M157), (M157 - $B157) / $B157, "")</f>
        <v>-3.0120481927710843E-2</v>
      </c>
      <c r="O157" s="108">
        <f>IF(ISNUMBER(M157), $B172 * N157, "")</f>
        <v>-3012.0481927710844</v>
      </c>
      <c r="Q157" s="216"/>
      <c r="R157" s="216"/>
      <c r="S157" s="216"/>
    </row>
    <row r="158" spans="1:19" ht="17.25" thickBot="1">
      <c r="A158" s="125" t="s">
        <v>57</v>
      </c>
      <c r="B158" s="126">
        <v>159</v>
      </c>
      <c r="C158" s="77">
        <v>1.2738853499999999E-2</v>
      </c>
      <c r="D158" s="15">
        <v>153</v>
      </c>
      <c r="E158" s="32">
        <f t="shared" ref="E158:E161" si="82">IF(ISNUMBER(D158), (D158 - $B158) / $B158, "")</f>
        <v>-3.7735849056603772E-2</v>
      </c>
      <c r="F158" s="18">
        <f>IF(ISNUMBER(D158), $B172 * E158, "")</f>
        <v>-3773.584905660377</v>
      </c>
      <c r="G158" s="31">
        <v>157</v>
      </c>
      <c r="H158" s="32">
        <f t="shared" ref="H158:H161" si="83">IF(ISNUMBER(G158), (G158 - $B158) / $B158, "")</f>
        <v>-1.2578616352201259E-2</v>
      </c>
      <c r="I158" s="101">
        <f>IF(ISNUMBER(G158), $B172 * H158, "")</f>
        <v>-1257.8616352201259</v>
      </c>
      <c r="J158" s="15">
        <v>150</v>
      </c>
      <c r="K158" s="32">
        <f t="shared" ref="K158:K161" si="84">IF(ISNUMBER(J158), (J158 - $B158) / $B158, "")</f>
        <v>-5.6603773584905662E-2</v>
      </c>
      <c r="L158" s="18">
        <f>IF(ISNUMBER(J158), $B172 * K158, "")</f>
        <v>-5660.3773584905666</v>
      </c>
      <c r="M158" s="31">
        <v>151</v>
      </c>
      <c r="N158" s="32">
        <f t="shared" ref="N158:N161" si="85">IF(ISNUMBER(M158), (M158 - $B158) / $B158, "")</f>
        <v>-5.0314465408805034E-2</v>
      </c>
      <c r="O158" s="18">
        <f>IF(ISNUMBER(M158), $B172 * N158, "")</f>
        <v>-5031.4465408805036</v>
      </c>
      <c r="Q158" s="216"/>
      <c r="R158" s="216"/>
      <c r="S158" s="216"/>
    </row>
    <row r="159" spans="1:19" ht="17.25" thickBot="1">
      <c r="A159" s="125" t="s">
        <v>80</v>
      </c>
      <c r="B159" s="126">
        <v>694</v>
      </c>
      <c r="C159" s="77">
        <v>1.1661807600000001E-2</v>
      </c>
      <c r="D159" s="15">
        <v>675</v>
      </c>
      <c r="E159" s="32">
        <f t="shared" si="82"/>
        <v>-2.7377521613832854E-2</v>
      </c>
      <c r="F159" s="18">
        <f>IF(ISNUMBER(D159), $B172 * E159, "")</f>
        <v>-2737.7521613832855</v>
      </c>
      <c r="G159" s="31">
        <v>687</v>
      </c>
      <c r="H159" s="32">
        <f t="shared" si="83"/>
        <v>-1.0086455331412104E-2</v>
      </c>
      <c r="I159" s="101">
        <f>IF(ISNUMBER(G159), $B172 * H159, "")</f>
        <v>-1008.6455331412104</v>
      </c>
      <c r="J159" s="15">
        <v>662</v>
      </c>
      <c r="K159" s="32">
        <f t="shared" si="84"/>
        <v>-4.6109510086455328E-2</v>
      </c>
      <c r="L159" s="18">
        <f>IF(ISNUMBER(J159), $B172 * K159, "")</f>
        <v>-4610.951008645533</v>
      </c>
      <c r="M159" s="31">
        <v>668</v>
      </c>
      <c r="N159" s="32">
        <f t="shared" si="85"/>
        <v>-3.7463976945244955E-2</v>
      </c>
      <c r="O159" s="18">
        <f>IF(ISNUMBER(M159), $B172 * N159, "")</f>
        <v>-3746.3976945244954</v>
      </c>
      <c r="Q159" s="216"/>
      <c r="R159" s="216"/>
      <c r="S159" s="216"/>
    </row>
    <row r="160" spans="1:19" ht="17.25" thickBot="1">
      <c r="A160" s="125" t="s">
        <v>237</v>
      </c>
      <c r="B160" s="126">
        <v>443</v>
      </c>
      <c r="C160" s="77">
        <v>1.1415525100000001E-2</v>
      </c>
      <c r="D160" s="15">
        <v>439</v>
      </c>
      <c r="E160" s="32">
        <f t="shared" si="82"/>
        <v>-9.0293453724604959E-3</v>
      </c>
      <c r="F160" s="18">
        <f>IF(ISNUMBER(D160), $B172 * E160, "")</f>
        <v>-902.93453724604956</v>
      </c>
      <c r="G160" s="31">
        <v>443</v>
      </c>
      <c r="H160" s="32">
        <f t="shared" si="83"/>
        <v>0</v>
      </c>
      <c r="I160" s="101">
        <f>IF(ISNUMBER(G160), $B172 * H160, "")</f>
        <v>0</v>
      </c>
      <c r="J160" s="15">
        <v>423</v>
      </c>
      <c r="K160" s="32">
        <f t="shared" si="84"/>
        <v>-4.5146726862302484E-2</v>
      </c>
      <c r="L160" s="18">
        <f>IF(ISNUMBER(J160), $B172 * K160, "")</f>
        <v>-4514.6726862302485</v>
      </c>
      <c r="M160" s="31">
        <v>431</v>
      </c>
      <c r="N160" s="32">
        <f t="shared" si="85"/>
        <v>-2.7088036117381489E-2</v>
      </c>
      <c r="O160" s="18">
        <f>IF(ISNUMBER(M160), $B172 * N160, "")</f>
        <v>-2708.8036117381489</v>
      </c>
      <c r="Q160" s="33"/>
      <c r="R160" s="33"/>
    </row>
    <row r="161" spans="1:19" ht="17.25" thickBot="1">
      <c r="A161" s="130" t="s">
        <v>102</v>
      </c>
      <c r="B161" s="131">
        <v>842</v>
      </c>
      <c r="C161" s="79">
        <v>1.0804321699999999E-2</v>
      </c>
      <c r="D161" s="24">
        <v>822</v>
      </c>
      <c r="E161" s="25">
        <f t="shared" si="82"/>
        <v>-2.3752969121140142E-2</v>
      </c>
      <c r="F161" s="104">
        <f>IF(ISNUMBER(D161), $B172 * E161, "")</f>
        <v>-2375.296912114014</v>
      </c>
      <c r="G161" s="102">
        <v>833</v>
      </c>
      <c r="H161" s="25">
        <f t="shared" si="83"/>
        <v>-1.0688836104513063E-2</v>
      </c>
      <c r="I161" s="103">
        <f>IF(ISNUMBER(G161), $B172 * H161, "")</f>
        <v>-1068.8836104513064</v>
      </c>
      <c r="J161" s="24">
        <v>808</v>
      </c>
      <c r="K161" s="25">
        <f t="shared" si="84"/>
        <v>-4.0380047505938245E-2</v>
      </c>
      <c r="L161" s="104">
        <f>IF(ISNUMBER(J161), $B172 * K161, "")</f>
        <v>-4038.0047505938246</v>
      </c>
      <c r="M161" s="102">
        <v>816</v>
      </c>
      <c r="N161" s="25">
        <f t="shared" si="85"/>
        <v>-3.0878859857482184E-2</v>
      </c>
      <c r="O161" s="104">
        <f>IF(ISNUMBER(M161), $B172 * N161, "")</f>
        <v>-3087.8859857482184</v>
      </c>
      <c r="Q161" s="217"/>
      <c r="R161" s="218"/>
      <c r="S161" s="219"/>
    </row>
    <row r="162" spans="1:19">
      <c r="A162" s="123" t="s">
        <v>128</v>
      </c>
      <c r="B162" s="124">
        <v>103</v>
      </c>
      <c r="C162" s="76">
        <v>9.8039215999999995E-3</v>
      </c>
      <c r="D162" s="13">
        <v>99.8</v>
      </c>
      <c r="E162" s="14">
        <f>IF(ISNUMBER(D162), (D162 - $B162) / $B162, "")</f>
        <v>-3.106796116504857E-2</v>
      </c>
      <c r="F162" s="16">
        <f>IF(ISNUMBER(D162), $B172 * E162, "")</f>
        <v>-3106.7961165048569</v>
      </c>
      <c r="G162" s="29">
        <v>101</v>
      </c>
      <c r="H162" s="14">
        <f>IF(ISNUMBER(G162), (G162 - $B162) / $B162, "")</f>
        <v>-1.9417475728155338E-2</v>
      </c>
      <c r="I162" s="100">
        <f>IF(ISNUMBER(G162), $B172 * H162, "")</f>
        <v>-1941.7475728155339</v>
      </c>
      <c r="J162" s="13">
        <v>97.2</v>
      </c>
      <c r="K162" s="14">
        <f>IF(ISNUMBER(J162), (J162 - $B162) / $B162, "")</f>
        <v>-5.6310679611650455E-2</v>
      </c>
      <c r="L162" s="16">
        <f>IF(ISNUMBER(J162), $B172 * K162, "")</f>
        <v>-5631.0679611650457</v>
      </c>
      <c r="M162" s="29">
        <v>98.2</v>
      </c>
      <c r="N162" s="14">
        <f>IF(ISNUMBER(M162), (M162 - $B162) / $B162, "")</f>
        <v>-4.6601941747572789E-2</v>
      </c>
      <c r="O162" s="16">
        <f>IF(ISNUMBER(M162), $B172 * N162, "")</f>
        <v>-4660.1941747572791</v>
      </c>
      <c r="Q162" s="220"/>
      <c r="R162" s="221"/>
      <c r="S162" s="222"/>
    </row>
    <row r="163" spans="1:19" ht="17.25" thickBot="1">
      <c r="A163" s="125" t="s">
        <v>168</v>
      </c>
      <c r="B163" s="126">
        <v>993</v>
      </c>
      <c r="C163" s="77">
        <v>8.1218274E-3</v>
      </c>
      <c r="D163" s="15">
        <v>961</v>
      </c>
      <c r="E163" s="32">
        <f t="shared" ref="E163:E166" si="86">IF(ISNUMBER(D163), (D163 - $B163) / $B163, "")</f>
        <v>-3.2225579053373615E-2</v>
      </c>
      <c r="F163" s="18">
        <f>IF(ISNUMBER(D163), $B172 * E163, "")</f>
        <v>-3222.5579053373617</v>
      </c>
      <c r="G163" s="31">
        <v>992</v>
      </c>
      <c r="H163" s="32">
        <f t="shared" ref="H163:H166" si="87">IF(ISNUMBER(G163), (G163 - $B163) / $B163, "")</f>
        <v>-1.0070493454179255E-3</v>
      </c>
      <c r="I163" s="101">
        <f>IF(ISNUMBER(G163), $B172 * H163, "")</f>
        <v>-100.70493454179255</v>
      </c>
      <c r="J163" s="15">
        <v>931</v>
      </c>
      <c r="K163" s="32">
        <f t="shared" ref="K163:K166" si="88">IF(ISNUMBER(J163), (J163 - $B163) / $B163, "")</f>
        <v>-6.2437059415911378E-2</v>
      </c>
      <c r="L163" s="18">
        <f>IF(ISNUMBER(J163), $B172 * K163, "")</f>
        <v>-6243.7059415911381</v>
      </c>
      <c r="M163" s="31">
        <v>943</v>
      </c>
      <c r="N163" s="32">
        <f t="shared" ref="N163:N166" si="89">IF(ISNUMBER(M163), (M163 - $B163) / $B163, "")</f>
        <v>-5.0352467270896276E-2</v>
      </c>
      <c r="O163" s="18">
        <f>IF(ISNUMBER(M163), $B172 * N163, "")</f>
        <v>-5035.2467270896277</v>
      </c>
      <c r="Q163" s="223"/>
      <c r="R163" s="224"/>
      <c r="S163" s="225"/>
    </row>
    <row r="164" spans="1:19" ht="17.25" thickBot="1">
      <c r="A164" s="125" t="s">
        <v>267</v>
      </c>
      <c r="B164" s="126">
        <v>288</v>
      </c>
      <c r="C164" s="77">
        <v>6.9930069999999999E-3</v>
      </c>
      <c r="D164" s="15">
        <v>281</v>
      </c>
      <c r="E164" s="32">
        <f t="shared" si="86"/>
        <v>-2.4305555555555556E-2</v>
      </c>
      <c r="F164" s="18">
        <f>IF(ISNUMBER(D164), $B172 * E164, "")</f>
        <v>-2430.5555555555557</v>
      </c>
      <c r="G164" s="31">
        <v>282</v>
      </c>
      <c r="H164" s="32">
        <f t="shared" si="87"/>
        <v>-2.0833333333333332E-2</v>
      </c>
      <c r="I164" s="101">
        <f>IF(ISNUMBER(G164), $B172 * H164, "")</f>
        <v>-2083.333333333333</v>
      </c>
      <c r="J164" s="15">
        <v>269</v>
      </c>
      <c r="K164" s="32">
        <f t="shared" si="88"/>
        <v>-6.5972222222222224E-2</v>
      </c>
      <c r="L164" s="18">
        <f>IF(ISNUMBER(J164), $B172 * K164, "")</f>
        <v>-6597.2222222222226</v>
      </c>
      <c r="M164" s="31">
        <v>273</v>
      </c>
      <c r="N164" s="32">
        <f t="shared" si="89"/>
        <v>-5.2083333333333336E-2</v>
      </c>
      <c r="O164" s="18">
        <f>IF(ISNUMBER(M164), $B172 * N164, "")</f>
        <v>-5208.3333333333339</v>
      </c>
      <c r="Q164" s="216"/>
      <c r="R164" s="216"/>
      <c r="S164" s="216"/>
    </row>
    <row r="165" spans="1:19" ht="17.25" thickBot="1">
      <c r="A165" s="125" t="s">
        <v>184</v>
      </c>
      <c r="B165" s="126">
        <v>871</v>
      </c>
      <c r="C165" s="77">
        <v>5.7736721000000001E-3</v>
      </c>
      <c r="D165" s="15">
        <v>847</v>
      </c>
      <c r="E165" s="32">
        <f t="shared" si="86"/>
        <v>-2.7554535017221583E-2</v>
      </c>
      <c r="F165" s="18">
        <f>IF(ISNUMBER(D165), $B172 * E165, "")</f>
        <v>-2755.4535017221583</v>
      </c>
      <c r="G165" s="31">
        <v>867</v>
      </c>
      <c r="H165" s="32">
        <f t="shared" si="87"/>
        <v>-4.5924225028702642E-3</v>
      </c>
      <c r="I165" s="101">
        <f>IF(ISNUMBER(G165), $B172 * H165, "")</f>
        <v>-459.24225028702642</v>
      </c>
      <c r="J165" s="15">
        <v>820</v>
      </c>
      <c r="K165" s="32">
        <f t="shared" si="88"/>
        <v>-5.8553386911595867E-2</v>
      </c>
      <c r="L165" s="18">
        <f>IF(ISNUMBER(J165), $B172 * K165, "")</f>
        <v>-5855.3386911595871</v>
      </c>
      <c r="M165" s="31">
        <v>839</v>
      </c>
      <c r="N165" s="32">
        <f t="shared" si="89"/>
        <v>-3.6739380022962113E-2</v>
      </c>
      <c r="O165" s="18">
        <f>IF(ISNUMBER(M165), $B172 * N165, "")</f>
        <v>-3673.9380022962114</v>
      </c>
      <c r="Q165" s="226"/>
      <c r="R165" s="226"/>
      <c r="S165" s="226"/>
    </row>
    <row r="166" spans="1:19" ht="17.25" thickBot="1">
      <c r="A166" s="127" t="s">
        <v>214</v>
      </c>
      <c r="B166" s="128">
        <v>227</v>
      </c>
      <c r="C166" s="78">
        <v>4.4247788000000001E-3</v>
      </c>
      <c r="D166" s="20">
        <v>227</v>
      </c>
      <c r="E166" s="21">
        <f t="shared" si="86"/>
        <v>0</v>
      </c>
      <c r="F166" s="22">
        <f>IF(ISNUMBER(D166), $B172 * E166, "")</f>
        <v>0</v>
      </c>
      <c r="G166" s="30">
        <v>241</v>
      </c>
      <c r="H166" s="21">
        <f t="shared" si="87"/>
        <v>6.1674008810572688E-2</v>
      </c>
      <c r="I166" s="105">
        <f>IF(ISNUMBER(G166), $B172 * H166, "")</f>
        <v>6167.4008810572686</v>
      </c>
      <c r="J166" s="20">
        <v>225</v>
      </c>
      <c r="K166" s="21">
        <f t="shared" si="88"/>
        <v>-8.8105726872246704E-3</v>
      </c>
      <c r="L166" s="22">
        <f>IF(ISNUMBER(J166), $B172 * K166, "")</f>
        <v>-881.05726872246703</v>
      </c>
      <c r="M166" s="30">
        <v>234</v>
      </c>
      <c r="N166" s="21">
        <f t="shared" si="89"/>
        <v>3.0837004405286344E-2</v>
      </c>
      <c r="O166" s="22">
        <f>IF(ISNUMBER(M166), $B172 * N166, "")</f>
        <v>3083.7004405286343</v>
      </c>
      <c r="Q166" s="226"/>
      <c r="R166" s="226"/>
      <c r="S166" s="226"/>
    </row>
    <row r="167" spans="1:19" ht="17.25" thickBot="1">
      <c r="A167" s="125" t="s">
        <v>206</v>
      </c>
      <c r="B167" s="129">
        <v>229</v>
      </c>
      <c r="C167" s="80">
        <v>4.3859648999999999E-3</v>
      </c>
      <c r="D167" s="106">
        <v>225</v>
      </c>
      <c r="E167" s="107">
        <f>IF(ISNUMBER(D167), (D167 - $B167) / $B167, "")</f>
        <v>-1.7467248908296942E-2</v>
      </c>
      <c r="F167" s="108">
        <f>IF(ISNUMBER(D167), $B172 * E167, "")</f>
        <v>-1746.7248908296942</v>
      </c>
      <c r="G167" s="109">
        <v>232</v>
      </c>
      <c r="H167" s="107">
        <f>IF(ISNUMBER(G167), (G167 - $B167) / $B167, "")</f>
        <v>1.3100436681222707E-2</v>
      </c>
      <c r="I167" s="110">
        <f>IF(ISNUMBER(G167), $B172 * H167, "")</f>
        <v>1310.0436681222707</v>
      </c>
      <c r="J167" s="106">
        <v>219</v>
      </c>
      <c r="K167" s="107">
        <f>IF(ISNUMBER(J167), (J167 - $B167) / $B167, "")</f>
        <v>-4.3668122270742356E-2</v>
      </c>
      <c r="L167" s="108">
        <f>IF(ISNUMBER(J167), $B172 * K167, "")</f>
        <v>-4366.812227074236</v>
      </c>
      <c r="M167" s="109">
        <v>226</v>
      </c>
      <c r="N167" s="107">
        <f>IF(ISNUMBER(M167), (M167 - $B167) / $B167, "")</f>
        <v>-1.3100436681222707E-2</v>
      </c>
      <c r="O167" s="108">
        <f>IF(ISNUMBER(M167), $B172 * N167, "")</f>
        <v>-1310.0436681222707</v>
      </c>
      <c r="Q167" s="216"/>
      <c r="R167" s="216"/>
      <c r="S167" s="216"/>
    </row>
    <row r="168" spans="1:19" ht="17.25" thickBot="1">
      <c r="A168" s="125" t="s">
        <v>174</v>
      </c>
      <c r="B168" s="126">
        <v>248</v>
      </c>
      <c r="C168" s="77">
        <v>0</v>
      </c>
      <c r="D168" s="15">
        <v>241</v>
      </c>
      <c r="E168" s="32">
        <f t="shared" ref="E168:E171" si="90">IF(ISNUMBER(D168), (D168 - $B168) / $B168, "")</f>
        <v>-2.8225806451612902E-2</v>
      </c>
      <c r="F168" s="18">
        <f>IF(ISNUMBER(D168), $B172 * E168, "")</f>
        <v>-2822.5806451612902</v>
      </c>
      <c r="G168" s="31">
        <v>246</v>
      </c>
      <c r="H168" s="32">
        <f t="shared" ref="H168:H171" si="91">IF(ISNUMBER(G168), (G168 - $B168) / $B168, "")</f>
        <v>-8.0645161290322578E-3</v>
      </c>
      <c r="I168" s="101">
        <f>IF(ISNUMBER(G168), $B172 * H168, "")</f>
        <v>-806.45161290322574</v>
      </c>
      <c r="J168" s="15">
        <v>234</v>
      </c>
      <c r="K168" s="32">
        <f t="shared" ref="K168:K171" si="92">IF(ISNUMBER(J168), (J168 - $B168) / $B168, "")</f>
        <v>-5.6451612903225805E-2</v>
      </c>
      <c r="L168" s="18">
        <f>IF(ISNUMBER(J168), $B172 * K168, "")</f>
        <v>-5645.1612903225805</v>
      </c>
      <c r="M168" s="31">
        <v>239</v>
      </c>
      <c r="N168" s="32">
        <f t="shared" ref="N168:N171" si="93">IF(ISNUMBER(M168), (M168 - $B168) / $B168, "")</f>
        <v>-3.6290322580645164E-2</v>
      </c>
      <c r="O168" s="18">
        <f>IF(ISNUMBER(M168), $B172 * N168, "")</f>
        <v>-3629.0322580645166</v>
      </c>
      <c r="Q168" s="216"/>
      <c r="R168" s="216"/>
      <c r="S168" s="216"/>
    </row>
    <row r="169" spans="1:19" ht="17.25" thickBot="1">
      <c r="A169" s="125" t="s">
        <v>54</v>
      </c>
      <c r="B169" s="126">
        <v>225</v>
      </c>
      <c r="C169" s="77">
        <v>-4.4247788000000001E-3</v>
      </c>
      <c r="D169" s="15">
        <v>221</v>
      </c>
      <c r="E169" s="32">
        <f t="shared" si="90"/>
        <v>-1.7777777777777778E-2</v>
      </c>
      <c r="F169" s="18">
        <f>IF(ISNUMBER(D169), $B172 * E169, "")</f>
        <v>-1777.7777777777778</v>
      </c>
      <c r="G169" s="31">
        <v>223</v>
      </c>
      <c r="H169" s="32">
        <f t="shared" si="91"/>
        <v>-8.8888888888888889E-3</v>
      </c>
      <c r="I169" s="101">
        <f>IF(ISNUMBER(G169), $B172 * H169, "")</f>
        <v>-888.88888888888891</v>
      </c>
      <c r="J169" s="15">
        <v>214</v>
      </c>
      <c r="K169" s="32">
        <f t="shared" si="92"/>
        <v>-4.8888888888888891E-2</v>
      </c>
      <c r="L169" s="18">
        <f>IF(ISNUMBER(J169), $B172 * K169, "")</f>
        <v>-4888.8888888888896</v>
      </c>
      <c r="M169" s="31">
        <v>215</v>
      </c>
      <c r="N169" s="32">
        <f t="shared" si="93"/>
        <v>-4.4444444444444446E-2</v>
      </c>
      <c r="O169" s="18">
        <f>IF(ISNUMBER(M169), $B172 * N169, "")</f>
        <v>-4444.4444444444443</v>
      </c>
      <c r="Q169" s="216"/>
      <c r="R169" s="216"/>
      <c r="S169" s="216"/>
    </row>
    <row r="170" spans="1:19">
      <c r="A170" s="125" t="s">
        <v>138</v>
      </c>
      <c r="B170" s="126">
        <v>435</v>
      </c>
      <c r="C170" s="77">
        <v>-6.8493151000000004E-3</v>
      </c>
      <c r="D170" s="15">
        <v>421</v>
      </c>
      <c r="E170" s="32">
        <f t="shared" si="90"/>
        <v>-3.2183908045977011E-2</v>
      </c>
      <c r="F170" s="18">
        <f>IF(ISNUMBER(D170), $B172 * E170, "")</f>
        <v>-3218.3908045977009</v>
      </c>
      <c r="G170" s="31">
        <v>426</v>
      </c>
      <c r="H170" s="32">
        <f t="shared" si="91"/>
        <v>-2.0689655172413793E-2</v>
      </c>
      <c r="I170" s="101">
        <f>IF(ISNUMBER(G170), $B172 * H170, "")</f>
        <v>-2068.9655172413791</v>
      </c>
      <c r="J170" s="15">
        <v>412</v>
      </c>
      <c r="K170" s="32">
        <f t="shared" si="92"/>
        <v>-5.2873563218390804E-2</v>
      </c>
      <c r="L170" s="18">
        <f>IF(ISNUMBER(J170), $B172 * K170, "")</f>
        <v>-5287.35632183908</v>
      </c>
      <c r="M170" s="31">
        <v>415</v>
      </c>
      <c r="N170" s="32">
        <f t="shared" si="93"/>
        <v>-4.5977011494252873E-2</v>
      </c>
      <c r="O170" s="18">
        <f>IF(ISNUMBER(M170), $B172 * N170, "")</f>
        <v>-4597.7011494252874</v>
      </c>
      <c r="Q170" s="205"/>
      <c r="R170" s="206"/>
      <c r="S170" s="207"/>
    </row>
    <row r="171" spans="1:19" ht="17.25" thickBot="1">
      <c r="A171" s="130" t="s">
        <v>228</v>
      </c>
      <c r="B171" s="131">
        <v>317</v>
      </c>
      <c r="C171" s="79">
        <v>-9.3749999999999997E-3</v>
      </c>
      <c r="D171" s="24">
        <v>310</v>
      </c>
      <c r="E171" s="25">
        <f t="shared" si="90"/>
        <v>-2.2082018927444796E-2</v>
      </c>
      <c r="F171" s="104">
        <f>IF(ISNUMBER(D171), $B172 * E171, "")</f>
        <v>-2208.2018927444797</v>
      </c>
      <c r="G171" s="102">
        <v>317</v>
      </c>
      <c r="H171" s="25">
        <f t="shared" si="91"/>
        <v>0</v>
      </c>
      <c r="I171" s="103">
        <f>IF(ISNUMBER(G171), $B172 * H171, "")</f>
        <v>0</v>
      </c>
      <c r="J171" s="24">
        <v>303</v>
      </c>
      <c r="K171" s="25">
        <f t="shared" si="92"/>
        <v>-4.4164037854889593E-2</v>
      </c>
      <c r="L171" s="104">
        <f>IF(ISNUMBER(J171), $B172 * K171, "")</f>
        <v>-4416.4037854889593</v>
      </c>
      <c r="M171" s="102">
        <v>308</v>
      </c>
      <c r="N171" s="25">
        <f t="shared" si="93"/>
        <v>-2.8391167192429023E-2</v>
      </c>
      <c r="O171" s="104">
        <f>IF(ISNUMBER(M171), $B172 * N171, "")</f>
        <v>-2839.116719242902</v>
      </c>
      <c r="Q171" s="208"/>
      <c r="R171" s="209"/>
      <c r="S171" s="210"/>
    </row>
    <row r="172" spans="1:19" ht="17.25" thickBot="1">
      <c r="A172" s="132" t="s">
        <v>271</v>
      </c>
      <c r="B172" s="269">
        <f>$B$37</f>
        <v>100000</v>
      </c>
      <c r="C172" s="270"/>
      <c r="D172" s="26" t="s">
        <v>272</v>
      </c>
      <c r="E172" s="27">
        <f>IF(COUNT(E152:E171), SUM(E152:E171) / COUNT(E152:E171), 0)</f>
        <v>-2.4292449933693987E-2</v>
      </c>
      <c r="F172" s="28">
        <f>SUM(F152:F171)</f>
        <v>-48584.899867387983</v>
      </c>
      <c r="G172" s="26" t="s">
        <v>272</v>
      </c>
      <c r="H172" s="27">
        <f>IF(COUNT(H152:H171), SUM(H152:H171) / COUNT(H152:H171), 0)</f>
        <v>-7.2627524041058824E-3</v>
      </c>
      <c r="I172" s="28">
        <f>SUM(I152:I171)</f>
        <v>-14525.504808211761</v>
      </c>
      <c r="J172" s="26" t="s">
        <v>272</v>
      </c>
      <c r="K172" s="27">
        <f>IF(COUNT(K152:K171), SUM(K152:K171) / COUNT(K152:K171), 0)</f>
        <v>-5.0929578006059392E-2</v>
      </c>
      <c r="L172" s="28">
        <f>SUM(L152:L171)</f>
        <v>-101859.15601211881</v>
      </c>
      <c r="M172" s="26" t="s">
        <v>272</v>
      </c>
      <c r="N172" s="27">
        <f>IF(COUNT(N152:N171), SUM(N152:N171) / COUNT(N152:N171), 0)</f>
        <v>-3.4003100425792854E-2</v>
      </c>
      <c r="O172" s="28">
        <f>SUM(O152:O171)</f>
        <v>-68006.200851585731</v>
      </c>
      <c r="Q172" s="211"/>
      <c r="R172" s="212"/>
      <c r="S172" s="213"/>
    </row>
    <row r="174" spans="1:19" ht="17.25" thickBot="1"/>
    <row r="175" spans="1:19" ht="17.25" thickBot="1">
      <c r="A175" s="227" t="s">
        <v>256</v>
      </c>
      <c r="B175" s="228"/>
      <c r="C175" s="228"/>
      <c r="D175" s="228"/>
      <c r="E175" s="228"/>
      <c r="F175" s="228"/>
      <c r="G175" s="228"/>
      <c r="H175" s="228"/>
      <c r="I175" s="228"/>
      <c r="J175" s="228"/>
      <c r="K175" s="228"/>
      <c r="L175" s="228"/>
      <c r="M175" s="228"/>
      <c r="N175" s="228"/>
      <c r="O175" s="229"/>
      <c r="Q175" s="226"/>
      <c r="R175" s="226"/>
      <c r="S175" s="226"/>
    </row>
    <row r="176" spans="1:19" ht="17.25" thickBot="1">
      <c r="A176" s="173" t="s">
        <v>268</v>
      </c>
      <c r="B176" s="227" t="s">
        <v>49</v>
      </c>
      <c r="C176" s="229"/>
      <c r="D176" s="227" t="s">
        <v>58</v>
      </c>
      <c r="E176" s="228"/>
      <c r="F176" s="229"/>
      <c r="G176" s="230">
        <f>_xlfn.IFNA(VLOOKUP(B176, 현재가테이블!$B$2:$D$200, 2, FALSE), "-")</f>
        <v>39916000</v>
      </c>
      <c r="H176" s="231"/>
      <c r="I176" s="232"/>
      <c r="J176" s="227" t="s">
        <v>59</v>
      </c>
      <c r="K176" s="228"/>
      <c r="L176" s="229"/>
      <c r="M176" s="233">
        <f>_xlfn.IFNA(VLOOKUP(B176, 현재가테이블!$B$2:$D$200, 3, FALSE), "-")</f>
        <v>7.3184273000000003E-3</v>
      </c>
      <c r="N176" s="234"/>
      <c r="O176" s="235"/>
      <c r="Q176" s="226"/>
      <c r="R176" s="226"/>
      <c r="S176" s="226"/>
    </row>
    <row r="177" spans="1:19" ht="17.25" thickBot="1">
      <c r="A177" s="271" t="s">
        <v>55</v>
      </c>
      <c r="B177" s="267" t="str">
        <f>TEXT($G$1, "[$-ko-KR]yyyy-mm-dd(ddd) ") &amp; "오전 00:00"</f>
        <v>2021-07-05(월) 오전 00:00</v>
      </c>
      <c r="C177" s="268"/>
      <c r="D177" s="240" t="str">
        <f>TEXT($G$1, "[$-ko-KR]yyyy-mm-dd(ddd) ") &amp; "오후 14:00"</f>
        <v>2021-07-05(월) 오후 14:00</v>
      </c>
      <c r="E177" s="241"/>
      <c r="F177" s="242"/>
      <c r="G177" s="240" t="str">
        <f>TEXT($G$1, "[$-ko-KR]yyyy-mm-dd(ddd) ") &amp; "오후 19:00"</f>
        <v>2021-07-05(월) 오후 19:00</v>
      </c>
      <c r="H177" s="241"/>
      <c r="I177" s="242"/>
      <c r="J177" s="240" t="str">
        <f>TEXT($G$1, "[$-ko-KR]yyyy-mm-dd(ddd) ") &amp; "오후 21:00"</f>
        <v>2021-07-05(월) 오후 21:00</v>
      </c>
      <c r="K177" s="241"/>
      <c r="L177" s="242"/>
      <c r="M177" s="240" t="str">
        <f>TEXT($G$1+1, "[$-ko-KR]yyyy-mm-dd(ddd) ") &amp; "오전 00:00"</f>
        <v>2021-07-06(화) 오전 00:00</v>
      </c>
      <c r="N177" s="241"/>
      <c r="O177" s="242"/>
      <c r="Q177" s="226"/>
      <c r="R177" s="226"/>
      <c r="S177" s="226"/>
    </row>
    <row r="178" spans="1:19" ht="17.25" thickBot="1">
      <c r="A178" s="27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4" t="s">
        <v>58</v>
      </c>
      <c r="H178" s="175" t="s">
        <v>269</v>
      </c>
      <c r="I178" s="17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6"/>
      <c r="R178" s="216"/>
      <c r="S178" s="216"/>
    </row>
    <row r="179" spans="1:19" ht="17.25" thickBot="1">
      <c r="A179" s="123" t="s">
        <v>239</v>
      </c>
      <c r="B179" s="124">
        <v>77.5</v>
      </c>
      <c r="C179" s="76">
        <v>2.5873221E-3</v>
      </c>
      <c r="D179" s="13">
        <v>74.7</v>
      </c>
      <c r="E179" s="14">
        <f>IF(ISNUMBER(D179), (D179 - $B179) / $B179, "")</f>
        <v>-3.6129032258064478E-2</v>
      </c>
      <c r="F179" s="16">
        <f>IF(ISNUMBER(D179), $B199 * E179, "")</f>
        <v>-3612.9032258064476</v>
      </c>
      <c r="G179" s="29">
        <v>79.7</v>
      </c>
      <c r="H179" s="14">
        <f>IF(ISNUMBER(G179), (G179 - $B179) / $B179, "")</f>
        <v>2.8387096774193585E-2</v>
      </c>
      <c r="I179" s="100">
        <f>IF(ISNUMBER(G179), $B199 * H179, "")</f>
        <v>2838.7096774193583</v>
      </c>
      <c r="J179" s="13">
        <v>74</v>
      </c>
      <c r="K179" s="14">
        <f>IF(ISNUMBER(J179), (J179 - $B179) / $B179, "")</f>
        <v>-4.5161290322580643E-2</v>
      </c>
      <c r="L179" s="16">
        <f>IF(ISNUMBER(J179), $B199 * K179, "")</f>
        <v>-4516.1290322580644</v>
      </c>
      <c r="M179" s="29">
        <v>76.400000000000006</v>
      </c>
      <c r="N179" s="14">
        <f>IF(ISNUMBER(M179), (M179 - $B179) / $B179, "")</f>
        <v>-1.41935483870967E-2</v>
      </c>
      <c r="O179" s="16">
        <f>IF(ISNUMBER(M179), $B199 * N179, "")</f>
        <v>-1419.35483870967</v>
      </c>
      <c r="Q179" s="226"/>
      <c r="R179" s="226"/>
      <c r="S179" s="226"/>
    </row>
    <row r="180" spans="1:19" ht="17.25" thickBot="1">
      <c r="A180" s="125" t="s">
        <v>69</v>
      </c>
      <c r="B180" s="126">
        <v>3960</v>
      </c>
      <c r="C180" s="77">
        <v>2.5316456000000001E-3</v>
      </c>
      <c r="D180" s="15">
        <v>3860</v>
      </c>
      <c r="E180" s="32">
        <f t="shared" ref="E180:E183" si="94">IF(ISNUMBER(D180), (D180 - $B180) / $B180, "")</f>
        <v>-2.5252525252525252E-2</v>
      </c>
      <c r="F180" s="18">
        <f>IF(ISNUMBER(D180), $B199 * E180, "")</f>
        <v>-2525.2525252525252</v>
      </c>
      <c r="G180" s="31">
        <v>3915</v>
      </c>
      <c r="H180" s="32">
        <f t="shared" ref="H180:H183" si="95">IF(ISNUMBER(G180), (G180 - $B180) / $B180, "")</f>
        <v>-1.1363636363636364E-2</v>
      </c>
      <c r="I180" s="101">
        <f>IF(ISNUMBER(G180), $B199 * H180, "")</f>
        <v>-1136.3636363636365</v>
      </c>
      <c r="J180" s="15">
        <v>3815</v>
      </c>
      <c r="K180" s="32">
        <f t="shared" ref="K180:K183" si="96">IF(ISNUMBER(J180), (J180 - $B180) / $B180, "")</f>
        <v>-3.6616161616161616E-2</v>
      </c>
      <c r="L180" s="18">
        <f>IF(ISNUMBER(J180), $B199 * K180, "")</f>
        <v>-3661.6161616161617</v>
      </c>
      <c r="M180" s="31">
        <v>3820</v>
      </c>
      <c r="N180" s="32">
        <f t="shared" ref="N180:N183" si="97">IF(ISNUMBER(M180), (M180 - $B180) / $B180, "")</f>
        <v>-3.5353535353535352E-2</v>
      </c>
      <c r="O180" s="18">
        <f>IF(ISNUMBER(M180), $B199 * N180, "")</f>
        <v>-3535.3535353535353</v>
      </c>
      <c r="Q180" s="226"/>
      <c r="R180" s="226"/>
      <c r="S180" s="226"/>
    </row>
    <row r="181" spans="1:19" ht="17.25" thickBot="1">
      <c r="A181" s="125" t="s">
        <v>251</v>
      </c>
      <c r="B181" s="126">
        <v>62.4</v>
      </c>
      <c r="C181" s="77">
        <v>1.6051364E-3</v>
      </c>
      <c r="D181" s="15">
        <v>61.5</v>
      </c>
      <c r="E181" s="32">
        <f t="shared" si="94"/>
        <v>-1.4423076923076901E-2</v>
      </c>
      <c r="F181" s="18">
        <f>IF(ISNUMBER(D181), $B199 * E181, "")</f>
        <v>-1442.3076923076901</v>
      </c>
      <c r="G181" s="31">
        <v>61.9</v>
      </c>
      <c r="H181" s="32">
        <f t="shared" si="95"/>
        <v>-8.0128205128205138E-3</v>
      </c>
      <c r="I181" s="101">
        <f>IF(ISNUMBER(G181), $B199 * H181, "")</f>
        <v>-801.28205128205138</v>
      </c>
      <c r="J181" s="15">
        <v>59.5</v>
      </c>
      <c r="K181" s="32">
        <f t="shared" si="96"/>
        <v>-4.6474358974358955E-2</v>
      </c>
      <c r="L181" s="18">
        <f>IF(ISNUMBER(J181), $B199 * K181, "")</f>
        <v>-4647.4358974358956</v>
      </c>
      <c r="M181" s="31">
        <v>60.2</v>
      </c>
      <c r="N181" s="32">
        <f t="shared" si="97"/>
        <v>-3.5256410256410187E-2</v>
      </c>
      <c r="O181" s="18">
        <f>IF(ISNUMBER(M181), $B199 * N181, "")</f>
        <v>-3525.6410256410186</v>
      </c>
      <c r="Q181" s="216"/>
      <c r="R181" s="216"/>
      <c r="S181" s="216"/>
    </row>
    <row r="182" spans="1:19" ht="17.25" thickBot="1">
      <c r="A182" s="125" t="s">
        <v>106</v>
      </c>
      <c r="B182" s="126">
        <v>37860</v>
      </c>
      <c r="C182" s="77">
        <v>1.5873015999999999E-3</v>
      </c>
      <c r="D182" s="15">
        <v>37140</v>
      </c>
      <c r="E182" s="32">
        <f t="shared" si="94"/>
        <v>-1.9017432646592711E-2</v>
      </c>
      <c r="F182" s="18">
        <f>IF(ISNUMBER(D182), $B199 * E182, "")</f>
        <v>-1901.7432646592711</v>
      </c>
      <c r="G182" s="31">
        <v>37220</v>
      </c>
      <c r="H182" s="32">
        <f t="shared" si="95"/>
        <v>-1.6904384574749076E-2</v>
      </c>
      <c r="I182" s="101">
        <f>IF(ISNUMBER(G182), $B199 * H182, "")</f>
        <v>-1690.4384574749076</v>
      </c>
      <c r="J182" s="15">
        <v>34860</v>
      </c>
      <c r="K182" s="32">
        <f t="shared" si="96"/>
        <v>-7.9239302694136288E-2</v>
      </c>
      <c r="L182" s="18">
        <f>IF(ISNUMBER(J182), $B199 * K182, "")</f>
        <v>-7923.9302694136286</v>
      </c>
      <c r="M182" s="31">
        <v>35240</v>
      </c>
      <c r="N182" s="32">
        <f t="shared" si="97"/>
        <v>-6.9202324352879027E-2</v>
      </c>
      <c r="O182" s="18">
        <f>IF(ISNUMBER(M182), $B199 * N182, "")</f>
        <v>-6920.2324352879023</v>
      </c>
      <c r="Q182" s="216"/>
      <c r="R182" s="216"/>
      <c r="S182" s="216"/>
    </row>
    <row r="183" spans="1:19" ht="17.25" thickBot="1">
      <c r="A183" s="127" t="s">
        <v>198</v>
      </c>
      <c r="B183" s="128">
        <v>12800</v>
      </c>
      <c r="C183" s="78">
        <v>7.8186079999999995E-4</v>
      </c>
      <c r="D183" s="20">
        <v>12310</v>
      </c>
      <c r="E183" s="21">
        <f t="shared" si="94"/>
        <v>-3.8281250000000003E-2</v>
      </c>
      <c r="F183" s="22">
        <f>IF(ISNUMBER(D183), $B199 * E183, "")</f>
        <v>-3828.1250000000005</v>
      </c>
      <c r="G183" s="30">
        <v>12420</v>
      </c>
      <c r="H183" s="21">
        <f t="shared" si="95"/>
        <v>-2.9687499999999999E-2</v>
      </c>
      <c r="I183" s="105">
        <f>IF(ISNUMBER(G183), $B199 * H183, "")</f>
        <v>-2968.75</v>
      </c>
      <c r="J183" s="20">
        <v>11840</v>
      </c>
      <c r="K183" s="21">
        <f t="shared" si="96"/>
        <v>-7.4999999999999997E-2</v>
      </c>
      <c r="L183" s="22">
        <f>IF(ISNUMBER(J183), $B199 * K183, "")</f>
        <v>-7500</v>
      </c>
      <c r="M183" s="30">
        <v>12020</v>
      </c>
      <c r="N183" s="21">
        <f t="shared" si="97"/>
        <v>-6.0937499999999999E-2</v>
      </c>
      <c r="O183" s="22">
        <f>IF(ISNUMBER(M183), $B199 * N183, "")</f>
        <v>-6093.75</v>
      </c>
      <c r="Q183" s="216"/>
      <c r="R183" s="216"/>
      <c r="S183" s="216"/>
    </row>
    <row r="184" spans="1:19" ht="17.25" thickBot="1">
      <c r="A184" s="125" t="s">
        <v>174</v>
      </c>
      <c r="B184" s="129">
        <v>248</v>
      </c>
      <c r="C184" s="80">
        <v>0</v>
      </c>
      <c r="D184" s="106">
        <v>241</v>
      </c>
      <c r="E184" s="107">
        <f>IF(ISNUMBER(D184), (D184 - $B184) / $B184, "")</f>
        <v>-2.8225806451612902E-2</v>
      </c>
      <c r="F184" s="108">
        <f>IF(ISNUMBER(D184), $B199 * E184, "")</f>
        <v>-2822.5806451612902</v>
      </c>
      <c r="G184" s="109">
        <v>246</v>
      </c>
      <c r="H184" s="107">
        <f>IF(ISNUMBER(G184), (G184 - $B184) / $B184, "")</f>
        <v>-8.0645161290322578E-3</v>
      </c>
      <c r="I184" s="110">
        <f>IF(ISNUMBER(G184), $B199 * H184, "")</f>
        <v>-806.45161290322574</v>
      </c>
      <c r="J184" s="106">
        <v>234</v>
      </c>
      <c r="K184" s="107">
        <f>IF(ISNUMBER(J184), (J184 - $B184) / $B184, "")</f>
        <v>-5.6451612903225805E-2</v>
      </c>
      <c r="L184" s="108">
        <f>IF(ISNUMBER(J184), $B199 * K184, "")</f>
        <v>-5645.1612903225805</v>
      </c>
      <c r="M184" s="109">
        <v>239</v>
      </c>
      <c r="N184" s="107">
        <f>IF(ISNUMBER(M184), (M184 - $B184) / $B184, "")</f>
        <v>-3.6290322580645164E-2</v>
      </c>
      <c r="O184" s="108">
        <f>IF(ISNUMBER(M184), $B199 * N184, "")</f>
        <v>-3629.0322580645166</v>
      </c>
      <c r="Q184" s="216"/>
      <c r="R184" s="216"/>
      <c r="S184" s="216"/>
    </row>
    <row r="185" spans="1:19" ht="17.25" thickBot="1">
      <c r="A185" s="125" t="s">
        <v>178</v>
      </c>
      <c r="B185" s="126">
        <v>15.8</v>
      </c>
      <c r="C185" s="77">
        <v>0</v>
      </c>
      <c r="D185" s="15">
        <v>15.5</v>
      </c>
      <c r="E185" s="32">
        <f t="shared" ref="E185:E188" si="98">IF(ISNUMBER(D185), (D185 - $B185) / $B185, "")</f>
        <v>-1.8987341772151944E-2</v>
      </c>
      <c r="F185" s="18">
        <f>IF(ISNUMBER(D185), $B199 * E185, "")</f>
        <v>-1898.7341772151944</v>
      </c>
      <c r="G185" s="31">
        <v>16.3</v>
      </c>
      <c r="H185" s="32">
        <f t="shared" ref="H185:H188" si="99">IF(ISNUMBER(G185), (G185 - $B185) / $B185, "")</f>
        <v>3.164556962025316E-2</v>
      </c>
      <c r="I185" s="101">
        <f>IF(ISNUMBER(G185), $B199 * H185, "")</f>
        <v>3164.5569620253159</v>
      </c>
      <c r="J185" s="15">
        <v>15.4</v>
      </c>
      <c r="K185" s="32">
        <f t="shared" ref="K185:K188" si="100">IF(ISNUMBER(J185), (J185 - $B185) / $B185, "")</f>
        <v>-2.5316455696202552E-2</v>
      </c>
      <c r="L185" s="18">
        <f>IF(ISNUMBER(J185), $B199 * K185, "")</f>
        <v>-2531.6455696202552</v>
      </c>
      <c r="M185" s="31">
        <v>15.7</v>
      </c>
      <c r="N185" s="32">
        <f t="shared" ref="N185:N188" si="101">IF(ISNUMBER(M185), (M185 - $B185) / $B185, "")</f>
        <v>-6.3291139240507222E-3</v>
      </c>
      <c r="O185" s="18">
        <f>IF(ISNUMBER(M185), $B199 * N185, "")</f>
        <v>-632.91139240507221</v>
      </c>
      <c r="Q185" s="216"/>
      <c r="R185" s="216"/>
      <c r="S185" s="216"/>
    </row>
    <row r="186" spans="1:19" ht="17.25" thickBot="1">
      <c r="A186" s="125" t="s">
        <v>72</v>
      </c>
      <c r="B186" s="126">
        <v>19.3</v>
      </c>
      <c r="C186" s="77">
        <v>0</v>
      </c>
      <c r="D186" s="15">
        <v>18.8</v>
      </c>
      <c r="E186" s="32">
        <f t="shared" si="98"/>
        <v>-2.5906735751295335E-2</v>
      </c>
      <c r="F186" s="18">
        <f>IF(ISNUMBER(D186), $B199 * E186, "")</f>
        <v>-2590.6735751295337</v>
      </c>
      <c r="G186" s="31">
        <v>19.399999999999999</v>
      </c>
      <c r="H186" s="32">
        <f t="shared" si="99"/>
        <v>5.1813471502589565E-3</v>
      </c>
      <c r="I186" s="101">
        <f>IF(ISNUMBER(G186), $B199 * H186, "")</f>
        <v>518.13471502589562</v>
      </c>
      <c r="J186" s="15">
        <v>18</v>
      </c>
      <c r="K186" s="32">
        <f t="shared" si="100"/>
        <v>-6.7357512953367907E-2</v>
      </c>
      <c r="L186" s="18">
        <f>IF(ISNUMBER(J186), $B199 * K186, "")</f>
        <v>-6735.7512953367905</v>
      </c>
      <c r="M186" s="31">
        <v>18.5</v>
      </c>
      <c r="N186" s="32">
        <f t="shared" si="101"/>
        <v>-4.1450777202072575E-2</v>
      </c>
      <c r="O186" s="18">
        <f>IF(ISNUMBER(M186), $B199 * N186, "")</f>
        <v>-4145.0777202072577</v>
      </c>
      <c r="Q186" s="216"/>
      <c r="R186" s="216"/>
      <c r="S186" s="216"/>
    </row>
    <row r="187" spans="1:19" ht="17.25" thickBot="1">
      <c r="A187" s="125" t="s">
        <v>210</v>
      </c>
      <c r="B187" s="126">
        <v>10.199999999999999</v>
      </c>
      <c r="C187" s="77">
        <v>0</v>
      </c>
      <c r="D187" s="15">
        <v>10.199999999999999</v>
      </c>
      <c r="E187" s="32">
        <f t="shared" si="98"/>
        <v>0</v>
      </c>
      <c r="F187" s="18">
        <f>IF(ISNUMBER(D187), $B199 * E187, "")</f>
        <v>0</v>
      </c>
      <c r="G187" s="31">
        <v>11</v>
      </c>
      <c r="H187" s="32">
        <f t="shared" si="99"/>
        <v>7.8431372549019676E-2</v>
      </c>
      <c r="I187" s="101">
        <f>IF(ISNUMBER(G187), $B199 * H187, "")</f>
        <v>7843.1372549019679</v>
      </c>
      <c r="J187" s="15">
        <v>9.83</v>
      </c>
      <c r="K187" s="32">
        <f t="shared" si="100"/>
        <v>-3.6274509803921495E-2</v>
      </c>
      <c r="L187" s="18">
        <f>IF(ISNUMBER(J187), $B199 * K187, "")</f>
        <v>-3627.4509803921496</v>
      </c>
      <c r="M187" s="31">
        <v>10.199999999999999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162</v>
      </c>
      <c r="B188" s="131">
        <v>86.1</v>
      </c>
      <c r="C188" s="79">
        <v>-3.4722222000000001E-3</v>
      </c>
      <c r="D188" s="24">
        <v>83</v>
      </c>
      <c r="E188" s="25">
        <f t="shared" si="98"/>
        <v>-3.6004645760743255E-2</v>
      </c>
      <c r="F188" s="104">
        <f>IF(ISNUMBER(D188), $B199 * E188, "")</f>
        <v>-3600.4645760743256</v>
      </c>
      <c r="G188" s="102">
        <v>84.5</v>
      </c>
      <c r="H188" s="25">
        <f t="shared" si="99"/>
        <v>-1.858304297328681E-2</v>
      </c>
      <c r="I188" s="103">
        <f>IF(ISNUMBER(G188), $B199 * H188, "")</f>
        <v>-1858.3042973286811</v>
      </c>
      <c r="J188" s="24">
        <v>80.5</v>
      </c>
      <c r="K188" s="25">
        <f t="shared" si="100"/>
        <v>-6.5040650406504003E-2</v>
      </c>
      <c r="L188" s="104">
        <f>IF(ISNUMBER(J188), $B199 * K188, "")</f>
        <v>-6504.0650406504001</v>
      </c>
      <c r="M188" s="102">
        <v>82.2</v>
      </c>
      <c r="N188" s="25">
        <f t="shared" si="101"/>
        <v>-4.5296167247386665E-2</v>
      </c>
      <c r="O188" s="104">
        <f>IF(ISNUMBER(M188), $B199 * N188, "")</f>
        <v>-4529.6167247386666</v>
      </c>
      <c r="Q188" s="217"/>
      <c r="R188" s="218"/>
      <c r="S188" s="219"/>
    </row>
    <row r="189" spans="1:19">
      <c r="A189" s="123" t="s">
        <v>247</v>
      </c>
      <c r="B189" s="124">
        <v>7050</v>
      </c>
      <c r="C189" s="76">
        <v>-4.2372881000000001E-3</v>
      </c>
      <c r="D189" s="13">
        <v>7195</v>
      </c>
      <c r="E189" s="14">
        <f>IF(ISNUMBER(D189), (D189 - $B189) / $B189, "")</f>
        <v>2.0567375886524821E-2</v>
      </c>
      <c r="F189" s="16">
        <f>IF(ISNUMBER(D189), $B199 * E189, "")</f>
        <v>2056.7375886524819</v>
      </c>
      <c r="G189" s="29">
        <v>7170</v>
      </c>
      <c r="H189" s="14">
        <f>IF(ISNUMBER(G189), (G189 - $B189) / $B189, "")</f>
        <v>1.7021276595744681E-2</v>
      </c>
      <c r="I189" s="100">
        <f>IF(ISNUMBER(G189), $B199 * H189, "")</f>
        <v>1702.1276595744682</v>
      </c>
      <c r="J189" s="13">
        <v>6755</v>
      </c>
      <c r="K189" s="14">
        <f>IF(ISNUMBER(J189), (J189 - $B189) / $B189, "")</f>
        <v>-4.1843971631205672E-2</v>
      </c>
      <c r="L189" s="16">
        <f>IF(ISNUMBER(J189), $B199 * K189, "")</f>
        <v>-4184.3971631205668</v>
      </c>
      <c r="M189" s="29">
        <v>6855</v>
      </c>
      <c r="N189" s="14">
        <f>IF(ISNUMBER(M189), (M189 - $B189) / $B189, "")</f>
        <v>-2.7659574468085105E-2</v>
      </c>
      <c r="O189" s="16">
        <f>IF(ISNUMBER(M189), $B199 * N189, "")</f>
        <v>-2765.9574468085107</v>
      </c>
      <c r="Q189" s="220"/>
      <c r="R189" s="221"/>
      <c r="S189" s="222"/>
    </row>
    <row r="190" spans="1:19" ht="17.25" thickBot="1">
      <c r="A190" s="125" t="s">
        <v>54</v>
      </c>
      <c r="B190" s="126">
        <v>225</v>
      </c>
      <c r="C190" s="77">
        <v>-4.4247788000000001E-3</v>
      </c>
      <c r="D190" s="15">
        <v>221</v>
      </c>
      <c r="E190" s="32">
        <f t="shared" ref="E190:E193" si="102">IF(ISNUMBER(D190), (D190 - $B190) / $B190, "")</f>
        <v>-1.7777777777777778E-2</v>
      </c>
      <c r="F190" s="18">
        <f>IF(ISNUMBER(D190), $B199 * E190, "")</f>
        <v>-1777.7777777777778</v>
      </c>
      <c r="G190" s="31">
        <v>223</v>
      </c>
      <c r="H190" s="32">
        <f t="shared" ref="H190:H193" si="103">IF(ISNUMBER(G190), (G190 - $B190) / $B190, "")</f>
        <v>-8.8888888888888889E-3</v>
      </c>
      <c r="I190" s="101">
        <f>IF(ISNUMBER(G190), $B199 * H190, "")</f>
        <v>-888.88888888888891</v>
      </c>
      <c r="J190" s="15">
        <v>214</v>
      </c>
      <c r="K190" s="32">
        <f t="shared" ref="K190:K193" si="104">IF(ISNUMBER(J190), (J190 - $B190) / $B190, "")</f>
        <v>-4.8888888888888891E-2</v>
      </c>
      <c r="L190" s="18">
        <f>IF(ISNUMBER(J190), $B199 * K190, "")</f>
        <v>-4888.8888888888896</v>
      </c>
      <c r="M190" s="31">
        <v>215</v>
      </c>
      <c r="N190" s="32">
        <f t="shared" ref="N190:N193" si="105">IF(ISNUMBER(M190), (M190 - $B190) / $B190, "")</f>
        <v>-4.4444444444444446E-2</v>
      </c>
      <c r="O190" s="18">
        <f>IF(ISNUMBER(M190), $B199 * N190, "")</f>
        <v>-4444.4444444444443</v>
      </c>
      <c r="Q190" s="223"/>
      <c r="R190" s="224"/>
      <c r="S190" s="225"/>
    </row>
    <row r="191" spans="1:19" ht="17.25" thickBot="1">
      <c r="A191" s="125" t="s">
        <v>182</v>
      </c>
      <c r="B191" s="126">
        <v>51530</v>
      </c>
      <c r="C191" s="77">
        <v>-5.4043620999999998E-3</v>
      </c>
      <c r="D191" s="15">
        <v>50170</v>
      </c>
      <c r="E191" s="32">
        <f t="shared" si="102"/>
        <v>-2.6392392780904328E-2</v>
      </c>
      <c r="F191" s="18">
        <f>IF(ISNUMBER(D191), $B199 * E191, "")</f>
        <v>-2639.2392780904329</v>
      </c>
      <c r="G191" s="31">
        <v>51070</v>
      </c>
      <c r="H191" s="32">
        <f t="shared" si="103"/>
        <v>-8.9268387347176403E-3</v>
      </c>
      <c r="I191" s="101">
        <f>IF(ISNUMBER(G191), $B199 * H191, "")</f>
        <v>-892.68387347176406</v>
      </c>
      <c r="J191" s="15">
        <v>48990</v>
      </c>
      <c r="K191" s="32">
        <f t="shared" si="104"/>
        <v>-4.9291674752571318E-2</v>
      </c>
      <c r="L191" s="18">
        <f>IF(ISNUMBER(J191), $B199 * K191, "")</f>
        <v>-4929.1674752571316</v>
      </c>
      <c r="M191" s="31">
        <v>50100</v>
      </c>
      <c r="N191" s="32">
        <f t="shared" si="105"/>
        <v>-2.7750824762274404E-2</v>
      </c>
      <c r="O191" s="18">
        <f>IF(ISNUMBER(M191), $B199 * N191, "")</f>
        <v>-2775.0824762274406</v>
      </c>
      <c r="Q191" s="216"/>
      <c r="R191" s="216"/>
      <c r="S191" s="216"/>
    </row>
    <row r="192" spans="1:19" ht="17.25" thickBot="1">
      <c r="A192" s="125" t="s">
        <v>138</v>
      </c>
      <c r="B192" s="126">
        <v>435</v>
      </c>
      <c r="C192" s="77">
        <v>-6.8493151000000004E-3</v>
      </c>
      <c r="D192" s="15">
        <v>421</v>
      </c>
      <c r="E192" s="32">
        <f t="shared" si="102"/>
        <v>-3.2183908045977011E-2</v>
      </c>
      <c r="F192" s="18">
        <f>IF(ISNUMBER(D192), $B199 * E192, "")</f>
        <v>-3218.3908045977009</v>
      </c>
      <c r="G192" s="31">
        <v>426</v>
      </c>
      <c r="H192" s="32">
        <f t="shared" si="103"/>
        <v>-2.0689655172413793E-2</v>
      </c>
      <c r="I192" s="101">
        <f>IF(ISNUMBER(G192), $B199 * H192, "")</f>
        <v>-2068.9655172413791</v>
      </c>
      <c r="J192" s="15">
        <v>412</v>
      </c>
      <c r="K192" s="32">
        <f t="shared" si="104"/>
        <v>-5.2873563218390804E-2</v>
      </c>
      <c r="L192" s="18">
        <f>IF(ISNUMBER(J192), $B199 * K192, "")</f>
        <v>-5287.35632183908</v>
      </c>
      <c r="M192" s="31">
        <v>415</v>
      </c>
      <c r="N192" s="32">
        <f t="shared" si="105"/>
        <v>-4.5977011494252873E-2</v>
      </c>
      <c r="O192" s="18">
        <f>IF(ISNUMBER(M192), $B199 * N192, "")</f>
        <v>-4597.7011494252874</v>
      </c>
      <c r="Q192" s="226"/>
      <c r="R192" s="226"/>
      <c r="S192" s="226"/>
    </row>
    <row r="193" spans="1:19" ht="17.25" thickBot="1">
      <c r="A193" s="127" t="s">
        <v>228</v>
      </c>
      <c r="B193" s="128">
        <v>317</v>
      </c>
      <c r="C193" s="78">
        <v>-9.3749999999999997E-3</v>
      </c>
      <c r="D193" s="20">
        <v>310</v>
      </c>
      <c r="E193" s="21">
        <f t="shared" si="102"/>
        <v>-2.2082018927444796E-2</v>
      </c>
      <c r="F193" s="22">
        <f>IF(ISNUMBER(D193), $B199 * E193, "")</f>
        <v>-2208.2018927444797</v>
      </c>
      <c r="G193" s="30">
        <v>317</v>
      </c>
      <c r="H193" s="21">
        <f t="shared" si="103"/>
        <v>0</v>
      </c>
      <c r="I193" s="105">
        <f>IF(ISNUMBER(G193), $B199 * H193, "")</f>
        <v>0</v>
      </c>
      <c r="J193" s="20">
        <v>303</v>
      </c>
      <c r="K193" s="21">
        <f t="shared" si="104"/>
        <v>-4.4164037854889593E-2</v>
      </c>
      <c r="L193" s="22">
        <f>IF(ISNUMBER(J193), $B199 * K193, "")</f>
        <v>-4416.4037854889593</v>
      </c>
      <c r="M193" s="30">
        <v>308</v>
      </c>
      <c r="N193" s="21">
        <f t="shared" si="105"/>
        <v>-2.8391167192429023E-2</v>
      </c>
      <c r="O193" s="22">
        <f>IF(ISNUMBER(M193), $B199 * N193, "")</f>
        <v>-2839.116719242902</v>
      </c>
      <c r="Q193" s="226"/>
      <c r="R193" s="226"/>
      <c r="S193" s="226"/>
    </row>
    <row r="194" spans="1:19" ht="17.25" thickBot="1">
      <c r="A194" s="125" t="s">
        <v>249</v>
      </c>
      <c r="B194" s="129">
        <v>2035</v>
      </c>
      <c r="C194" s="80">
        <v>-9.7323601000000003E-3</v>
      </c>
      <c r="D194" s="106">
        <v>2000</v>
      </c>
      <c r="E194" s="107">
        <f>IF(ISNUMBER(D194), (D194 - $B194) / $B194, "")</f>
        <v>-1.7199017199017199E-2</v>
      </c>
      <c r="F194" s="108">
        <f>IF(ISNUMBER(D194), $B199 * E194, "")</f>
        <v>-1719.9017199017198</v>
      </c>
      <c r="G194" s="109">
        <v>2040</v>
      </c>
      <c r="H194" s="107">
        <f>IF(ISNUMBER(G194), (G194 - $B194) / $B194, "")</f>
        <v>2.4570024570024569E-3</v>
      </c>
      <c r="I194" s="110">
        <f>IF(ISNUMBER(G194), $B199 * H194, "")</f>
        <v>245.70024570024569</v>
      </c>
      <c r="J194" s="106">
        <v>1950</v>
      </c>
      <c r="K194" s="107">
        <f>IF(ISNUMBER(J194), (J194 - $B194) / $B194, "")</f>
        <v>-4.1769041769041768E-2</v>
      </c>
      <c r="L194" s="108">
        <f>IF(ISNUMBER(J194), $B199 * K194, "")</f>
        <v>-4176.9041769041769</v>
      </c>
      <c r="M194" s="109">
        <v>1955</v>
      </c>
      <c r="N194" s="107">
        <f>IF(ISNUMBER(M194), (M194 - $B194) / $B194, "")</f>
        <v>-3.9312039312039311E-2</v>
      </c>
      <c r="O194" s="108">
        <f>IF(ISNUMBER(M194), $B199 * N194, "")</f>
        <v>-3931.203931203931</v>
      </c>
      <c r="Q194" s="216"/>
      <c r="R194" s="216"/>
      <c r="S194" s="216"/>
    </row>
    <row r="195" spans="1:19" ht="17.25" thickBot="1">
      <c r="A195" s="125" t="s">
        <v>65</v>
      </c>
      <c r="B195" s="126">
        <v>29</v>
      </c>
      <c r="C195" s="77">
        <v>-1.02389078E-2</v>
      </c>
      <c r="D195" s="15">
        <v>28.2</v>
      </c>
      <c r="E195" s="32">
        <f t="shared" ref="E195:E198" si="106">IF(ISNUMBER(D195), (D195 - $B195) / $B195, "")</f>
        <v>-2.7586206896551748E-2</v>
      </c>
      <c r="F195" s="18">
        <f>IF(ISNUMBER(D195), $B199 * E195, "")</f>
        <v>-2758.6206896551748</v>
      </c>
      <c r="G195" s="31">
        <v>29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27.5</v>
      </c>
      <c r="K195" s="32">
        <f t="shared" ref="K195:K198" si="108">IF(ISNUMBER(J195), (J195 - $B195) / $B195, "")</f>
        <v>-5.1724137931034482E-2</v>
      </c>
      <c r="L195" s="18">
        <f>IF(ISNUMBER(J195), $B199 * K195, "")</f>
        <v>-5172.4137931034484</v>
      </c>
      <c r="M195" s="31">
        <v>28.3</v>
      </c>
      <c r="N195" s="32">
        <f t="shared" ref="N195:N198" si="109">IF(ISNUMBER(M195), (M195 - $B195) / $B195, "")</f>
        <v>-2.4137931034482734E-2</v>
      </c>
      <c r="O195" s="18">
        <f>IF(ISNUMBER(M195), $B199 * N195, "")</f>
        <v>-2413.7931034482735</v>
      </c>
      <c r="Q195" s="216"/>
      <c r="R195" s="216"/>
      <c r="S195" s="216"/>
    </row>
    <row r="196" spans="1:19" ht="17.25" thickBot="1">
      <c r="A196" s="125" t="s">
        <v>172</v>
      </c>
      <c r="B196" s="126">
        <v>2145</v>
      </c>
      <c r="C196" s="77">
        <v>-1.15207373E-2</v>
      </c>
      <c r="D196" s="15">
        <v>2075</v>
      </c>
      <c r="E196" s="32">
        <f t="shared" si="106"/>
        <v>-3.2634032634032632E-2</v>
      </c>
      <c r="F196" s="18">
        <f>IF(ISNUMBER(D196), $B199 * E196, "")</f>
        <v>-3263.4032634032633</v>
      </c>
      <c r="G196" s="31">
        <v>2125</v>
      </c>
      <c r="H196" s="32">
        <f t="shared" si="107"/>
        <v>-9.324009324009324E-3</v>
      </c>
      <c r="I196" s="101">
        <f>IF(ISNUMBER(G196), $B199 * H196, "")</f>
        <v>-932.40093240093245</v>
      </c>
      <c r="J196" s="15">
        <v>2000</v>
      </c>
      <c r="K196" s="32">
        <f t="shared" si="108"/>
        <v>-6.75990675990676E-2</v>
      </c>
      <c r="L196" s="18">
        <f>IF(ISNUMBER(J196), $B199 * K196, "")</f>
        <v>-6759.9067599067603</v>
      </c>
      <c r="M196" s="31">
        <v>2080</v>
      </c>
      <c r="N196" s="32">
        <f t="shared" si="109"/>
        <v>-3.0303030303030304E-2</v>
      </c>
      <c r="O196" s="18">
        <f>IF(ISNUMBER(M196), $B199 * N196, "")</f>
        <v>-3030.3030303030305</v>
      </c>
      <c r="Q196" s="216"/>
      <c r="R196" s="216"/>
      <c r="S196" s="216"/>
    </row>
    <row r="197" spans="1:19">
      <c r="A197" s="125" t="s">
        <v>122</v>
      </c>
      <c r="B197" s="126">
        <v>24.8</v>
      </c>
      <c r="C197" s="77">
        <v>-1.19521912E-2</v>
      </c>
      <c r="D197" s="15">
        <v>24.1</v>
      </c>
      <c r="E197" s="32">
        <f t="shared" si="106"/>
        <v>-2.8225806451612875E-2</v>
      </c>
      <c r="F197" s="18">
        <f>IF(ISNUMBER(D197), $B199 * E197, "")</f>
        <v>-2822.5806451612875</v>
      </c>
      <c r="G197" s="31">
        <v>24.8</v>
      </c>
      <c r="H197" s="32">
        <f t="shared" si="107"/>
        <v>0</v>
      </c>
      <c r="I197" s="101">
        <f>IF(ISNUMBER(G197), $B199 * H197, "")</f>
        <v>0</v>
      </c>
      <c r="J197" s="15">
        <v>23.4</v>
      </c>
      <c r="K197" s="32">
        <f t="shared" si="108"/>
        <v>-5.6451612903225888E-2</v>
      </c>
      <c r="L197" s="18">
        <f>IF(ISNUMBER(J197), $B199 * K197, "")</f>
        <v>-5645.1612903225887</v>
      </c>
      <c r="M197" s="31">
        <v>23.8</v>
      </c>
      <c r="N197" s="32">
        <f t="shared" si="109"/>
        <v>-4.0322580645161289E-2</v>
      </c>
      <c r="O197" s="18">
        <f>IF(ISNUMBER(M197), $B199 * N197, "")</f>
        <v>-4032.2580645161288</v>
      </c>
      <c r="Q197" s="205"/>
      <c r="R197" s="206"/>
      <c r="S197" s="207"/>
    </row>
    <row r="198" spans="1:19" ht="17.25" thickBot="1">
      <c r="A198" s="130" t="s">
        <v>140</v>
      </c>
      <c r="B198" s="131">
        <v>5245</v>
      </c>
      <c r="C198" s="79">
        <v>-1.77902622E-2</v>
      </c>
      <c r="D198" s="24">
        <v>5290</v>
      </c>
      <c r="E198" s="25">
        <f t="shared" si="106"/>
        <v>8.5795996186844616E-3</v>
      </c>
      <c r="F198" s="104">
        <f>IF(ISNUMBER(D198), $B199 * E198, "")</f>
        <v>857.95996186844616</v>
      </c>
      <c r="G198" s="102">
        <v>5455</v>
      </c>
      <c r="H198" s="25">
        <f t="shared" si="107"/>
        <v>4.0038131553860823E-2</v>
      </c>
      <c r="I198" s="103">
        <f>IF(ISNUMBER(G198), $B199 * H198, "")</f>
        <v>4003.8131553860821</v>
      </c>
      <c r="J198" s="24">
        <v>5125</v>
      </c>
      <c r="K198" s="25">
        <f t="shared" si="108"/>
        <v>-2.2878932316491896E-2</v>
      </c>
      <c r="L198" s="104">
        <f>IF(ISNUMBER(J198), $B199 * K198, "")</f>
        <v>-2287.8932316491896</v>
      </c>
      <c r="M198" s="102">
        <v>5160</v>
      </c>
      <c r="N198" s="25">
        <f t="shared" si="109"/>
        <v>-1.6205910390848427E-2</v>
      </c>
      <c r="O198" s="104">
        <f>IF(ISNUMBER(M198), $B199 * N198, "")</f>
        <v>-1620.5910390848428</v>
      </c>
      <c r="Q198" s="208"/>
      <c r="R198" s="209"/>
      <c r="S198" s="210"/>
    </row>
    <row r="199" spans="1:19" ht="17.25" thickBot="1">
      <c r="A199" s="132" t="s">
        <v>271</v>
      </c>
      <c r="B199" s="269">
        <f>$B$37</f>
        <v>100000</v>
      </c>
      <c r="C199" s="270"/>
      <c r="D199" s="26" t="s">
        <v>272</v>
      </c>
      <c r="E199" s="27">
        <f>IF(COUNT(E179:E198), SUM(E179:E198) / COUNT(E179:E198), 0)</f>
        <v>-2.0858101601208594E-2</v>
      </c>
      <c r="F199" s="28">
        <f>SUM(F179:F198)</f>
        <v>-41716.203202417193</v>
      </c>
      <c r="G199" s="26" t="s">
        <v>272</v>
      </c>
      <c r="H199" s="27">
        <f>IF(COUNT(H179:H198), SUM(H179:H198) / COUNT(H179:H198), 0)</f>
        <v>3.1358252013389334E-3</v>
      </c>
      <c r="I199" s="28">
        <f>SUM(I179:I198)</f>
        <v>6271.6504026778675</v>
      </c>
      <c r="J199" s="26" t="s">
        <v>272</v>
      </c>
      <c r="K199" s="27">
        <f>IF(COUNT(K179:K198), SUM(K179:K198) / COUNT(K179:K198), 0)</f>
        <v>-5.0520839211763355E-2</v>
      </c>
      <c r="L199" s="28">
        <f>SUM(L179:L198)</f>
        <v>-101041.67842352671</v>
      </c>
      <c r="M199" s="26" t="s">
        <v>272</v>
      </c>
      <c r="N199" s="27">
        <f>IF(COUNT(N179:N198), SUM(N179:N198) / COUNT(N179:N198), 0)</f>
        <v>-3.344071066755621E-2</v>
      </c>
      <c r="O199" s="28">
        <f>SUM(O179:O198)</f>
        <v>-66881.421335112434</v>
      </c>
      <c r="Q199" s="211"/>
      <c r="R199" s="212"/>
      <c r="S199" s="2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C815B-5FA4-45C4-8094-9AA1C26737AE}">
  <sheetPr codeName="Sheet12"/>
  <dimension ref="A1:S199"/>
  <sheetViews>
    <sheetView topLeftCell="A169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7" t="s">
        <v>0</v>
      </c>
      <c r="B1" s="228"/>
      <c r="C1" s="228"/>
      <c r="D1" s="228"/>
      <c r="E1" s="228"/>
      <c r="F1" s="229"/>
      <c r="G1" s="258">
        <v>44383</v>
      </c>
      <c r="H1" s="259"/>
      <c r="I1" s="260"/>
      <c r="J1" s="227" t="s">
        <v>1</v>
      </c>
      <c r="K1" s="228"/>
      <c r="L1" s="228"/>
      <c r="M1" s="228"/>
      <c r="N1" s="228"/>
      <c r="O1" s="229"/>
      <c r="Q1" s="227" t="s">
        <v>2</v>
      </c>
      <c r="R1" s="229"/>
    </row>
    <row r="2" spans="1:19" ht="17.25" customHeight="1">
      <c r="A2" s="117" t="s">
        <v>3</v>
      </c>
      <c r="B2" s="261" t="s">
        <v>8</v>
      </c>
      <c r="C2" s="262"/>
      <c r="D2" s="262"/>
      <c r="E2" s="262"/>
      <c r="F2" s="263"/>
      <c r="G2" s="255" t="s">
        <v>46</v>
      </c>
      <c r="H2" s="256"/>
      <c r="I2" s="257"/>
      <c r="J2" s="1" t="s">
        <v>3</v>
      </c>
      <c r="K2" s="261" t="s">
        <v>321</v>
      </c>
      <c r="L2" s="262"/>
      <c r="M2" s="262"/>
      <c r="N2" s="262"/>
      <c r="O2" s="263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329</v>
      </c>
      <c r="C3" s="253"/>
      <c r="D3" s="253"/>
      <c r="E3" s="253"/>
      <c r="F3" s="254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34,624 KRW (1.73%)</v>
      </c>
      <c r="H3" s="249"/>
      <c r="I3" s="250"/>
      <c r="J3" s="4" t="s">
        <v>7</v>
      </c>
      <c r="K3" s="252" t="s">
        <v>322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55" t="s">
        <v>44</v>
      </c>
      <c r="H4" s="256"/>
      <c r="I4" s="257"/>
      <c r="J4" s="4" t="s">
        <v>11</v>
      </c>
      <c r="K4" s="252" t="s">
        <v>323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320</v>
      </c>
      <c r="C5" s="253"/>
      <c r="D5" s="253"/>
      <c r="E5" s="253"/>
      <c r="F5" s="254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54,814 KRW (2.74%)</v>
      </c>
      <c r="H5" s="249"/>
      <c r="I5" s="250"/>
      <c r="J5" s="4" t="s">
        <v>15</v>
      </c>
      <c r="K5" s="252" t="s">
        <v>324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55" t="s">
        <v>45</v>
      </c>
      <c r="H6" s="256"/>
      <c r="I6" s="257"/>
      <c r="J6" s="4" t="s">
        <v>18</v>
      </c>
      <c r="K6" s="252" t="s">
        <v>325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53,300 KRW (2.66%)</v>
      </c>
      <c r="H7" s="249"/>
      <c r="I7" s="250"/>
      <c r="J7" s="4" t="s">
        <v>21</v>
      </c>
      <c r="K7" s="252" t="s">
        <v>326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55" t="s">
        <v>256</v>
      </c>
      <c r="H8" s="256"/>
      <c r="I8" s="257"/>
      <c r="J8" s="4" t="s">
        <v>24</v>
      </c>
      <c r="K8" s="252"/>
      <c r="L8" s="253"/>
      <c r="M8" s="253"/>
      <c r="N8" s="253"/>
      <c r="O8" s="254"/>
      <c r="Q8" s="227" t="s">
        <v>27</v>
      </c>
      <c r="R8" s="229"/>
    </row>
    <row r="9" spans="1:19" ht="17.25" thickBot="1">
      <c r="A9" s="118" t="s">
        <v>28</v>
      </c>
      <c r="B9" s="252"/>
      <c r="C9" s="253"/>
      <c r="D9" s="253"/>
      <c r="E9" s="253"/>
      <c r="F9" s="254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74,099 KRW (3.70%)</v>
      </c>
      <c r="H9" s="249"/>
      <c r="I9" s="250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55" t="s">
        <v>47</v>
      </c>
      <c r="H10" s="256"/>
      <c r="I10" s="257"/>
      <c r="J10" s="4" t="s">
        <v>30</v>
      </c>
      <c r="K10" s="252" t="s">
        <v>327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45" t="s">
        <v>328</v>
      </c>
      <c r="C11" s="246"/>
      <c r="D11" s="246"/>
      <c r="E11" s="246"/>
      <c r="F11" s="247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45" t="s">
        <v>319</v>
      </c>
      <c r="L11" s="246"/>
      <c r="M11" s="246"/>
      <c r="N11" s="246"/>
      <c r="O11" s="247"/>
      <c r="Q11" s="65" t="s">
        <v>33</v>
      </c>
      <c r="R11" s="8">
        <v>1000</v>
      </c>
    </row>
    <row r="12" spans="1:19" ht="17.25" thickBot="1"/>
    <row r="13" spans="1:19" ht="17.25" customHeight="1" thickBot="1">
      <c r="A13" s="227" t="s">
        <v>34</v>
      </c>
      <c r="B13" s="228"/>
      <c r="C13" s="228"/>
      <c r="D13" s="228"/>
      <c r="E13" s="228"/>
      <c r="F13" s="228"/>
      <c r="G13" s="228"/>
      <c r="H13" s="228"/>
      <c r="I13" s="228"/>
      <c r="J13" s="228"/>
      <c r="K13" s="228"/>
      <c r="L13" s="228"/>
      <c r="M13" s="228"/>
      <c r="N13" s="228"/>
      <c r="O13" s="229"/>
      <c r="Q13" s="226"/>
      <c r="R13" s="226"/>
      <c r="S13" s="226"/>
    </row>
    <row r="14" spans="1:19" ht="17.25" customHeight="1" thickBot="1">
      <c r="A14" s="177" t="s">
        <v>35</v>
      </c>
      <c r="B14" s="227" t="s">
        <v>36</v>
      </c>
      <c r="C14" s="229"/>
      <c r="D14" s="227" t="s">
        <v>37</v>
      </c>
      <c r="E14" s="228"/>
      <c r="F14" s="229"/>
      <c r="G14" s="230">
        <f>_xlfn.IFNA(VLOOKUP(B14, 현재가테이블!$B$2:$D$200, 2, FALSE), "-")</f>
        <v>39916000</v>
      </c>
      <c r="H14" s="231"/>
      <c r="I14" s="232"/>
      <c r="J14" s="227" t="s">
        <v>38</v>
      </c>
      <c r="K14" s="228"/>
      <c r="L14" s="229"/>
      <c r="M14" s="233">
        <f>_xlfn.IFNA(VLOOKUP(B14, 현재가테이블!$B$2:$D$200, 3, FALSE), "-")</f>
        <v>7.3184273000000003E-3</v>
      </c>
      <c r="N14" s="234"/>
      <c r="O14" s="235"/>
      <c r="Q14" s="226"/>
      <c r="R14" s="226"/>
      <c r="S14" s="226"/>
    </row>
    <row r="15" spans="1:19" ht="17.25" customHeight="1" thickBot="1">
      <c r="A15" s="264" t="s">
        <v>39</v>
      </c>
      <c r="B15" s="265" t="str">
        <f>TEXT($G$1, "[$-ko-KR]yyyy-mm-dd(ddd) ") &amp; "오전 00:00"</f>
        <v>2021-07-06(화) 오전 00:00</v>
      </c>
      <c r="C15" s="266"/>
      <c r="D15" s="240" t="str">
        <f>TEXT($G$1, "[$-ko-KR]yyyy-mm-dd(ddd) ") &amp; "오후 14:00"</f>
        <v>2021-07-06(화) 오후 14:00</v>
      </c>
      <c r="E15" s="241"/>
      <c r="F15" s="242"/>
      <c r="G15" s="240" t="str">
        <f>TEXT($G$1, "[$-ko-KR]yyyy-mm-dd(ddd) ") &amp; "오후 19:00"</f>
        <v>2021-07-06(화) 오후 19:00</v>
      </c>
      <c r="H15" s="241"/>
      <c r="I15" s="242"/>
      <c r="J15" s="240" t="str">
        <f>TEXT($G$1, "[$-ko-KR]yyyy-mm-dd(ddd) ") &amp; "오후 21:00"</f>
        <v>2021-07-06(화) 오후 21:00</v>
      </c>
      <c r="K15" s="241"/>
      <c r="L15" s="242"/>
      <c r="M15" s="240" t="str">
        <f>TEXT($G$1+1, "[$-ko-KR]yyyy-mm-dd(ddd) ") &amp; "오전 00:00"</f>
        <v>2021-07-07(수) 오전 00:00</v>
      </c>
      <c r="N15" s="241"/>
      <c r="O15" s="242"/>
      <c r="Q15" s="226"/>
      <c r="R15" s="226"/>
      <c r="S15" s="226"/>
    </row>
    <row r="16" spans="1:19" ht="17.25" customHeight="1" thickBot="1">
      <c r="A16" s="26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6"/>
      <c r="R16" s="216"/>
      <c r="S16" s="21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6"/>
      <c r="R19" s="216"/>
      <c r="S19" s="21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6"/>
      <c r="R20" s="216"/>
      <c r="S20" s="21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6"/>
      <c r="R21" s="216"/>
      <c r="S21" s="21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6"/>
      <c r="R22" s="216"/>
      <c r="S22" s="21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6"/>
      <c r="R23" s="216"/>
      <c r="S23" s="21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6"/>
      <c r="R24" s="216"/>
      <c r="S24" s="21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6"/>
      <c r="R29" s="216"/>
      <c r="S29" s="21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6"/>
      <c r="R32" s="216"/>
      <c r="S32" s="21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6"/>
      <c r="R33" s="216"/>
      <c r="S33" s="21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6"/>
      <c r="R34" s="216"/>
      <c r="S34" s="21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5"/>
      <c r="R35" s="206"/>
      <c r="S35" s="2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8"/>
      <c r="R36" s="209"/>
      <c r="S36" s="210"/>
    </row>
    <row r="37" spans="1:19" ht="17.25" customHeight="1" thickBot="1">
      <c r="A37" s="132" t="s">
        <v>42</v>
      </c>
      <c r="B37" s="269">
        <v>100000</v>
      </c>
      <c r="C37" s="27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1"/>
      <c r="R37" s="212"/>
      <c r="S37" s="213"/>
    </row>
    <row r="38" spans="1:19" ht="17.25" customHeight="1"/>
    <row r="39" spans="1:19" ht="17.25" customHeight="1" thickBot="1"/>
    <row r="40" spans="1:19" ht="17.25" customHeight="1" thickBot="1">
      <c r="A40" s="227" t="s">
        <v>44</v>
      </c>
      <c r="B40" s="228"/>
      <c r="C40" s="228"/>
      <c r="D40" s="228"/>
      <c r="E40" s="228"/>
      <c r="F40" s="228"/>
      <c r="G40" s="228"/>
      <c r="H40" s="228"/>
      <c r="I40" s="228"/>
      <c r="J40" s="228"/>
      <c r="K40" s="228"/>
      <c r="L40" s="228"/>
      <c r="M40" s="228"/>
      <c r="N40" s="228"/>
      <c r="O40" s="229"/>
      <c r="Q40" s="226"/>
      <c r="R40" s="226"/>
      <c r="S40" s="226"/>
    </row>
    <row r="41" spans="1:19" ht="17.25" customHeight="1" thickBot="1">
      <c r="A41" s="177" t="s">
        <v>268</v>
      </c>
      <c r="B41" s="227" t="s">
        <v>49</v>
      </c>
      <c r="C41" s="229"/>
      <c r="D41" s="227" t="s">
        <v>58</v>
      </c>
      <c r="E41" s="228"/>
      <c r="F41" s="229"/>
      <c r="G41" s="230">
        <f>_xlfn.IFNA(VLOOKUP(B41, 현재가테이블!$B$2:$D$200, 2, FALSE), "-")</f>
        <v>39916000</v>
      </c>
      <c r="H41" s="231"/>
      <c r="I41" s="232"/>
      <c r="J41" s="227" t="s">
        <v>59</v>
      </c>
      <c r="K41" s="228"/>
      <c r="L41" s="229"/>
      <c r="M41" s="233">
        <f>_xlfn.IFNA(VLOOKUP(B41, 현재가테이블!$B$2:$D$200, 3, FALSE), "-")</f>
        <v>7.3184273000000003E-3</v>
      </c>
      <c r="N41" s="234"/>
      <c r="O41" s="235"/>
      <c r="Q41" s="226"/>
      <c r="R41" s="226"/>
      <c r="S41" s="226"/>
    </row>
    <row r="42" spans="1:19" ht="17.25" customHeight="1" thickBot="1">
      <c r="A42" s="271" t="s">
        <v>55</v>
      </c>
      <c r="B42" s="267" t="str">
        <f>TEXT($G$1, "[$-ko-KR]yyyy-mm-dd(ddd) ") &amp; "오전 00:00"</f>
        <v>2021-07-06(화) 오전 00:00</v>
      </c>
      <c r="C42" s="268"/>
      <c r="D42" s="240" t="str">
        <f>TEXT($G$1, "[$-ko-KR]yyyy-mm-dd(ddd) ") &amp; "오후 14:00"</f>
        <v>2021-07-06(화) 오후 14:00</v>
      </c>
      <c r="E42" s="241"/>
      <c r="F42" s="242"/>
      <c r="G42" s="240" t="str">
        <f>TEXT($G$1, "[$-ko-KR]yyyy-mm-dd(ddd) ") &amp; "오후 19:00"</f>
        <v>2021-07-06(화) 오후 19:00</v>
      </c>
      <c r="H42" s="241"/>
      <c r="I42" s="242"/>
      <c r="J42" s="240" t="str">
        <f>TEXT($G$1, "[$-ko-KR]yyyy-mm-dd(ddd) ") &amp; "오후 21:00"</f>
        <v>2021-07-06(화) 오후 21:00</v>
      </c>
      <c r="K42" s="241"/>
      <c r="L42" s="242"/>
      <c r="M42" s="240" t="str">
        <f>TEXT($G$1+1, "[$-ko-KR]yyyy-mm-dd(ddd) ") &amp; "오전 00:00"</f>
        <v>2021-07-07(수) 오전 00:00</v>
      </c>
      <c r="N42" s="241"/>
      <c r="O42" s="242"/>
      <c r="Q42" s="226"/>
      <c r="R42" s="226"/>
      <c r="S42" s="226"/>
    </row>
    <row r="43" spans="1:19" ht="17.25" customHeight="1" thickBot="1">
      <c r="A43" s="27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8" t="s">
        <v>58</v>
      </c>
      <c r="H43" s="179" t="s">
        <v>269</v>
      </c>
      <c r="I43" s="18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6"/>
      <c r="R43" s="216"/>
      <c r="S43" s="216"/>
    </row>
    <row r="44" spans="1:19" ht="17.25" customHeight="1" thickBot="1">
      <c r="A44" s="123" t="s">
        <v>150</v>
      </c>
      <c r="B44" s="124">
        <v>10.5</v>
      </c>
      <c r="C44" s="76">
        <v>5.3159478400000001E-2</v>
      </c>
      <c r="D44" s="13">
        <v>10.8</v>
      </c>
      <c r="E44" s="14">
        <f>IF(ISNUMBER(D44), (D44 - $B44) / $B44, "")</f>
        <v>2.857142857142864E-2</v>
      </c>
      <c r="F44" s="16">
        <f>IF(ISNUMBER(D44), $B64 * E44, "")</f>
        <v>2857.1428571428642</v>
      </c>
      <c r="G44" s="29">
        <v>10.4</v>
      </c>
      <c r="H44" s="14">
        <f>IF(ISNUMBER(G44), (G44 - $B44) / $B44, "")</f>
        <v>-9.52380952380949E-3</v>
      </c>
      <c r="I44" s="100">
        <f>IF(ISNUMBER(G44), $B64 * H44, "")</f>
        <v>-952.380952380949</v>
      </c>
      <c r="J44" s="13">
        <v>10.5</v>
      </c>
      <c r="K44" s="14">
        <f>IF(ISNUMBER(J44), (J44 - $B44) / $B44, "")</f>
        <v>0</v>
      </c>
      <c r="L44" s="16">
        <f>IF(ISNUMBER(J44), $B64 * K44, "")</f>
        <v>0</v>
      </c>
      <c r="M44" s="29">
        <v>10.6</v>
      </c>
      <c r="N44" s="14">
        <f>IF(ISNUMBER(M44), (M44 - $B44) / $B44, "")</f>
        <v>9.52380952380949E-3</v>
      </c>
      <c r="O44" s="16">
        <f>IF(ISNUMBER(M44), $B64 * N44, "")</f>
        <v>952.380952380949</v>
      </c>
      <c r="Q44" s="226"/>
      <c r="R44" s="226"/>
      <c r="S44" s="226"/>
    </row>
    <row r="45" spans="1:19" ht="17.25" customHeight="1" thickBot="1">
      <c r="A45" s="125" t="s">
        <v>216</v>
      </c>
      <c r="B45" s="126">
        <v>9.49</v>
      </c>
      <c r="C45" s="77">
        <v>3.7158469899999998E-2</v>
      </c>
      <c r="D45" s="15">
        <v>9.9600000000000009</v>
      </c>
      <c r="E45" s="32">
        <f t="shared" ref="E45:E48" si="14">IF(ISNUMBER(D45), (D45 - $B45) / $B45, "")</f>
        <v>4.9525816649104389E-2</v>
      </c>
      <c r="F45" s="18">
        <f>IF(ISNUMBER(D45), $B64 * E45, "")</f>
        <v>4952.581664910439</v>
      </c>
      <c r="G45" s="31">
        <v>9.77</v>
      </c>
      <c r="H45" s="32">
        <f t="shared" ref="H45:H48" si="15">IF(ISNUMBER(G45), (G45 - $B45) / $B45, "")</f>
        <v>2.9504741833508888E-2</v>
      </c>
      <c r="I45" s="101">
        <f>IF(ISNUMBER(G45), $B64 * H45, "")</f>
        <v>2950.4741833508888</v>
      </c>
      <c r="J45" s="15">
        <v>9.74</v>
      </c>
      <c r="K45" s="32">
        <f t="shared" ref="K45:K48" si="16">IF(ISNUMBER(J45), (J45 - $B45) / $B45, "")</f>
        <v>2.6343519494204427E-2</v>
      </c>
      <c r="L45" s="18">
        <f>IF(ISNUMBER(J45), $B64 * K45, "")</f>
        <v>2634.3519494204425</v>
      </c>
      <c r="M45" s="31">
        <v>9.77</v>
      </c>
      <c r="N45" s="32">
        <f t="shared" ref="N45:N48" si="17">IF(ISNUMBER(M45), (M45 - $B45) / $B45, "")</f>
        <v>2.9504741833508888E-2</v>
      </c>
      <c r="O45" s="18">
        <f>IF(ISNUMBER(M45), $B64 * N45, "")</f>
        <v>2950.4741833508888</v>
      </c>
      <c r="Q45" s="226"/>
      <c r="R45" s="226"/>
      <c r="S45" s="226"/>
    </row>
    <row r="46" spans="1:19" ht="17.25" customHeight="1" thickBot="1">
      <c r="A46" s="125" t="s">
        <v>235</v>
      </c>
      <c r="B46" s="126">
        <v>58.3</v>
      </c>
      <c r="C46" s="77">
        <v>3.55239787E-2</v>
      </c>
      <c r="D46" s="15">
        <v>62.5</v>
      </c>
      <c r="E46" s="32">
        <f t="shared" si="14"/>
        <v>7.2041166380789071E-2</v>
      </c>
      <c r="F46" s="18">
        <f>IF(ISNUMBER(D46), $B64 * E46, "")</f>
        <v>7204.1166380789073</v>
      </c>
      <c r="G46" s="31">
        <v>61.6</v>
      </c>
      <c r="H46" s="32">
        <f t="shared" si="15"/>
        <v>5.6603773584905738E-2</v>
      </c>
      <c r="I46" s="101">
        <f>IF(ISNUMBER(G46), $B64 * H46, "")</f>
        <v>5660.3773584905739</v>
      </c>
      <c r="J46" s="15">
        <v>61.9</v>
      </c>
      <c r="K46" s="32">
        <f t="shared" si="16"/>
        <v>6.1749571183533476E-2</v>
      </c>
      <c r="L46" s="18">
        <f>IF(ISNUMBER(J46), $B64 * K46, "")</f>
        <v>6174.9571183533481</v>
      </c>
      <c r="M46" s="31">
        <v>61.8</v>
      </c>
      <c r="N46" s="32">
        <f t="shared" si="17"/>
        <v>6.0034305317324191E-2</v>
      </c>
      <c r="O46" s="18">
        <f>IF(ISNUMBER(M46), $B64 * N46, "")</f>
        <v>6003.4305317324188</v>
      </c>
      <c r="Q46" s="216"/>
      <c r="R46" s="216"/>
      <c r="S46" s="216"/>
    </row>
    <row r="47" spans="1:19" ht="17.25" customHeight="1" thickBot="1">
      <c r="A47" s="125" t="s">
        <v>204</v>
      </c>
      <c r="B47" s="126">
        <v>12.1</v>
      </c>
      <c r="C47" s="77">
        <v>3.4188034200000002E-2</v>
      </c>
      <c r="D47" s="15">
        <v>13.4</v>
      </c>
      <c r="E47" s="32">
        <f t="shared" si="14"/>
        <v>0.10743801652892568</v>
      </c>
      <c r="F47" s="18">
        <f>IF(ISNUMBER(D47), $B64 * E47, "")</f>
        <v>10743.801652892567</v>
      </c>
      <c r="G47" s="31">
        <v>13.2</v>
      </c>
      <c r="H47" s="32">
        <f t="shared" si="15"/>
        <v>9.0909090909090884E-2</v>
      </c>
      <c r="I47" s="101">
        <f>IF(ISNUMBER(G47), $B64 * H47, "")</f>
        <v>9090.9090909090883</v>
      </c>
      <c r="J47" s="15">
        <v>13.3</v>
      </c>
      <c r="K47" s="32">
        <f t="shared" si="16"/>
        <v>9.917355371900835E-2</v>
      </c>
      <c r="L47" s="18">
        <f>IF(ISNUMBER(J47), $B64 * K47, "")</f>
        <v>9917.3553719008341</v>
      </c>
      <c r="M47" s="31">
        <v>13.2</v>
      </c>
      <c r="N47" s="32">
        <f t="shared" si="17"/>
        <v>9.0909090909090884E-2</v>
      </c>
      <c r="O47" s="18">
        <f>IF(ISNUMBER(M47), $B64 * N47, "")</f>
        <v>9090.9090909090883</v>
      </c>
      <c r="Q47" s="216"/>
      <c r="R47" s="216"/>
      <c r="S47" s="216"/>
    </row>
    <row r="48" spans="1:19" ht="17.25" customHeight="1" thickBot="1">
      <c r="A48" s="127" t="s">
        <v>188</v>
      </c>
      <c r="B48" s="128">
        <v>10.199999999999999</v>
      </c>
      <c r="C48" s="78">
        <v>3.0303030299999999E-2</v>
      </c>
      <c r="D48" s="20">
        <v>10.1</v>
      </c>
      <c r="E48" s="21">
        <f t="shared" si="14"/>
        <v>-9.8039215686274161E-3</v>
      </c>
      <c r="F48" s="22">
        <f>IF(ISNUMBER(D48), $B64 * E48, "")</f>
        <v>-980.39215686274156</v>
      </c>
      <c r="G48" s="30">
        <v>10.1</v>
      </c>
      <c r="H48" s="21">
        <f t="shared" si="15"/>
        <v>-9.8039215686274161E-3</v>
      </c>
      <c r="I48" s="105">
        <f>IF(ISNUMBER(G48), $B64 * H48, "")</f>
        <v>-980.39215686274156</v>
      </c>
      <c r="J48" s="20">
        <v>10.3</v>
      </c>
      <c r="K48" s="21">
        <f t="shared" si="16"/>
        <v>9.8039215686275914E-3</v>
      </c>
      <c r="L48" s="22">
        <f>IF(ISNUMBER(J48), $B64 * K48, "")</f>
        <v>980.39215686275918</v>
      </c>
      <c r="M48" s="30">
        <v>10.9</v>
      </c>
      <c r="N48" s="21">
        <f t="shared" si="17"/>
        <v>6.862745098039226E-2</v>
      </c>
      <c r="O48" s="22">
        <f>IF(ISNUMBER(M48), $B64 * N48, "")</f>
        <v>6862.7450980392259</v>
      </c>
      <c r="Q48" s="216"/>
      <c r="R48" s="216"/>
      <c r="S48" s="216"/>
    </row>
    <row r="49" spans="1:19" ht="17.25" customHeight="1" thickBot="1">
      <c r="A49" s="125" t="s">
        <v>130</v>
      </c>
      <c r="B49" s="129">
        <v>86.8</v>
      </c>
      <c r="C49" s="80">
        <v>2.11764706E-2</v>
      </c>
      <c r="D49" s="106">
        <v>89.5</v>
      </c>
      <c r="E49" s="107">
        <f>IF(ISNUMBER(D49), (D49 - $B49) / $B49, "")</f>
        <v>3.1105990783410174E-2</v>
      </c>
      <c r="F49" s="108">
        <f>IF(ISNUMBER(D49), $B64 * E49, "")</f>
        <v>3110.5990783410175</v>
      </c>
      <c r="G49" s="109">
        <v>88.1</v>
      </c>
      <c r="H49" s="107">
        <f>IF(ISNUMBER(G49), (G49 - $B49) / $B49, "")</f>
        <v>1.497695852534559E-2</v>
      </c>
      <c r="I49" s="110">
        <f>IF(ISNUMBER(G49), $B64 * H49, "")</f>
        <v>1497.695852534559</v>
      </c>
      <c r="J49" s="106">
        <v>89.1</v>
      </c>
      <c r="K49" s="107">
        <f>IF(ISNUMBER(J49), (J49 - $B49) / $B49, "")</f>
        <v>2.6497695852534531E-2</v>
      </c>
      <c r="L49" s="108">
        <f>IF(ISNUMBER(J49), $B64 * K49, "")</f>
        <v>2649.769585253453</v>
      </c>
      <c r="M49" s="109">
        <v>90.1</v>
      </c>
      <c r="N49" s="107">
        <f>IF(ISNUMBER(M49), (M49 - $B49) / $B49, "")</f>
        <v>3.801843317972347E-2</v>
      </c>
      <c r="O49" s="108">
        <f>IF(ISNUMBER(M49), $B64 * N49, "")</f>
        <v>3801.843317972347</v>
      </c>
      <c r="Q49" s="216"/>
      <c r="R49" s="216"/>
      <c r="S49" s="216"/>
    </row>
    <row r="50" spans="1:19" ht="17.25" customHeight="1" thickBot="1">
      <c r="A50" s="125" t="s">
        <v>208</v>
      </c>
      <c r="B50" s="126">
        <v>10.5</v>
      </c>
      <c r="C50" s="77">
        <v>1.9417475699999999E-2</v>
      </c>
      <c r="D50" s="15">
        <v>10.7</v>
      </c>
      <c r="E50" s="32">
        <f t="shared" ref="E50:E53" si="18">IF(ISNUMBER(D50), (D50 - $B50) / $B50, "")</f>
        <v>1.904761904761898E-2</v>
      </c>
      <c r="F50" s="18">
        <f>IF(ISNUMBER(D50), $B64 * E50, "")</f>
        <v>1904.761904761898</v>
      </c>
      <c r="G50" s="31">
        <v>10.4</v>
      </c>
      <c r="H50" s="32">
        <f t="shared" ref="H50:H53" si="19">IF(ISNUMBER(G50), (G50 - $B50) / $B50, "")</f>
        <v>-9.52380952380949E-3</v>
      </c>
      <c r="I50" s="101">
        <f>IF(ISNUMBER(G50), $B64 * H50, "")</f>
        <v>-952.380952380949</v>
      </c>
      <c r="J50" s="15">
        <v>10.5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10.5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16"/>
      <c r="R50" s="216"/>
      <c r="S50" s="216"/>
    </row>
    <row r="51" spans="1:19" ht="17.25" customHeight="1" thickBot="1">
      <c r="A51" s="125" t="s">
        <v>202</v>
      </c>
      <c r="B51" s="126">
        <v>61.1</v>
      </c>
      <c r="C51" s="77">
        <v>6.5897858000000002E-3</v>
      </c>
      <c r="D51" s="15">
        <v>62.5</v>
      </c>
      <c r="E51" s="32">
        <f t="shared" si="18"/>
        <v>2.2913256955810122E-2</v>
      </c>
      <c r="F51" s="18">
        <f>IF(ISNUMBER(D51), $B64 * E51, "")</f>
        <v>2291.325695581012</v>
      </c>
      <c r="G51" s="31">
        <v>61.5</v>
      </c>
      <c r="H51" s="32">
        <f t="shared" si="19"/>
        <v>6.5466448445171618E-3</v>
      </c>
      <c r="I51" s="101">
        <f>IF(ISNUMBER(G51), $B64 * H51, "")</f>
        <v>654.66448445171613</v>
      </c>
      <c r="J51" s="15">
        <v>62</v>
      </c>
      <c r="K51" s="32">
        <f t="shared" si="20"/>
        <v>1.4729950900163642E-2</v>
      </c>
      <c r="L51" s="18">
        <f>IF(ISNUMBER(J51), $B64 * K51, "")</f>
        <v>1472.9950900163642</v>
      </c>
      <c r="M51" s="31">
        <v>62</v>
      </c>
      <c r="N51" s="32">
        <f t="shared" si="21"/>
        <v>1.4729950900163642E-2</v>
      </c>
      <c r="O51" s="18">
        <f>IF(ISNUMBER(M51), $B64 * N51, "")</f>
        <v>1472.9950900163642</v>
      </c>
      <c r="Q51" s="216"/>
      <c r="R51" s="216"/>
      <c r="S51" s="216"/>
    </row>
    <row r="52" spans="1:19" ht="17.25" customHeight="1" thickBot="1">
      <c r="A52" s="125" t="s">
        <v>210</v>
      </c>
      <c r="B52" s="126">
        <v>10.199999999999999</v>
      </c>
      <c r="C52" s="77">
        <v>-9.7087379000000001E-3</v>
      </c>
      <c r="D52" s="15">
        <v>10.6</v>
      </c>
      <c r="E52" s="32">
        <f t="shared" si="18"/>
        <v>3.9215686274509838E-2</v>
      </c>
      <c r="F52" s="18">
        <f>IF(ISNUMBER(D52), $B64 * E52, "")</f>
        <v>3921.568627450984</v>
      </c>
      <c r="G52" s="31">
        <v>10.199999999999999</v>
      </c>
      <c r="H52" s="32">
        <f t="shared" si="19"/>
        <v>0</v>
      </c>
      <c r="I52" s="101">
        <f>IF(ISNUMBER(G52), $B64 * H52, "")</f>
        <v>0</v>
      </c>
      <c r="J52" s="15">
        <v>10.3</v>
      </c>
      <c r="K52" s="32">
        <f t="shared" si="20"/>
        <v>9.8039215686275914E-3</v>
      </c>
      <c r="L52" s="18">
        <f>IF(ISNUMBER(J52), $B64 * K52, "")</f>
        <v>980.39215686275918</v>
      </c>
      <c r="M52" s="31">
        <v>10.3</v>
      </c>
      <c r="N52" s="32">
        <f t="shared" si="21"/>
        <v>9.8039215686275914E-3</v>
      </c>
      <c r="O52" s="18">
        <f>IF(ISNUMBER(M52), $B64 * N52, "")</f>
        <v>980.39215686275918</v>
      </c>
      <c r="Q52" s="33"/>
      <c r="R52" s="33"/>
    </row>
    <row r="53" spans="1:19" ht="17.25" customHeight="1" thickBot="1">
      <c r="A53" s="130" t="s">
        <v>239</v>
      </c>
      <c r="B53" s="131">
        <v>76.400000000000006</v>
      </c>
      <c r="C53" s="79">
        <v>-1.92554557E-2</v>
      </c>
      <c r="D53" s="24">
        <v>83.5</v>
      </c>
      <c r="E53" s="25">
        <f t="shared" si="18"/>
        <v>9.2931937172774787E-2</v>
      </c>
      <c r="F53" s="104">
        <f>IF(ISNUMBER(D53), $B64 * E53, "")</f>
        <v>9293.1937172774778</v>
      </c>
      <c r="G53" s="102">
        <v>82</v>
      </c>
      <c r="H53" s="25">
        <f t="shared" si="19"/>
        <v>7.3298429319371652E-2</v>
      </c>
      <c r="I53" s="103">
        <f>IF(ISNUMBER(G53), $B64 * H53, "")</f>
        <v>7329.8429319371653</v>
      </c>
      <c r="J53" s="24">
        <v>83.5</v>
      </c>
      <c r="K53" s="25">
        <f t="shared" si="20"/>
        <v>9.2931937172774787E-2</v>
      </c>
      <c r="L53" s="104">
        <f>IF(ISNUMBER(J53), $B64 * K53, "")</f>
        <v>9293.1937172774778</v>
      </c>
      <c r="M53" s="102">
        <v>82.2</v>
      </c>
      <c r="N53" s="25">
        <f t="shared" si="21"/>
        <v>7.5916230366492102E-2</v>
      </c>
      <c r="O53" s="104">
        <f>IF(ISNUMBER(M53), $B64 * N53, "")</f>
        <v>7591.62303664921</v>
      </c>
      <c r="Q53" s="217"/>
      <c r="R53" s="218"/>
      <c r="S53" s="219"/>
    </row>
    <row r="54" spans="1:19" ht="17.25" customHeight="1">
      <c r="A54" s="123" t="s">
        <v>241</v>
      </c>
      <c r="B54" s="124">
        <v>53.8</v>
      </c>
      <c r="C54" s="76">
        <v>-2.1818181799999999E-2</v>
      </c>
      <c r="D54" s="13">
        <v>55.8</v>
      </c>
      <c r="E54" s="14">
        <f>IF(ISNUMBER(D54), (D54 - $B54) / $B54, "")</f>
        <v>3.717472118959108E-2</v>
      </c>
      <c r="F54" s="16">
        <f>IF(ISNUMBER(D54), $B64 * E54, "")</f>
        <v>3717.4721189591078</v>
      </c>
      <c r="G54" s="29">
        <v>54.2</v>
      </c>
      <c r="H54" s="14">
        <f>IF(ISNUMBER(G54), (G54 - $B54) / $B54, "")</f>
        <v>7.434944237918322E-3</v>
      </c>
      <c r="I54" s="100">
        <f>IF(ISNUMBER(G54), $B64 * H54, "")</f>
        <v>743.49442379183222</v>
      </c>
      <c r="J54" s="13">
        <v>54.6</v>
      </c>
      <c r="K54" s="14">
        <f>IF(ISNUMBER(J54), (J54 - $B54) / $B54, "")</f>
        <v>1.4869888475836512E-2</v>
      </c>
      <c r="L54" s="16">
        <f>IF(ISNUMBER(J54), $B64 * K54, "")</f>
        <v>1486.9888475836512</v>
      </c>
      <c r="M54" s="29">
        <v>54.6</v>
      </c>
      <c r="N54" s="14">
        <f>IF(ISNUMBER(M54), (M54 - $B54) / $B54, "")</f>
        <v>1.4869888475836512E-2</v>
      </c>
      <c r="O54" s="16">
        <f>IF(ISNUMBER(M54), $B64 * N54, "")</f>
        <v>1486.9888475836512</v>
      </c>
      <c r="Q54" s="220"/>
      <c r="R54" s="221"/>
      <c r="S54" s="222"/>
    </row>
    <row r="55" spans="1:19" ht="17.25" customHeight="1" thickBot="1">
      <c r="A55" s="125" t="s">
        <v>178</v>
      </c>
      <c r="B55" s="126">
        <v>15.7</v>
      </c>
      <c r="C55" s="77">
        <v>-2.48447205E-2</v>
      </c>
      <c r="D55" s="15">
        <v>16.100000000000001</v>
      </c>
      <c r="E55" s="32">
        <f t="shared" ref="E55:E58" si="22">IF(ISNUMBER(D55), (D55 - $B55) / $B55, "")</f>
        <v>2.5477707006369563E-2</v>
      </c>
      <c r="F55" s="18">
        <f>IF(ISNUMBER(D55), $B64 * E55, "")</f>
        <v>2547.7707006369565</v>
      </c>
      <c r="G55" s="31">
        <v>15.8</v>
      </c>
      <c r="H55" s="32">
        <f t="shared" ref="H55:H58" si="23">IF(ISNUMBER(G55), (G55 - $B55) / $B55, "")</f>
        <v>6.3694267515924472E-3</v>
      </c>
      <c r="I55" s="101">
        <f>IF(ISNUMBER(G55), $B64 * H55, "")</f>
        <v>636.94267515924469</v>
      </c>
      <c r="J55" s="15">
        <v>16</v>
      </c>
      <c r="K55" s="32">
        <f t="shared" ref="K55:K58" si="24">IF(ISNUMBER(J55), (J55 - $B55) / $B55, "")</f>
        <v>1.9108280254777118E-2</v>
      </c>
      <c r="L55" s="18">
        <f>IF(ISNUMBER(J55), $B64 * K55, "")</f>
        <v>1910.8280254777119</v>
      </c>
      <c r="M55" s="31">
        <v>16</v>
      </c>
      <c r="N55" s="32">
        <f t="shared" ref="N55:N58" si="25">IF(ISNUMBER(M55), (M55 - $B55) / $B55, "")</f>
        <v>1.9108280254777118E-2</v>
      </c>
      <c r="O55" s="18">
        <f>IF(ISNUMBER(M55), $B64 * N55, "")</f>
        <v>1910.8280254777119</v>
      </c>
      <c r="Q55" s="223"/>
      <c r="R55" s="224"/>
      <c r="S55" s="225"/>
    </row>
    <row r="56" spans="1:19" ht="17.25" customHeight="1" thickBot="1">
      <c r="A56" s="125" t="s">
        <v>98</v>
      </c>
      <c r="B56" s="126">
        <v>3.09</v>
      </c>
      <c r="C56" s="77">
        <v>-2.5236593099999999E-2</v>
      </c>
      <c r="D56" s="15">
        <v>3.15</v>
      </c>
      <c r="E56" s="32">
        <f t="shared" si="22"/>
        <v>1.9417475728155359E-2</v>
      </c>
      <c r="F56" s="18">
        <f>IF(ISNUMBER(D56), $B64 * E56, "")</f>
        <v>1941.7475728155359</v>
      </c>
      <c r="G56" s="31">
        <v>3.1</v>
      </c>
      <c r="H56" s="32">
        <f t="shared" si="23"/>
        <v>3.2362459546926314E-3</v>
      </c>
      <c r="I56" s="101">
        <f>IF(ISNUMBER(G56), $B64 * H56, "")</f>
        <v>323.62459546926311</v>
      </c>
      <c r="J56" s="15">
        <v>3.11</v>
      </c>
      <c r="K56" s="32">
        <f t="shared" si="24"/>
        <v>6.4724919093851196E-3</v>
      </c>
      <c r="L56" s="18">
        <f>IF(ISNUMBER(J56), $B64 * K56, "")</f>
        <v>647.24919093851202</v>
      </c>
      <c r="M56" s="31">
        <v>3.11</v>
      </c>
      <c r="N56" s="32">
        <f t="shared" si="25"/>
        <v>6.4724919093851196E-3</v>
      </c>
      <c r="O56" s="18">
        <f>IF(ISNUMBER(M56), $B64 * N56, "")</f>
        <v>647.24919093851202</v>
      </c>
      <c r="Q56" s="216"/>
      <c r="R56" s="216"/>
      <c r="S56" s="216"/>
    </row>
    <row r="57" spans="1:19" ht="17.25" customHeight="1" thickBot="1">
      <c r="A57" s="125" t="s">
        <v>190</v>
      </c>
      <c r="B57" s="126">
        <v>15</v>
      </c>
      <c r="C57" s="77">
        <v>-3.2258064500000003E-2</v>
      </c>
      <c r="D57" s="15">
        <v>16.899999999999999</v>
      </c>
      <c r="E57" s="32">
        <f t="shared" si="22"/>
        <v>0.12666666666666657</v>
      </c>
      <c r="F57" s="18">
        <f>IF(ISNUMBER(D57), $B64 * E57, "")</f>
        <v>12666.666666666657</v>
      </c>
      <c r="G57" s="31">
        <v>16.2</v>
      </c>
      <c r="H57" s="32">
        <f t="shared" si="23"/>
        <v>7.9999999999999946E-2</v>
      </c>
      <c r="I57" s="101">
        <f>IF(ISNUMBER(G57), $B64 * H57, "")</f>
        <v>7999.9999999999945</v>
      </c>
      <c r="J57" s="15">
        <v>16.399999999999999</v>
      </c>
      <c r="K57" s="32">
        <f t="shared" si="24"/>
        <v>9.333333333333324E-2</v>
      </c>
      <c r="L57" s="18">
        <f>IF(ISNUMBER(J57), $B64 * K57, "")</f>
        <v>9333.3333333333248</v>
      </c>
      <c r="M57" s="31">
        <v>16.3</v>
      </c>
      <c r="N57" s="32">
        <f t="shared" si="25"/>
        <v>8.6666666666666711E-2</v>
      </c>
      <c r="O57" s="18">
        <f>IF(ISNUMBER(M57), $B64 * N57, "")</f>
        <v>8666.6666666666715</v>
      </c>
      <c r="Q57" s="226"/>
      <c r="R57" s="226"/>
      <c r="S57" s="226"/>
    </row>
    <row r="58" spans="1:19" ht="17.25" customHeight="1" thickBot="1">
      <c r="A58" s="127" t="s">
        <v>132</v>
      </c>
      <c r="B58" s="128">
        <v>93</v>
      </c>
      <c r="C58" s="78">
        <v>-3.62694301E-2</v>
      </c>
      <c r="D58" s="20">
        <v>94.5</v>
      </c>
      <c r="E58" s="21">
        <f t="shared" si="22"/>
        <v>1.6129032258064516E-2</v>
      </c>
      <c r="F58" s="22">
        <f>IF(ISNUMBER(D58), $B64 * E58, "")</f>
        <v>1612.9032258064515</v>
      </c>
      <c r="G58" s="30">
        <v>93.1</v>
      </c>
      <c r="H58" s="21">
        <f t="shared" si="23"/>
        <v>1.0752688172042399E-3</v>
      </c>
      <c r="I58" s="105">
        <f>IF(ISNUMBER(G58), $B64 * H58, "")</f>
        <v>107.52688172042399</v>
      </c>
      <c r="J58" s="20">
        <v>93.4</v>
      </c>
      <c r="K58" s="21">
        <f t="shared" si="24"/>
        <v>4.301075268817265E-3</v>
      </c>
      <c r="L58" s="22">
        <f>IF(ISNUMBER(J58), $B64 * K58, "")</f>
        <v>430.10752688172653</v>
      </c>
      <c r="M58" s="30">
        <v>93</v>
      </c>
      <c r="N58" s="21">
        <f t="shared" si="25"/>
        <v>0</v>
      </c>
      <c r="O58" s="22">
        <f>IF(ISNUMBER(M58), $B64 * N58, "")</f>
        <v>0</v>
      </c>
      <c r="Q58" s="226"/>
      <c r="R58" s="226"/>
      <c r="S58" s="226"/>
    </row>
    <row r="59" spans="1:19" ht="17.25" customHeight="1" thickBot="1">
      <c r="A59" s="125" t="s">
        <v>148</v>
      </c>
      <c r="B59" s="129">
        <v>15.7</v>
      </c>
      <c r="C59" s="80">
        <v>-3.6809816000000002E-2</v>
      </c>
      <c r="D59" s="106">
        <v>15.8</v>
      </c>
      <c r="E59" s="107">
        <f>IF(ISNUMBER(D59), (D59 - $B59) / $B59, "")</f>
        <v>6.3694267515924472E-3</v>
      </c>
      <c r="F59" s="108">
        <f>IF(ISNUMBER(D59), $B64 * E59, "")</f>
        <v>636.94267515924469</v>
      </c>
      <c r="G59" s="109">
        <v>16</v>
      </c>
      <c r="H59" s="107">
        <f>IF(ISNUMBER(G59), (G59 - $B59) / $B59, "")</f>
        <v>1.9108280254777118E-2</v>
      </c>
      <c r="I59" s="110">
        <f>IF(ISNUMBER(G59), $B64 * H59, "")</f>
        <v>1910.8280254777119</v>
      </c>
      <c r="J59" s="106">
        <v>15.9</v>
      </c>
      <c r="K59" s="107">
        <f>IF(ISNUMBER(J59), (J59 - $B59) / $B59, "")</f>
        <v>1.2738853503184782E-2</v>
      </c>
      <c r="L59" s="108">
        <f>IF(ISNUMBER(J59), $B64 * K59, "")</f>
        <v>1273.8853503184782</v>
      </c>
      <c r="M59" s="109">
        <v>15.8</v>
      </c>
      <c r="N59" s="107">
        <f>IF(ISNUMBER(M59), (M59 - $B59) / $B59, "")</f>
        <v>6.3694267515924472E-3</v>
      </c>
      <c r="O59" s="108">
        <f>IF(ISNUMBER(M59), $B64 * N59, "")</f>
        <v>636.94267515924469</v>
      </c>
      <c r="Q59" s="216"/>
      <c r="R59" s="216"/>
      <c r="S59" s="216"/>
    </row>
    <row r="60" spans="1:19" ht="17.25" customHeight="1" thickBot="1">
      <c r="A60" s="125" t="s">
        <v>152</v>
      </c>
      <c r="B60" s="126">
        <v>75.099999999999994</v>
      </c>
      <c r="C60" s="77">
        <v>-3.71794872E-2</v>
      </c>
      <c r="D60" s="15">
        <v>76.7</v>
      </c>
      <c r="E60" s="32">
        <f t="shared" ref="E60:E63" si="26">IF(ISNUMBER(D60), (D60 - $B60) / $B60, "")</f>
        <v>2.1304926764314364E-2</v>
      </c>
      <c r="F60" s="18">
        <f>IF(ISNUMBER(D60), $B64 * E60, "")</f>
        <v>2130.4926764314364</v>
      </c>
      <c r="G60" s="31">
        <v>75.7</v>
      </c>
      <c r="H60" s="32">
        <f t="shared" ref="H60:H63" si="27">IF(ISNUMBER(G60), (G60 - $B60) / $B60, "")</f>
        <v>7.9893475366179575E-3</v>
      </c>
      <c r="I60" s="101">
        <f>IF(ISNUMBER(G60), $B64 * H60, "")</f>
        <v>798.93475366179575</v>
      </c>
      <c r="J60" s="15">
        <v>75.599999999999994</v>
      </c>
      <c r="K60" s="32">
        <f t="shared" ref="K60:K63" si="28">IF(ISNUMBER(J60), (J60 - $B60) / $B60, "")</f>
        <v>6.6577896138482031E-3</v>
      </c>
      <c r="L60" s="18">
        <f>IF(ISNUMBER(J60), $B64 * K60, "")</f>
        <v>665.77896138482026</v>
      </c>
      <c r="M60" s="31">
        <v>75.3</v>
      </c>
      <c r="N60" s="32">
        <f t="shared" ref="N60:N63" si="29">IF(ISNUMBER(M60), (M60 - $B60) / $B60, "")</f>
        <v>2.6631158455393189E-3</v>
      </c>
      <c r="O60" s="18">
        <f>IF(ISNUMBER(M60), $B64 * N60, "")</f>
        <v>266.31158455393188</v>
      </c>
      <c r="Q60" s="216"/>
      <c r="R60" s="216"/>
      <c r="S60" s="216"/>
    </row>
    <row r="61" spans="1:19" ht="17.25" customHeight="1" thickBot="1">
      <c r="A61" s="125" t="s">
        <v>128</v>
      </c>
      <c r="B61" s="126">
        <v>98.2</v>
      </c>
      <c r="C61" s="77">
        <v>-3.7254901999999999E-2</v>
      </c>
      <c r="D61" s="15">
        <v>101</v>
      </c>
      <c r="E61" s="32">
        <f t="shared" si="26"/>
        <v>2.8513238289205673E-2</v>
      </c>
      <c r="F61" s="18">
        <f>IF(ISNUMBER(D61), $B64 * E61, "")</f>
        <v>2851.3238289205674</v>
      </c>
      <c r="G61" s="31">
        <v>98.2</v>
      </c>
      <c r="H61" s="32">
        <f t="shared" si="27"/>
        <v>0</v>
      </c>
      <c r="I61" s="101">
        <f>IF(ISNUMBER(G61), $B64 * H61, "")</f>
        <v>0</v>
      </c>
      <c r="J61" s="15">
        <v>98.7</v>
      </c>
      <c r="K61" s="32">
        <f t="shared" si="28"/>
        <v>5.0916496945010185E-3</v>
      </c>
      <c r="L61" s="18">
        <f>IF(ISNUMBER(J61), $B64 * K61, "")</f>
        <v>509.16496945010186</v>
      </c>
      <c r="M61" s="31">
        <v>98</v>
      </c>
      <c r="N61" s="32">
        <f t="shared" si="29"/>
        <v>-2.0366598778004362E-3</v>
      </c>
      <c r="O61" s="18">
        <f>IF(ISNUMBER(M61), $B64 * N61, "")</f>
        <v>-203.66598778004362</v>
      </c>
      <c r="Q61" s="216"/>
      <c r="R61" s="216"/>
      <c r="S61" s="216"/>
    </row>
    <row r="62" spans="1:19" ht="17.25" customHeight="1">
      <c r="A62" s="125" t="s">
        <v>251</v>
      </c>
      <c r="B62" s="126">
        <v>60.2</v>
      </c>
      <c r="C62" s="77">
        <v>-3.9872408300000002E-2</v>
      </c>
      <c r="D62" s="15">
        <v>60.8</v>
      </c>
      <c r="E62" s="32">
        <f t="shared" si="26"/>
        <v>9.9667774086377794E-3</v>
      </c>
      <c r="F62" s="18">
        <f>IF(ISNUMBER(D62), $B64 * E62, "")</f>
        <v>996.6777408637779</v>
      </c>
      <c r="G62" s="31">
        <v>60.2</v>
      </c>
      <c r="H62" s="32">
        <f t="shared" si="27"/>
        <v>0</v>
      </c>
      <c r="I62" s="101">
        <f>IF(ISNUMBER(G62), $B64 * H62, "")</f>
        <v>0</v>
      </c>
      <c r="J62" s="15">
        <v>60.4</v>
      </c>
      <c r="K62" s="32">
        <f t="shared" si="28"/>
        <v>3.3222591362125535E-3</v>
      </c>
      <c r="L62" s="18">
        <f>IF(ISNUMBER(J62), $B64 * K62, "")</f>
        <v>332.22591362125536</v>
      </c>
      <c r="M62" s="31">
        <v>60.3</v>
      </c>
      <c r="N62" s="32">
        <f t="shared" si="29"/>
        <v>1.6611295681062178E-3</v>
      </c>
      <c r="O62" s="18">
        <f>IF(ISNUMBER(M62), $B64 * N62, "")</f>
        <v>166.11295681062177</v>
      </c>
      <c r="Q62" s="205"/>
      <c r="R62" s="206"/>
      <c r="S62" s="207"/>
    </row>
    <row r="63" spans="1:19" ht="17.25" customHeight="1" thickBot="1">
      <c r="A63" s="130" t="s">
        <v>144</v>
      </c>
      <c r="B63" s="131">
        <v>85</v>
      </c>
      <c r="C63" s="79">
        <v>-4.1713641500000002E-2</v>
      </c>
      <c r="D63" s="24">
        <v>87.2</v>
      </c>
      <c r="E63" s="25">
        <f t="shared" si="26"/>
        <v>2.5882352941176506E-2</v>
      </c>
      <c r="F63" s="104">
        <f>IF(ISNUMBER(D63), $B64 * E63, "")</f>
        <v>2588.2352941176505</v>
      </c>
      <c r="G63" s="102">
        <v>86.2</v>
      </c>
      <c r="H63" s="25">
        <f t="shared" si="27"/>
        <v>1.4117647058823563E-2</v>
      </c>
      <c r="I63" s="103">
        <f>IF(ISNUMBER(G63), $B64 * H63, "")</f>
        <v>1411.7647058823563</v>
      </c>
      <c r="J63" s="24">
        <v>86.6</v>
      </c>
      <c r="K63" s="25">
        <f t="shared" si="28"/>
        <v>1.8823529411764638E-2</v>
      </c>
      <c r="L63" s="104">
        <f>IF(ISNUMBER(J63), $B64 * K63, "")</f>
        <v>1882.3529411764639</v>
      </c>
      <c r="M63" s="102">
        <v>86.3</v>
      </c>
      <c r="N63" s="25">
        <f t="shared" si="29"/>
        <v>1.529411764705879E-2</v>
      </c>
      <c r="O63" s="104">
        <f>IF(ISNUMBER(M63), $B64 * N63, "")</f>
        <v>1529.411764705879</v>
      </c>
      <c r="Q63" s="208"/>
      <c r="R63" s="209"/>
      <c r="S63" s="210"/>
    </row>
    <row r="64" spans="1:19" ht="17.25" customHeight="1" thickBot="1">
      <c r="A64" s="132" t="s">
        <v>271</v>
      </c>
      <c r="B64" s="269">
        <f>$B$37</f>
        <v>100000</v>
      </c>
      <c r="C64" s="270"/>
      <c r="D64" s="26" t="s">
        <v>272</v>
      </c>
      <c r="E64" s="27">
        <f>IF(COUNT(E44:E63), SUM(E44:E63) / COUNT(E44:E63), 0)</f>
        <v>3.8494466089975907E-2</v>
      </c>
      <c r="F64" s="28">
        <f>SUM(F44:F63)</f>
        <v>76988.932179951793</v>
      </c>
      <c r="G64" s="26" t="s">
        <v>272</v>
      </c>
      <c r="H64" s="27">
        <f>IF(COUNT(H44:H63), SUM(H44:H63) / COUNT(H44:H63), 0)</f>
        <v>1.911596295060599E-2</v>
      </c>
      <c r="I64" s="28">
        <f>SUM(I44:I63)</f>
        <v>38231.925901211973</v>
      </c>
      <c r="J64" s="26" t="s">
        <v>272</v>
      </c>
      <c r="K64" s="27">
        <f>IF(COUNT(K44:K63), SUM(K44:K63) / COUNT(K44:K63), 0)</f>
        <v>2.6287661103056748E-2</v>
      </c>
      <c r="L64" s="28">
        <f>SUM(L44:L63)</f>
        <v>52575.32220611348</v>
      </c>
      <c r="M64" s="26" t="s">
        <v>272</v>
      </c>
      <c r="N64" s="27">
        <f>IF(COUNT(N44:N63), SUM(N44:N63) / COUNT(N44:N63), 0)</f>
        <v>2.7406819591014719E-2</v>
      </c>
      <c r="O64" s="28">
        <f>SUM(O44:O63)</f>
        <v>54813.639182029438</v>
      </c>
      <c r="Q64" s="211"/>
      <c r="R64" s="212"/>
      <c r="S64" s="213"/>
    </row>
    <row r="65" spans="1:19" ht="17.25" customHeight="1"/>
    <row r="66" spans="1:19" ht="17.25" customHeight="1" thickBot="1"/>
    <row r="67" spans="1:19" ht="17.25" thickBot="1">
      <c r="A67" s="227" t="s">
        <v>45</v>
      </c>
      <c r="B67" s="228"/>
      <c r="C67" s="228"/>
      <c r="D67" s="228"/>
      <c r="E67" s="228"/>
      <c r="F67" s="228"/>
      <c r="G67" s="228"/>
      <c r="H67" s="228"/>
      <c r="I67" s="228"/>
      <c r="J67" s="228"/>
      <c r="K67" s="228"/>
      <c r="L67" s="228"/>
      <c r="M67" s="228"/>
      <c r="N67" s="228"/>
      <c r="O67" s="229"/>
      <c r="Q67" s="226"/>
      <c r="R67" s="226"/>
      <c r="S67" s="226"/>
    </row>
    <row r="68" spans="1:19" ht="17.25" thickBot="1">
      <c r="A68" s="177" t="s">
        <v>268</v>
      </c>
      <c r="B68" s="227" t="s">
        <v>49</v>
      </c>
      <c r="C68" s="229"/>
      <c r="D68" s="227" t="s">
        <v>58</v>
      </c>
      <c r="E68" s="228"/>
      <c r="F68" s="229"/>
      <c r="G68" s="230">
        <f>_xlfn.IFNA(VLOOKUP(B68, 현재가테이블!$B$2:$D$200, 2, FALSE), "-")</f>
        <v>39916000</v>
      </c>
      <c r="H68" s="231"/>
      <c r="I68" s="232"/>
      <c r="J68" s="227" t="s">
        <v>59</v>
      </c>
      <c r="K68" s="228"/>
      <c r="L68" s="229"/>
      <c r="M68" s="233">
        <f>_xlfn.IFNA(VLOOKUP(B68, 현재가테이블!$B$2:$D$200, 3, FALSE), "-")</f>
        <v>7.3184273000000003E-3</v>
      </c>
      <c r="N68" s="234"/>
      <c r="O68" s="235"/>
      <c r="Q68" s="226"/>
      <c r="R68" s="226"/>
      <c r="S68" s="226"/>
    </row>
    <row r="69" spans="1:19" ht="17.25" thickBot="1">
      <c r="A69" s="271" t="s">
        <v>55</v>
      </c>
      <c r="B69" s="267" t="str">
        <f>TEXT($G$1, "[$-ko-KR]yyyy-mm-dd(ddd) ") &amp; "오전 00:00"</f>
        <v>2021-07-06(화) 오전 00:00</v>
      </c>
      <c r="C69" s="268"/>
      <c r="D69" s="240" t="str">
        <f>TEXT($G$1, "[$-ko-KR]yyyy-mm-dd(ddd) ") &amp; "오후 14:00"</f>
        <v>2021-07-06(화) 오후 14:00</v>
      </c>
      <c r="E69" s="241"/>
      <c r="F69" s="242"/>
      <c r="G69" s="240" t="str">
        <f>TEXT($G$1, "[$-ko-KR]yyyy-mm-dd(ddd) ") &amp; "오후 19:00"</f>
        <v>2021-07-06(화) 오후 19:00</v>
      </c>
      <c r="H69" s="241"/>
      <c r="I69" s="242"/>
      <c r="J69" s="240" t="str">
        <f>TEXT($G$1, "[$-ko-KR]yyyy-mm-dd(ddd) ") &amp; "오후 21:00"</f>
        <v>2021-07-06(화) 오후 21:00</v>
      </c>
      <c r="K69" s="241"/>
      <c r="L69" s="242"/>
      <c r="M69" s="240" t="str">
        <f>TEXT($G$1+1, "[$-ko-KR]yyyy-mm-dd(ddd) ") &amp; "오전 00:00"</f>
        <v>2021-07-07(수) 오전 00:00</v>
      </c>
      <c r="N69" s="241"/>
      <c r="O69" s="242"/>
      <c r="Q69" s="226"/>
      <c r="R69" s="226"/>
      <c r="S69" s="226"/>
    </row>
    <row r="70" spans="1:19" ht="17.25" thickBot="1">
      <c r="A70" s="27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8" t="s">
        <v>58</v>
      </c>
      <c r="H70" s="179" t="s">
        <v>269</v>
      </c>
      <c r="I70" s="18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6"/>
      <c r="R70" s="216"/>
      <c r="S70" s="216"/>
    </row>
    <row r="71" spans="1:19" ht="17.25" thickBot="1">
      <c r="A71" s="123" t="s">
        <v>220</v>
      </c>
      <c r="B71" s="124">
        <v>166</v>
      </c>
      <c r="C71" s="76">
        <v>0.296875</v>
      </c>
      <c r="D71" s="13">
        <v>159</v>
      </c>
      <c r="E71" s="14">
        <f>IF(ISNUMBER(D71), (D71 - $B71) / $B71, "")</f>
        <v>-4.2168674698795178E-2</v>
      </c>
      <c r="F71" s="16">
        <f>IF(ISNUMBER(D71), $B91 * E71, "")</f>
        <v>-4216.8674698795176</v>
      </c>
      <c r="G71" s="29">
        <v>159</v>
      </c>
      <c r="H71" s="14">
        <f>IF(ISNUMBER(G71), (G71 - $B71) / $B71, "")</f>
        <v>-4.2168674698795178E-2</v>
      </c>
      <c r="I71" s="100">
        <f>IF(ISNUMBER(G71), $B91 * H71, "")</f>
        <v>-4216.8674698795176</v>
      </c>
      <c r="J71" s="13">
        <v>159</v>
      </c>
      <c r="K71" s="14">
        <f>IF(ISNUMBER(J71), (J71 - $B71) / $B71, "")</f>
        <v>-4.2168674698795178E-2</v>
      </c>
      <c r="L71" s="16">
        <f>IF(ISNUMBER(J71), $B91 * K71, "")</f>
        <v>-4216.8674698795176</v>
      </c>
      <c r="M71" s="29">
        <v>166</v>
      </c>
      <c r="N71" s="14">
        <f>IF(ISNUMBER(M71), (M71 - $B71) / $B71, "")</f>
        <v>0</v>
      </c>
      <c r="O71" s="16">
        <f>IF(ISNUMBER(M71), $B91 * N71, "")</f>
        <v>0</v>
      </c>
      <c r="Q71" s="226"/>
      <c r="R71" s="226"/>
      <c r="S71" s="226"/>
    </row>
    <row r="72" spans="1:19" ht="17.25" thickBot="1">
      <c r="A72" s="125" t="s">
        <v>124</v>
      </c>
      <c r="B72" s="126">
        <v>331</v>
      </c>
      <c r="C72" s="77">
        <v>0.14137931030000001</v>
      </c>
      <c r="D72" s="15">
        <v>321</v>
      </c>
      <c r="E72" s="32">
        <f t="shared" ref="E72:E75" si="30">IF(ISNUMBER(D72), (D72 - $B72) / $B72, "")</f>
        <v>-3.0211480362537766E-2</v>
      </c>
      <c r="F72" s="18">
        <f>IF(ISNUMBER(D72), $B91 * E72, "")</f>
        <v>-3021.1480362537768</v>
      </c>
      <c r="G72" s="31">
        <v>313</v>
      </c>
      <c r="H72" s="32">
        <f t="shared" ref="H72:H75" si="31">IF(ISNUMBER(G72), (G72 - $B72) / $B72, "")</f>
        <v>-5.4380664652567974E-2</v>
      </c>
      <c r="I72" s="101">
        <f>IF(ISNUMBER(G72), $B91 * H72, "")</f>
        <v>-5438.0664652567975</v>
      </c>
      <c r="J72" s="15">
        <v>315</v>
      </c>
      <c r="K72" s="32">
        <f t="shared" ref="K72:K75" si="32">IF(ISNUMBER(J72), (J72 - $B72) / $B72, "")</f>
        <v>-4.8338368580060423E-2</v>
      </c>
      <c r="L72" s="18">
        <f>IF(ISNUMBER(J72), $B91 * K72, "")</f>
        <v>-4833.8368580060423</v>
      </c>
      <c r="M72" s="31">
        <v>324</v>
      </c>
      <c r="N72" s="32">
        <f t="shared" ref="N72:N75" si="33">IF(ISNUMBER(M72), (M72 - $B72) / $B72, "")</f>
        <v>-2.1148036253776436E-2</v>
      </c>
      <c r="O72" s="18">
        <f>IF(ISNUMBER(M72), $B91 * N72, "")</f>
        <v>-2114.8036253776436</v>
      </c>
      <c r="Q72" s="226"/>
      <c r="R72" s="226"/>
      <c r="S72" s="226"/>
    </row>
    <row r="73" spans="1:19" ht="17.25" thickBot="1">
      <c r="A73" s="125" t="s">
        <v>218</v>
      </c>
      <c r="B73" s="126">
        <v>111</v>
      </c>
      <c r="C73" s="77">
        <v>8.82352941E-2</v>
      </c>
      <c r="D73" s="15">
        <v>114</v>
      </c>
      <c r="E73" s="32">
        <f t="shared" si="30"/>
        <v>2.7027027027027029E-2</v>
      </c>
      <c r="F73" s="18">
        <f>IF(ISNUMBER(D73), $B91 * E73, "")</f>
        <v>2702.7027027027029</v>
      </c>
      <c r="G73" s="31">
        <v>112</v>
      </c>
      <c r="H73" s="32">
        <f t="shared" si="31"/>
        <v>9.0090090090090089E-3</v>
      </c>
      <c r="I73" s="101">
        <f>IF(ISNUMBER(G73), $B91 * H73, "")</f>
        <v>900.90090090090087</v>
      </c>
      <c r="J73" s="15">
        <v>112</v>
      </c>
      <c r="K73" s="32">
        <f t="shared" si="32"/>
        <v>9.0090090090090089E-3</v>
      </c>
      <c r="L73" s="18">
        <f>IF(ISNUMBER(J73), $B91 * K73, "")</f>
        <v>900.90090090090087</v>
      </c>
      <c r="M73" s="31">
        <v>111</v>
      </c>
      <c r="N73" s="32">
        <f t="shared" si="33"/>
        <v>0</v>
      </c>
      <c r="O73" s="18">
        <f>IF(ISNUMBER(M73), $B91 * N73, "")</f>
        <v>0</v>
      </c>
      <c r="Q73" s="216"/>
      <c r="R73" s="216"/>
      <c r="S73" s="216"/>
    </row>
    <row r="74" spans="1:19" ht="17.25" thickBot="1">
      <c r="A74" s="125" t="s">
        <v>253</v>
      </c>
      <c r="B74" s="126">
        <v>880</v>
      </c>
      <c r="C74" s="77">
        <v>8.7762670000000001E-2</v>
      </c>
      <c r="D74" s="15">
        <v>871</v>
      </c>
      <c r="E74" s="32">
        <f t="shared" si="30"/>
        <v>-1.0227272727272727E-2</v>
      </c>
      <c r="F74" s="18">
        <f>IF(ISNUMBER(D74), $B91 * E74, "")</f>
        <v>-1022.7272727272727</v>
      </c>
      <c r="G74" s="31">
        <v>868</v>
      </c>
      <c r="H74" s="32">
        <f t="shared" si="31"/>
        <v>-1.3636363636363636E-2</v>
      </c>
      <c r="I74" s="101">
        <f>IF(ISNUMBER(G74), $B91 * H74, "")</f>
        <v>-1363.6363636363635</v>
      </c>
      <c r="J74" s="15">
        <v>868</v>
      </c>
      <c r="K74" s="32">
        <f t="shared" si="32"/>
        <v>-1.3636363636363636E-2</v>
      </c>
      <c r="L74" s="18">
        <f>IF(ISNUMBER(J74), $B91 * K74, "")</f>
        <v>-1363.6363636363635</v>
      </c>
      <c r="M74" s="31">
        <v>871</v>
      </c>
      <c r="N74" s="32">
        <f t="shared" si="33"/>
        <v>-1.0227272727272727E-2</v>
      </c>
      <c r="O74" s="18">
        <f>IF(ISNUMBER(M74), $B91 * N74, "")</f>
        <v>-1022.7272727272727</v>
      </c>
      <c r="Q74" s="216"/>
      <c r="R74" s="216"/>
      <c r="S74" s="216"/>
    </row>
    <row r="75" spans="1:19" ht="17.25" thickBot="1">
      <c r="A75" s="127" t="s">
        <v>222</v>
      </c>
      <c r="B75" s="128">
        <v>110</v>
      </c>
      <c r="C75" s="78">
        <v>7.8431372499999999E-2</v>
      </c>
      <c r="D75" s="20">
        <v>111</v>
      </c>
      <c r="E75" s="21">
        <f t="shared" si="30"/>
        <v>9.0909090909090905E-3</v>
      </c>
      <c r="F75" s="22">
        <f>IF(ISNUMBER(D75), $B91 * E75, "")</f>
        <v>909.09090909090901</v>
      </c>
      <c r="G75" s="30">
        <v>108</v>
      </c>
      <c r="H75" s="21">
        <f t="shared" si="31"/>
        <v>-1.8181818181818181E-2</v>
      </c>
      <c r="I75" s="105">
        <f>IF(ISNUMBER(G75), $B91 * H75, "")</f>
        <v>-1818.181818181818</v>
      </c>
      <c r="J75" s="20">
        <v>107</v>
      </c>
      <c r="K75" s="21">
        <f t="shared" si="32"/>
        <v>-2.7272727272727271E-2</v>
      </c>
      <c r="L75" s="22">
        <f>IF(ISNUMBER(J75), $B91 * K75, "")</f>
        <v>-2727.272727272727</v>
      </c>
      <c r="M75" s="30">
        <v>109</v>
      </c>
      <c r="N75" s="21">
        <f t="shared" si="33"/>
        <v>-9.0909090909090905E-3</v>
      </c>
      <c r="O75" s="22">
        <f>IF(ISNUMBER(M75), $B91 * N75, "")</f>
        <v>-909.09090909090901</v>
      </c>
      <c r="Q75" s="216"/>
      <c r="R75" s="216"/>
      <c r="S75" s="216"/>
    </row>
    <row r="76" spans="1:19" ht="17.25" thickBot="1">
      <c r="A76" s="125" t="s">
        <v>166</v>
      </c>
      <c r="B76" s="129">
        <v>130</v>
      </c>
      <c r="C76" s="80">
        <v>4.8387096800000001E-2</v>
      </c>
      <c r="D76" s="106">
        <v>140</v>
      </c>
      <c r="E76" s="107">
        <f>IF(ISNUMBER(D76), (D76 - $B76) / $B76, "")</f>
        <v>7.6923076923076927E-2</v>
      </c>
      <c r="F76" s="108">
        <f>IF(ISNUMBER(D76), $B91 * E76, "")</f>
        <v>7692.3076923076924</v>
      </c>
      <c r="G76" s="109">
        <v>135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135</v>
      </c>
      <c r="K76" s="107">
        <f>IF(ISNUMBER(J76), (J76 - $B76) / $B76, "")</f>
        <v>3.8461538461538464E-2</v>
      </c>
      <c r="L76" s="108">
        <f>IF(ISNUMBER(J76), $B91 * K76, "")</f>
        <v>3846.1538461538462</v>
      </c>
      <c r="M76" s="109">
        <v>135</v>
      </c>
      <c r="N76" s="107">
        <f>IF(ISNUMBER(M76), (M76 - $B76) / $B76, "")</f>
        <v>3.8461538461538464E-2</v>
      </c>
      <c r="O76" s="108">
        <f>IF(ISNUMBER(M76), $B91 * N76, "")</f>
        <v>3846.1538461538462</v>
      </c>
      <c r="Q76" s="216"/>
      <c r="R76" s="216"/>
      <c r="S76" s="216"/>
    </row>
    <row r="77" spans="1:19" ht="17.25" thickBot="1">
      <c r="A77" s="125" t="s">
        <v>194</v>
      </c>
      <c r="B77" s="126">
        <v>130</v>
      </c>
      <c r="C77" s="77">
        <v>1.5625E-2</v>
      </c>
      <c r="D77" s="15">
        <v>132</v>
      </c>
      <c r="E77" s="32">
        <f t="shared" ref="E77:E80" si="34">IF(ISNUMBER(D77), (D77 - $B77) / $B77, "")</f>
        <v>1.5384615384615385E-2</v>
      </c>
      <c r="F77" s="18">
        <f>IF(ISNUMBER(D77), $B91 * E77, "")</f>
        <v>1538.4615384615386</v>
      </c>
      <c r="G77" s="31">
        <v>128</v>
      </c>
      <c r="H77" s="32">
        <f t="shared" ref="H77:H80" si="35">IF(ISNUMBER(G77), (G77 - $B77) / $B77, "")</f>
        <v>-1.5384615384615385E-2</v>
      </c>
      <c r="I77" s="101">
        <f>IF(ISNUMBER(G77), $B91 * H77, "")</f>
        <v>-1538.4615384615386</v>
      </c>
      <c r="J77" s="15">
        <v>128</v>
      </c>
      <c r="K77" s="32">
        <f t="shared" ref="K77:K80" si="36">IF(ISNUMBER(J77), (J77 - $B77) / $B77, "")</f>
        <v>-1.5384615384615385E-2</v>
      </c>
      <c r="L77" s="18">
        <f>IF(ISNUMBER(J77), $B91 * K77, "")</f>
        <v>-1538.4615384615386</v>
      </c>
      <c r="M77" s="31">
        <v>131</v>
      </c>
      <c r="N77" s="32">
        <f t="shared" ref="N77:N80" si="37">IF(ISNUMBER(M77), (M77 - $B77) / $B77, "")</f>
        <v>7.6923076923076927E-3</v>
      </c>
      <c r="O77" s="18">
        <f>IF(ISNUMBER(M77), $B91 * N77, "")</f>
        <v>769.23076923076928</v>
      </c>
      <c r="Q77" s="216"/>
      <c r="R77" s="216"/>
      <c r="S77" s="216"/>
    </row>
    <row r="78" spans="1:19" ht="17.25" thickBot="1">
      <c r="A78" s="125" t="s">
        <v>110</v>
      </c>
      <c r="B78" s="126">
        <v>126</v>
      </c>
      <c r="C78" s="77">
        <v>8.0000000000000002E-3</v>
      </c>
      <c r="D78" s="15">
        <v>133</v>
      </c>
      <c r="E78" s="32">
        <f t="shared" si="34"/>
        <v>5.5555555555555552E-2</v>
      </c>
      <c r="F78" s="18">
        <f>IF(ISNUMBER(D78), $B91 * E78, "")</f>
        <v>5555.5555555555557</v>
      </c>
      <c r="G78" s="31">
        <v>128</v>
      </c>
      <c r="H78" s="32">
        <f t="shared" si="35"/>
        <v>1.5873015873015872E-2</v>
      </c>
      <c r="I78" s="101">
        <f>IF(ISNUMBER(G78), $B91 * H78, "")</f>
        <v>1587.3015873015872</v>
      </c>
      <c r="J78" s="15">
        <v>130</v>
      </c>
      <c r="K78" s="32">
        <f t="shared" si="36"/>
        <v>3.1746031746031744E-2</v>
      </c>
      <c r="L78" s="18">
        <f>IF(ISNUMBER(J78), $B91 * K78, "")</f>
        <v>3174.6031746031745</v>
      </c>
      <c r="M78" s="31">
        <v>132</v>
      </c>
      <c r="N78" s="32">
        <f t="shared" si="37"/>
        <v>4.7619047619047616E-2</v>
      </c>
      <c r="O78" s="18">
        <f>IF(ISNUMBER(M78), $B91 * N78, "")</f>
        <v>4761.9047619047615</v>
      </c>
      <c r="Q78" s="216"/>
      <c r="R78" s="216"/>
      <c r="S78" s="216"/>
    </row>
    <row r="79" spans="1:19" ht="17.25" thickBot="1">
      <c r="A79" s="125" t="s">
        <v>214</v>
      </c>
      <c r="B79" s="126">
        <v>234</v>
      </c>
      <c r="C79" s="77">
        <v>4.2918454999999996E-3</v>
      </c>
      <c r="D79" s="15">
        <v>242</v>
      </c>
      <c r="E79" s="32">
        <f t="shared" si="34"/>
        <v>3.4188034188034191E-2</v>
      </c>
      <c r="F79" s="18">
        <f>IF(ISNUMBER(D79), $B91 * E79, "")</f>
        <v>3418.8034188034189</v>
      </c>
      <c r="G79" s="31">
        <v>237</v>
      </c>
      <c r="H79" s="32">
        <f t="shared" si="35"/>
        <v>1.282051282051282E-2</v>
      </c>
      <c r="I79" s="101">
        <f>IF(ISNUMBER(G79), $B91 * H79, "")</f>
        <v>1282.051282051282</v>
      </c>
      <c r="J79" s="15">
        <v>238</v>
      </c>
      <c r="K79" s="32">
        <f t="shared" si="36"/>
        <v>1.7094017094017096E-2</v>
      </c>
      <c r="L79" s="18">
        <f>IF(ISNUMBER(J79), $B91 * K79, "")</f>
        <v>1709.4017094017095</v>
      </c>
      <c r="M79" s="31">
        <v>240</v>
      </c>
      <c r="N79" s="32">
        <f t="shared" si="37"/>
        <v>2.564102564102564E-2</v>
      </c>
      <c r="O79" s="18">
        <f>IF(ISNUMBER(M79), $B91 * N79, "")</f>
        <v>2564.102564102564</v>
      </c>
      <c r="Q79" s="33"/>
      <c r="R79" s="33"/>
    </row>
    <row r="80" spans="1:19" ht="17.25" thickBot="1">
      <c r="A80" s="130" t="s">
        <v>200</v>
      </c>
      <c r="B80" s="131">
        <v>127</v>
      </c>
      <c r="C80" s="79">
        <v>0</v>
      </c>
      <c r="D80" s="24">
        <v>125</v>
      </c>
      <c r="E80" s="25">
        <f t="shared" si="34"/>
        <v>-1.5748031496062992E-2</v>
      </c>
      <c r="F80" s="104">
        <f>IF(ISNUMBER(D80), $B91 * E80, "")</f>
        <v>-1574.8031496062993</v>
      </c>
      <c r="G80" s="102">
        <v>124</v>
      </c>
      <c r="H80" s="25">
        <f t="shared" si="35"/>
        <v>-2.3622047244094488E-2</v>
      </c>
      <c r="I80" s="103">
        <f>IF(ISNUMBER(G80), $B91 * H80, "")</f>
        <v>-2362.2047244094488</v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>
        <v>124</v>
      </c>
      <c r="N80" s="25">
        <f t="shared" si="37"/>
        <v>-2.3622047244094488E-2</v>
      </c>
      <c r="O80" s="104">
        <f>IF(ISNUMBER(M80), $B91 * N80, "")</f>
        <v>-2362.2047244094488</v>
      </c>
      <c r="Q80" s="217"/>
      <c r="R80" s="218"/>
      <c r="S80" s="219"/>
    </row>
    <row r="81" spans="1:19">
      <c r="A81" s="123" t="s">
        <v>160</v>
      </c>
      <c r="B81" s="124">
        <v>980</v>
      </c>
      <c r="C81" s="76">
        <v>-2.4875621899999999E-2</v>
      </c>
      <c r="D81" s="13">
        <v>1165</v>
      </c>
      <c r="E81" s="14">
        <f>IF(ISNUMBER(D81), (D81 - $B81) / $B81, "")</f>
        <v>0.18877551020408162</v>
      </c>
      <c r="F81" s="16">
        <f>IF(ISNUMBER(D81), $B91 * E81, "")</f>
        <v>18877.551020408162</v>
      </c>
      <c r="G81" s="29">
        <v>1125</v>
      </c>
      <c r="H81" s="14">
        <f>IF(ISNUMBER(G81), (G81 - $B81) / $B81, "")</f>
        <v>0.14795918367346939</v>
      </c>
      <c r="I81" s="100">
        <f>IF(ISNUMBER(G81), $B91 * H81, "")</f>
        <v>14795.918367346938</v>
      </c>
      <c r="J81" s="13">
        <v>1125</v>
      </c>
      <c r="K81" s="14">
        <f>IF(ISNUMBER(J81), (J81 - $B81) / $B81, "")</f>
        <v>0.14795918367346939</v>
      </c>
      <c r="L81" s="16">
        <f>IF(ISNUMBER(J81), $B91 * K81, "")</f>
        <v>14795.918367346938</v>
      </c>
      <c r="M81" s="29">
        <v>1115</v>
      </c>
      <c r="N81" s="14">
        <f>IF(ISNUMBER(M81), (M81 - $B81) / $B81, "")</f>
        <v>0.13775510204081631</v>
      </c>
      <c r="O81" s="16">
        <f>IF(ISNUMBER(M81), $B91 * N81, "")</f>
        <v>13775.510204081631</v>
      </c>
      <c r="Q81" s="220"/>
      <c r="R81" s="221"/>
      <c r="S81" s="222"/>
    </row>
    <row r="82" spans="1:19" ht="17.25" thickBot="1">
      <c r="A82" s="125" t="s">
        <v>102</v>
      </c>
      <c r="B82" s="126">
        <v>816</v>
      </c>
      <c r="C82" s="77">
        <v>-2.6252983300000001E-2</v>
      </c>
      <c r="D82" s="15">
        <v>850</v>
      </c>
      <c r="E82" s="32">
        <f t="shared" ref="E82:E85" si="38">IF(ISNUMBER(D82), (D82 - $B82) / $B82, "")</f>
        <v>4.1666666666666664E-2</v>
      </c>
      <c r="F82" s="18">
        <f>IF(ISNUMBER(D82), $B91 * E82, "")</f>
        <v>4166.6666666666661</v>
      </c>
      <c r="G82" s="31">
        <v>837</v>
      </c>
      <c r="H82" s="32">
        <f t="shared" ref="H82:H85" si="39">IF(ISNUMBER(G82), (G82 - $B82) / $B82, "")</f>
        <v>2.5735294117647058E-2</v>
      </c>
      <c r="I82" s="101">
        <f>IF(ISNUMBER(G82), $B91 * H82, "")</f>
        <v>2573.5294117647059</v>
      </c>
      <c r="J82" s="15">
        <v>840</v>
      </c>
      <c r="K82" s="32">
        <f t="shared" ref="K82:K85" si="40">IF(ISNUMBER(J82), (J82 - $B82) / $B82, "")</f>
        <v>2.9411764705882353E-2</v>
      </c>
      <c r="L82" s="18">
        <f>IF(ISNUMBER(J82), $B91 * K82, "")</f>
        <v>2941.1764705882351</v>
      </c>
      <c r="M82" s="31">
        <v>841</v>
      </c>
      <c r="N82" s="32">
        <f t="shared" ref="N82:N85" si="41">IF(ISNUMBER(M82), (M82 - $B82) / $B82, "")</f>
        <v>3.0637254901960783E-2</v>
      </c>
      <c r="O82" s="18">
        <f>IF(ISNUMBER(M82), $B91 * N82, "")</f>
        <v>3063.7254901960782</v>
      </c>
      <c r="Q82" s="223"/>
      <c r="R82" s="224"/>
      <c r="S82" s="225"/>
    </row>
    <row r="83" spans="1:19" ht="17.25" thickBot="1">
      <c r="A83" s="125" t="s">
        <v>114</v>
      </c>
      <c r="B83" s="126">
        <v>312</v>
      </c>
      <c r="C83" s="77">
        <v>-2.8037383200000002E-2</v>
      </c>
      <c r="D83" s="15">
        <v>361</v>
      </c>
      <c r="E83" s="32">
        <f t="shared" si="38"/>
        <v>0.15705128205128205</v>
      </c>
      <c r="F83" s="18">
        <f>IF(ISNUMBER(D83), $B91 * E83, "")</f>
        <v>15705.128205128205</v>
      </c>
      <c r="G83" s="31">
        <v>373</v>
      </c>
      <c r="H83" s="32">
        <f t="shared" si="39"/>
        <v>0.19551282051282051</v>
      </c>
      <c r="I83" s="101">
        <f>IF(ISNUMBER(G83), $B91 * H83, "")</f>
        <v>19551.282051282051</v>
      </c>
      <c r="J83" s="15">
        <v>378</v>
      </c>
      <c r="K83" s="32">
        <f t="shared" si="40"/>
        <v>0.21153846153846154</v>
      </c>
      <c r="L83" s="18">
        <f>IF(ISNUMBER(J83), $B91 * K83, "")</f>
        <v>21153.846153846152</v>
      </c>
      <c r="M83" s="31">
        <v>366</v>
      </c>
      <c r="N83" s="32">
        <f t="shared" si="41"/>
        <v>0.17307692307692307</v>
      </c>
      <c r="O83" s="18">
        <f>IF(ISNUMBER(M83), $B91 * N83, "")</f>
        <v>17307.692307692309</v>
      </c>
      <c r="Q83" s="216"/>
      <c r="R83" s="216"/>
      <c r="S83" s="216"/>
    </row>
    <row r="84" spans="1:19" ht="17.25" thickBot="1">
      <c r="A84" s="125" t="s">
        <v>86</v>
      </c>
      <c r="B84" s="126">
        <v>274</v>
      </c>
      <c r="C84" s="77">
        <v>-3.1802120099999998E-2</v>
      </c>
      <c r="D84" s="15">
        <v>284</v>
      </c>
      <c r="E84" s="32">
        <f t="shared" si="38"/>
        <v>3.6496350364963501E-2</v>
      </c>
      <c r="F84" s="18">
        <f>IF(ISNUMBER(D84), $B91 * E84, "")</f>
        <v>3649.63503649635</v>
      </c>
      <c r="G84" s="31">
        <v>280</v>
      </c>
      <c r="H84" s="32">
        <f t="shared" si="39"/>
        <v>2.1897810218978103E-2</v>
      </c>
      <c r="I84" s="101">
        <f>IF(ISNUMBER(G84), $B91 * H84, "")</f>
        <v>2189.7810218978102</v>
      </c>
      <c r="J84" s="15">
        <v>280</v>
      </c>
      <c r="K84" s="32">
        <f t="shared" si="40"/>
        <v>2.1897810218978103E-2</v>
      </c>
      <c r="L84" s="18">
        <f>IF(ISNUMBER(J84), $B91 * K84, "")</f>
        <v>2189.7810218978102</v>
      </c>
      <c r="M84" s="31">
        <v>280</v>
      </c>
      <c r="N84" s="32">
        <f t="shared" si="41"/>
        <v>2.1897810218978103E-2</v>
      </c>
      <c r="O84" s="18">
        <f>IF(ISNUMBER(M84), $B91 * N84, "")</f>
        <v>2189.7810218978102</v>
      </c>
      <c r="Q84" s="226"/>
      <c r="R84" s="226"/>
      <c r="S84" s="226"/>
    </row>
    <row r="85" spans="1:19" ht="17.25" thickBot="1">
      <c r="A85" s="127" t="s">
        <v>206</v>
      </c>
      <c r="B85" s="128">
        <v>226</v>
      </c>
      <c r="C85" s="78">
        <v>-3.4188034200000002E-2</v>
      </c>
      <c r="D85" s="20">
        <v>238</v>
      </c>
      <c r="E85" s="21">
        <f t="shared" si="38"/>
        <v>5.3097345132743362E-2</v>
      </c>
      <c r="F85" s="22">
        <f>IF(ISNUMBER(D85), $B91 * E85, "")</f>
        <v>5309.7345132743358</v>
      </c>
      <c r="G85" s="30">
        <v>232</v>
      </c>
      <c r="H85" s="21">
        <f t="shared" si="39"/>
        <v>2.6548672566371681E-2</v>
      </c>
      <c r="I85" s="105">
        <f>IF(ISNUMBER(G85), $B91 * H85, "")</f>
        <v>2654.8672566371679</v>
      </c>
      <c r="J85" s="20">
        <v>235</v>
      </c>
      <c r="K85" s="21">
        <f t="shared" si="40"/>
        <v>3.9823008849557522E-2</v>
      </c>
      <c r="L85" s="22">
        <f>IF(ISNUMBER(J85), $B91 * K85, "")</f>
        <v>3982.3008849557523</v>
      </c>
      <c r="M85" s="30">
        <v>236</v>
      </c>
      <c r="N85" s="21">
        <f t="shared" si="41"/>
        <v>4.4247787610619468E-2</v>
      </c>
      <c r="O85" s="22">
        <f>IF(ISNUMBER(M85), $B91 * N85, "")</f>
        <v>4424.7787610619471</v>
      </c>
      <c r="Q85" s="226"/>
      <c r="R85" s="226"/>
      <c r="S85" s="226"/>
    </row>
    <row r="86" spans="1:19" ht="17.25" thickBot="1">
      <c r="A86" s="125" t="s">
        <v>228</v>
      </c>
      <c r="B86" s="129">
        <v>308</v>
      </c>
      <c r="C86" s="80">
        <v>-3.7499999999999999E-2</v>
      </c>
      <c r="D86" s="106">
        <v>314</v>
      </c>
      <c r="E86" s="107">
        <f>IF(ISNUMBER(D86), (D86 - $B86) / $B86, "")</f>
        <v>1.948051948051948E-2</v>
      </c>
      <c r="F86" s="108">
        <f>IF(ISNUMBER(D86), $B91 * E86, "")</f>
        <v>1948.0519480519481</v>
      </c>
      <c r="G86" s="109">
        <v>311</v>
      </c>
      <c r="H86" s="107">
        <f>IF(ISNUMBER(G86), (G86 - $B86) / $B86, "")</f>
        <v>9.74025974025974E-3</v>
      </c>
      <c r="I86" s="110">
        <f>IF(ISNUMBER(G86), $B91 * H86, "")</f>
        <v>974.02597402597405</v>
      </c>
      <c r="J86" s="106">
        <v>313</v>
      </c>
      <c r="K86" s="107">
        <f>IF(ISNUMBER(J86), (J86 - $B86) / $B86, "")</f>
        <v>1.6233766233766232E-2</v>
      </c>
      <c r="L86" s="108">
        <f>IF(ISNUMBER(J86), $B91 * K86, "")</f>
        <v>1623.3766233766232</v>
      </c>
      <c r="M86" s="109">
        <v>315</v>
      </c>
      <c r="N86" s="107">
        <f>IF(ISNUMBER(M86), (M86 - $B86) / $B86, "")</f>
        <v>2.2727272727272728E-2</v>
      </c>
      <c r="O86" s="108">
        <f>IF(ISNUMBER(M86), $B91 * N86, "")</f>
        <v>2272.727272727273</v>
      </c>
      <c r="Q86" s="216"/>
      <c r="R86" s="216"/>
      <c r="S86" s="216"/>
    </row>
    <row r="87" spans="1:19" ht="17.25" thickBot="1">
      <c r="A87" s="125" t="s">
        <v>237</v>
      </c>
      <c r="B87" s="126">
        <v>431</v>
      </c>
      <c r="C87" s="77">
        <v>-3.7946428599999998E-2</v>
      </c>
      <c r="D87" s="15">
        <v>442</v>
      </c>
      <c r="E87" s="32">
        <f t="shared" ref="E87:E90" si="42">IF(ISNUMBER(D87), (D87 - $B87) / $B87, "")</f>
        <v>2.5522041763341066E-2</v>
      </c>
      <c r="F87" s="18">
        <f>IF(ISNUMBER(D87), $B91 * E87, "")</f>
        <v>2552.2041763341067</v>
      </c>
      <c r="G87" s="31">
        <v>436</v>
      </c>
      <c r="H87" s="32">
        <f t="shared" ref="H87:H90" si="43">IF(ISNUMBER(G87), (G87 - $B87) / $B87, "")</f>
        <v>1.1600928074245939E-2</v>
      </c>
      <c r="I87" s="101">
        <f>IF(ISNUMBER(G87), $B91 * H87, "")</f>
        <v>1160.092807424594</v>
      </c>
      <c r="J87" s="15">
        <v>435</v>
      </c>
      <c r="K87" s="32">
        <f t="shared" ref="K87:K90" si="44">IF(ISNUMBER(J87), (J87 - $B87) / $B87, "")</f>
        <v>9.2807424593967514E-3</v>
      </c>
      <c r="L87" s="18">
        <f>IF(ISNUMBER(J87), $B91 * K87, "")</f>
        <v>928.07424593967517</v>
      </c>
      <c r="M87" s="31">
        <v>441</v>
      </c>
      <c r="N87" s="32">
        <f t="shared" ref="N87:N90" si="45">IF(ISNUMBER(M87), (M87 - $B87) / $B87, "")</f>
        <v>2.3201856148491878E-2</v>
      </c>
      <c r="O87" s="18">
        <f>IF(ISNUMBER(M87), $B91 * N87, "")</f>
        <v>2320.1856148491879</v>
      </c>
      <c r="Q87" s="216"/>
      <c r="R87" s="216"/>
      <c r="S87" s="216"/>
    </row>
    <row r="88" spans="1:19" ht="17.25" thickBot="1">
      <c r="A88" s="125" t="s">
        <v>231</v>
      </c>
      <c r="B88" s="126">
        <v>152</v>
      </c>
      <c r="C88" s="77">
        <v>-3.7974683500000002E-2</v>
      </c>
      <c r="D88" s="15">
        <v>156</v>
      </c>
      <c r="E88" s="32">
        <f t="shared" si="42"/>
        <v>2.6315789473684209E-2</v>
      </c>
      <c r="F88" s="18">
        <f>IF(ISNUMBER(D88), $B91 * E88, "")</f>
        <v>2631.5789473684208</v>
      </c>
      <c r="G88" s="31">
        <v>152</v>
      </c>
      <c r="H88" s="32">
        <f t="shared" si="43"/>
        <v>0</v>
      </c>
      <c r="I88" s="101">
        <f>IF(ISNUMBER(G88), $B91 * H88, "")</f>
        <v>0</v>
      </c>
      <c r="J88" s="15">
        <v>154</v>
      </c>
      <c r="K88" s="32">
        <f t="shared" si="44"/>
        <v>1.3157894736842105E-2</v>
      </c>
      <c r="L88" s="18">
        <f>IF(ISNUMBER(J88), $B91 * K88, "")</f>
        <v>1315.7894736842104</v>
      </c>
      <c r="M88" s="31">
        <v>154</v>
      </c>
      <c r="N88" s="32">
        <f t="shared" si="45"/>
        <v>1.3157894736842105E-2</v>
      </c>
      <c r="O88" s="18">
        <f>IF(ISNUMBER(M88), $B91 * N88, "")</f>
        <v>1315.7894736842104</v>
      </c>
      <c r="Q88" s="216"/>
      <c r="R88" s="216"/>
      <c r="S88" s="216"/>
    </row>
    <row r="89" spans="1:19">
      <c r="A89" s="125" t="s">
        <v>192</v>
      </c>
      <c r="B89" s="126">
        <v>193</v>
      </c>
      <c r="C89" s="77">
        <v>-3.9800994999999999E-2</v>
      </c>
      <c r="D89" s="15">
        <v>198</v>
      </c>
      <c r="E89" s="32">
        <f t="shared" si="42"/>
        <v>2.5906735751295335E-2</v>
      </c>
      <c r="F89" s="18">
        <f>IF(ISNUMBER(D89), $B91 * E89, "")</f>
        <v>2590.6735751295337</v>
      </c>
      <c r="G89" s="31">
        <v>195</v>
      </c>
      <c r="H89" s="32">
        <f t="shared" si="43"/>
        <v>1.0362694300518135E-2</v>
      </c>
      <c r="I89" s="101">
        <f>IF(ISNUMBER(G89), $B91 * H89, "")</f>
        <v>1036.2694300518135</v>
      </c>
      <c r="J89" s="15">
        <v>196</v>
      </c>
      <c r="K89" s="32">
        <f t="shared" si="44"/>
        <v>1.5544041450777202E-2</v>
      </c>
      <c r="L89" s="18">
        <f>IF(ISNUMBER(J89), $B91 * K89, "")</f>
        <v>1554.4041450777202</v>
      </c>
      <c r="M89" s="31">
        <v>197</v>
      </c>
      <c r="N89" s="32">
        <f t="shared" si="45"/>
        <v>2.072538860103627E-2</v>
      </c>
      <c r="O89" s="18">
        <f>IF(ISNUMBER(M89), $B91 * N89, "")</f>
        <v>2072.538860103627</v>
      </c>
      <c r="Q89" s="205"/>
      <c r="R89" s="206"/>
      <c r="S89" s="207"/>
    </row>
    <row r="90" spans="1:19" ht="17.25" thickBot="1">
      <c r="A90" s="130" t="s">
        <v>255</v>
      </c>
      <c r="B90" s="131">
        <v>205</v>
      </c>
      <c r="C90" s="79">
        <v>-4.2056074800000003E-2</v>
      </c>
      <c r="D90" s="24">
        <v>207</v>
      </c>
      <c r="E90" s="25">
        <f t="shared" si="42"/>
        <v>9.7560975609756097E-3</v>
      </c>
      <c r="F90" s="104">
        <f>IF(ISNUMBER(D90), $B91 * E90, "")</f>
        <v>975.60975609756099</v>
      </c>
      <c r="G90" s="102">
        <v>203</v>
      </c>
      <c r="H90" s="25">
        <f t="shared" si="43"/>
        <v>-9.7560975609756097E-3</v>
      </c>
      <c r="I90" s="103">
        <f>IF(ISNUMBER(G90), $B91 * H90, "")</f>
        <v>-975.60975609756099</v>
      </c>
      <c r="J90" s="24">
        <v>204</v>
      </c>
      <c r="K90" s="25">
        <f t="shared" si="44"/>
        <v>-4.8780487804878049E-3</v>
      </c>
      <c r="L90" s="104">
        <f>IF(ISNUMBER(J90), $B91 * K90, "")</f>
        <v>-487.80487804878049</v>
      </c>
      <c r="M90" s="102">
        <v>203</v>
      </c>
      <c r="N90" s="25">
        <f t="shared" si="45"/>
        <v>-9.7560975609756097E-3</v>
      </c>
      <c r="O90" s="104">
        <f>IF(ISNUMBER(M90), $B91 * N90, "")</f>
        <v>-975.60975609756099</v>
      </c>
      <c r="Q90" s="208"/>
      <c r="R90" s="209"/>
      <c r="S90" s="210"/>
    </row>
    <row r="91" spans="1:19" ht="17.25" thickBot="1">
      <c r="A91" s="132" t="s">
        <v>271</v>
      </c>
      <c r="B91" s="269">
        <f>$B$37</f>
        <v>100000</v>
      </c>
      <c r="C91" s="270"/>
      <c r="D91" s="26" t="s">
        <v>272</v>
      </c>
      <c r="E91" s="27">
        <f>IF(COUNT(E71:E90), SUM(E71:E90) / COUNT(E71:E90), 0)</f>
        <v>3.5194104866705114E-2</v>
      </c>
      <c r="F91" s="28">
        <f>SUM(F71:F90)</f>
        <v>70388.209733410244</v>
      </c>
      <c r="G91" s="26" t="s">
        <v>272</v>
      </c>
      <c r="H91" s="27">
        <f>IF(COUNT(H71:H90), SUM(H71:H90) / COUNT(H71:H90), 0)</f>
        <v>1.7419572900457807E-2</v>
      </c>
      <c r="I91" s="28">
        <f>SUM(I71:I90)</f>
        <v>34839.145800915627</v>
      </c>
      <c r="J91" s="26" t="s">
        <v>272</v>
      </c>
      <c r="K91" s="27">
        <f>IF(COUNT(K71:K90), SUM(K71:K90) / COUNT(K71:K90), 0)</f>
        <v>2.0899120441627592E-2</v>
      </c>
      <c r="L91" s="28">
        <f>SUM(L71:L90)</f>
        <v>41798.240883255188</v>
      </c>
      <c r="M91" s="26" t="s">
        <v>272</v>
      </c>
      <c r="N91" s="27">
        <f>IF(COUNT(N71:N90), SUM(N71:N90) / COUNT(N71:N90), 0)</f>
        <v>2.6649842329991586E-2</v>
      </c>
      <c r="O91" s="28">
        <f>SUM(O71:O90)</f>
        <v>53299.684659983184</v>
      </c>
      <c r="Q91" s="211"/>
      <c r="R91" s="212"/>
      <c r="S91" s="213"/>
    </row>
    <row r="93" spans="1:19" ht="17.25" thickBot="1"/>
    <row r="94" spans="1:19" ht="17.25" thickBot="1">
      <c r="A94" s="227" t="s">
        <v>46</v>
      </c>
      <c r="B94" s="228"/>
      <c r="C94" s="228"/>
      <c r="D94" s="228"/>
      <c r="E94" s="228"/>
      <c r="F94" s="228"/>
      <c r="G94" s="228"/>
      <c r="H94" s="228"/>
      <c r="I94" s="228"/>
      <c r="J94" s="228"/>
      <c r="K94" s="228"/>
      <c r="L94" s="228"/>
      <c r="M94" s="228"/>
      <c r="N94" s="228"/>
      <c r="O94" s="229"/>
      <c r="Q94" s="226"/>
      <c r="R94" s="226"/>
      <c r="S94" s="226"/>
    </row>
    <row r="95" spans="1:19" ht="17.25" thickBot="1">
      <c r="A95" s="177" t="s">
        <v>268</v>
      </c>
      <c r="B95" s="227" t="s">
        <v>49</v>
      </c>
      <c r="C95" s="229"/>
      <c r="D95" s="227" t="s">
        <v>58</v>
      </c>
      <c r="E95" s="228"/>
      <c r="F95" s="229"/>
      <c r="G95" s="230">
        <f>_xlfn.IFNA(VLOOKUP(B95, 현재가테이블!$B$2:$D$200, 2, FALSE), "-")</f>
        <v>39916000</v>
      </c>
      <c r="H95" s="231"/>
      <c r="I95" s="232"/>
      <c r="J95" s="227" t="s">
        <v>59</v>
      </c>
      <c r="K95" s="228"/>
      <c r="L95" s="229"/>
      <c r="M95" s="233">
        <f>_xlfn.IFNA(VLOOKUP(B95, 현재가테이블!$B$2:$D$200, 3, FALSE), "-")</f>
        <v>7.3184273000000003E-3</v>
      </c>
      <c r="N95" s="234"/>
      <c r="O95" s="235"/>
      <c r="Q95" s="226"/>
      <c r="R95" s="226"/>
      <c r="S95" s="226"/>
    </row>
    <row r="96" spans="1:19" ht="17.25" thickBot="1">
      <c r="A96" s="271" t="s">
        <v>55</v>
      </c>
      <c r="B96" s="267" t="str">
        <f>TEXT($G$1, "[$-ko-KR]yyyy-mm-dd(ddd) ") &amp; "오전 00:00"</f>
        <v>2021-07-06(화) 오전 00:00</v>
      </c>
      <c r="C96" s="268"/>
      <c r="D96" s="240" t="str">
        <f>TEXT($G$1, "[$-ko-KR]yyyy-mm-dd(ddd) ") &amp; "오후 14:00"</f>
        <v>2021-07-06(화) 오후 14:00</v>
      </c>
      <c r="E96" s="241"/>
      <c r="F96" s="242"/>
      <c r="G96" s="240" t="str">
        <f>TEXT($G$1, "[$-ko-KR]yyyy-mm-dd(ddd) ") &amp; "오후 19:00"</f>
        <v>2021-07-06(화) 오후 19:00</v>
      </c>
      <c r="H96" s="241"/>
      <c r="I96" s="242"/>
      <c r="J96" s="240" t="str">
        <f>TEXT($G$1, "[$-ko-KR]yyyy-mm-dd(ddd) ") &amp; "오후 21:00"</f>
        <v>2021-07-06(화) 오후 21:00</v>
      </c>
      <c r="K96" s="241"/>
      <c r="L96" s="242"/>
      <c r="M96" s="240" t="str">
        <f>TEXT($G$1+1, "[$-ko-KR]yyyy-mm-dd(ddd) ") &amp; "오전 00:00"</f>
        <v>2021-07-07(수) 오전 00:00</v>
      </c>
      <c r="N96" s="241"/>
      <c r="O96" s="242"/>
      <c r="Q96" s="226"/>
      <c r="R96" s="226"/>
      <c r="S96" s="226"/>
    </row>
    <row r="97" spans="1:19" ht="17.25" thickBot="1">
      <c r="A97" s="27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8" t="s">
        <v>58</v>
      </c>
      <c r="H97" s="179" t="s">
        <v>269</v>
      </c>
      <c r="I97" s="18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6"/>
      <c r="R97" s="216"/>
      <c r="S97" s="216"/>
    </row>
    <row r="98" spans="1:19" ht="17.25" thickBot="1">
      <c r="A98" s="123" t="s">
        <v>220</v>
      </c>
      <c r="B98" s="124">
        <v>166</v>
      </c>
      <c r="C98" s="76">
        <v>0.296875</v>
      </c>
      <c r="D98" s="13">
        <v>159</v>
      </c>
      <c r="E98" s="14">
        <f>IF(ISNUMBER(D98), (D98 - $B98) / $B98, "")</f>
        <v>-4.2168674698795178E-2</v>
      </c>
      <c r="F98" s="16">
        <f>IF(ISNUMBER(D98), $B118 * E98, "")</f>
        <v>-4216.8674698795176</v>
      </c>
      <c r="G98" s="29">
        <v>159</v>
      </c>
      <c r="H98" s="14">
        <f>IF(ISNUMBER(G98), (G98 - $B98) / $B98, "")</f>
        <v>-4.2168674698795178E-2</v>
      </c>
      <c r="I98" s="100">
        <f>IF(ISNUMBER(G98), $B118 * H98, "")</f>
        <v>-4216.8674698795176</v>
      </c>
      <c r="J98" s="13">
        <v>159</v>
      </c>
      <c r="K98" s="14">
        <f>IF(ISNUMBER(J98), (J98 - $B98) / $B98, "")</f>
        <v>-4.2168674698795178E-2</v>
      </c>
      <c r="L98" s="16">
        <f>IF(ISNUMBER(J98), $B118 * K98, "")</f>
        <v>-4216.8674698795176</v>
      </c>
      <c r="M98" s="29">
        <v>166</v>
      </c>
      <c r="N98" s="14">
        <f>IF(ISNUMBER(M98), (M98 - $B98) / $B98, "")</f>
        <v>0</v>
      </c>
      <c r="O98" s="16">
        <f>IF(ISNUMBER(M98), $B118 * N98, "")</f>
        <v>0</v>
      </c>
      <c r="Q98" s="226"/>
      <c r="R98" s="226"/>
      <c r="S98" s="226"/>
    </row>
    <row r="99" spans="1:19" ht="17.25" thickBot="1">
      <c r="A99" s="125" t="s">
        <v>124</v>
      </c>
      <c r="B99" s="126">
        <v>331</v>
      </c>
      <c r="C99" s="77">
        <v>0.14137931030000001</v>
      </c>
      <c r="D99" s="15">
        <v>321</v>
      </c>
      <c r="E99" s="32">
        <f t="shared" ref="E99:E102" si="46">IF(ISNUMBER(D99), (D99 - $B99) / $B99, "")</f>
        <v>-3.0211480362537766E-2</v>
      </c>
      <c r="F99" s="18">
        <f>IF(ISNUMBER(D99), $B118 * E99, "")</f>
        <v>-3021.1480362537768</v>
      </c>
      <c r="G99" s="31">
        <v>313</v>
      </c>
      <c r="H99" s="32">
        <f t="shared" ref="H99:H102" si="47">IF(ISNUMBER(G99), (G99 - $B99) / $B99, "")</f>
        <v>-5.4380664652567974E-2</v>
      </c>
      <c r="I99" s="101">
        <f>IF(ISNUMBER(G99), $B118 * H99, "")</f>
        <v>-5438.0664652567975</v>
      </c>
      <c r="J99" s="15">
        <v>315</v>
      </c>
      <c r="K99" s="32">
        <f t="shared" ref="K99:K102" si="48">IF(ISNUMBER(J99), (J99 - $B99) / $B99, "")</f>
        <v>-4.8338368580060423E-2</v>
      </c>
      <c r="L99" s="18">
        <f>IF(ISNUMBER(J99), $B118 * K99, "")</f>
        <v>-4833.8368580060423</v>
      </c>
      <c r="M99" s="31">
        <v>324</v>
      </c>
      <c r="N99" s="32">
        <f t="shared" ref="N99:N102" si="49">IF(ISNUMBER(M99), (M99 - $B99) / $B99, "")</f>
        <v>-2.1148036253776436E-2</v>
      </c>
      <c r="O99" s="18">
        <f>IF(ISNUMBER(M99), $B118 * N99, "")</f>
        <v>-2114.8036253776436</v>
      </c>
      <c r="Q99" s="226"/>
      <c r="R99" s="226"/>
      <c r="S99" s="226"/>
    </row>
    <row r="100" spans="1:19" ht="17.25" thickBot="1">
      <c r="A100" s="125" t="s">
        <v>218</v>
      </c>
      <c r="B100" s="126">
        <v>111</v>
      </c>
      <c r="C100" s="77">
        <v>8.82352941E-2</v>
      </c>
      <c r="D100" s="15">
        <v>114</v>
      </c>
      <c r="E100" s="32">
        <f t="shared" si="46"/>
        <v>2.7027027027027029E-2</v>
      </c>
      <c r="F100" s="18">
        <f>IF(ISNUMBER(D100), $B118 * E100, "")</f>
        <v>2702.7027027027029</v>
      </c>
      <c r="G100" s="31">
        <v>112</v>
      </c>
      <c r="H100" s="32">
        <f t="shared" si="47"/>
        <v>9.0090090090090089E-3</v>
      </c>
      <c r="I100" s="101">
        <f>IF(ISNUMBER(G100), $B118 * H100, "")</f>
        <v>900.90090090090087</v>
      </c>
      <c r="J100" s="15">
        <v>112</v>
      </c>
      <c r="K100" s="32">
        <f t="shared" si="48"/>
        <v>9.0090090090090089E-3</v>
      </c>
      <c r="L100" s="18">
        <f>IF(ISNUMBER(J100), $B118 * K100, "")</f>
        <v>900.90090090090087</v>
      </c>
      <c r="M100" s="31">
        <v>111</v>
      </c>
      <c r="N100" s="32">
        <f t="shared" si="49"/>
        <v>0</v>
      </c>
      <c r="O100" s="18">
        <f>IF(ISNUMBER(M100), $B118 * N100, "")</f>
        <v>0</v>
      </c>
      <c r="Q100" s="216"/>
      <c r="R100" s="216"/>
      <c r="S100" s="216"/>
    </row>
    <row r="101" spans="1:19" ht="17.25" thickBot="1">
      <c r="A101" s="125" t="s">
        <v>253</v>
      </c>
      <c r="B101" s="126">
        <v>880</v>
      </c>
      <c r="C101" s="77">
        <v>8.7762670000000001E-2</v>
      </c>
      <c r="D101" s="15">
        <v>871</v>
      </c>
      <c r="E101" s="32">
        <f t="shared" si="46"/>
        <v>-1.0227272727272727E-2</v>
      </c>
      <c r="F101" s="18">
        <f>IF(ISNUMBER(D101), $B118 * E101, "")</f>
        <v>-1022.7272727272727</v>
      </c>
      <c r="G101" s="31">
        <v>868</v>
      </c>
      <c r="H101" s="32">
        <f t="shared" si="47"/>
        <v>-1.3636363636363636E-2</v>
      </c>
      <c r="I101" s="101">
        <f>IF(ISNUMBER(G101), $B118 * H101, "")</f>
        <v>-1363.6363636363635</v>
      </c>
      <c r="J101" s="15">
        <v>868</v>
      </c>
      <c r="K101" s="32">
        <f t="shared" si="48"/>
        <v>-1.3636363636363636E-2</v>
      </c>
      <c r="L101" s="18">
        <f>IF(ISNUMBER(J101), $B118 * K101, "")</f>
        <v>-1363.6363636363635</v>
      </c>
      <c r="M101" s="31">
        <v>871</v>
      </c>
      <c r="N101" s="32">
        <f t="shared" si="49"/>
        <v>-1.0227272727272727E-2</v>
      </c>
      <c r="O101" s="18">
        <f>IF(ISNUMBER(M101), $B118 * N101, "")</f>
        <v>-1022.7272727272727</v>
      </c>
      <c r="Q101" s="216"/>
      <c r="R101" s="216"/>
      <c r="S101" s="216"/>
    </row>
    <row r="102" spans="1:19" ht="17.25" thickBot="1">
      <c r="A102" s="127" t="s">
        <v>222</v>
      </c>
      <c r="B102" s="128">
        <v>110</v>
      </c>
      <c r="C102" s="78">
        <v>7.8431372499999999E-2</v>
      </c>
      <c r="D102" s="20">
        <v>111</v>
      </c>
      <c r="E102" s="21">
        <f t="shared" si="46"/>
        <v>9.0909090909090905E-3</v>
      </c>
      <c r="F102" s="22">
        <f>IF(ISNUMBER(D102), $B118 * E102, "")</f>
        <v>909.09090909090901</v>
      </c>
      <c r="G102" s="30">
        <v>108</v>
      </c>
      <c r="H102" s="21">
        <f t="shared" si="47"/>
        <v>-1.8181818181818181E-2</v>
      </c>
      <c r="I102" s="105">
        <f>IF(ISNUMBER(G102), $B118 * H102, "")</f>
        <v>-1818.181818181818</v>
      </c>
      <c r="J102" s="20">
        <v>107</v>
      </c>
      <c r="K102" s="21">
        <f t="shared" si="48"/>
        <v>-2.7272727272727271E-2</v>
      </c>
      <c r="L102" s="22">
        <f>IF(ISNUMBER(J102), $B118 * K102, "")</f>
        <v>-2727.272727272727</v>
      </c>
      <c r="M102" s="30">
        <v>109</v>
      </c>
      <c r="N102" s="21">
        <f t="shared" si="49"/>
        <v>-9.0909090909090905E-3</v>
      </c>
      <c r="O102" s="22">
        <f>IF(ISNUMBER(M102), $B118 * N102, "")</f>
        <v>-909.09090909090901</v>
      </c>
      <c r="Q102" s="216"/>
      <c r="R102" s="216"/>
      <c r="S102" s="216"/>
    </row>
    <row r="103" spans="1:19" ht="17.25" thickBot="1">
      <c r="A103" s="125" t="s">
        <v>74</v>
      </c>
      <c r="B103" s="129">
        <v>15180</v>
      </c>
      <c r="C103" s="80">
        <v>6.0796645699999999E-2</v>
      </c>
      <c r="D103" s="106">
        <v>15520</v>
      </c>
      <c r="E103" s="107">
        <f>IF(ISNUMBER(D103), (D103 - $B103) / $B103, "")</f>
        <v>2.2397891963109356E-2</v>
      </c>
      <c r="F103" s="108">
        <f>IF(ISNUMBER(D103), $B118 * E103, "")</f>
        <v>2239.7891963109355</v>
      </c>
      <c r="G103" s="109">
        <v>15250</v>
      </c>
      <c r="H103" s="107">
        <f>IF(ISNUMBER(G103), (G103 - $B103) / $B103, "")</f>
        <v>4.61133069828722E-3</v>
      </c>
      <c r="I103" s="110">
        <f>IF(ISNUMBER(G103), $B118 * H103, "")</f>
        <v>461.133069828722</v>
      </c>
      <c r="J103" s="106">
        <v>15290</v>
      </c>
      <c r="K103" s="107">
        <f>IF(ISNUMBER(J103), (J103 - $B103) / $B103, "")</f>
        <v>7.246376811594203E-3</v>
      </c>
      <c r="L103" s="108">
        <f>IF(ISNUMBER(J103), $B118 * K103, "")</f>
        <v>724.63768115942025</v>
      </c>
      <c r="M103" s="109">
        <v>15300</v>
      </c>
      <c r="N103" s="107">
        <f>IF(ISNUMBER(M103), (M103 - $B103) / $B103, "")</f>
        <v>7.9051383399209481E-3</v>
      </c>
      <c r="O103" s="108">
        <f>IF(ISNUMBER(M103), $B118 * N103, "")</f>
        <v>790.51383399209476</v>
      </c>
      <c r="Q103" s="216"/>
      <c r="R103" s="216"/>
      <c r="S103" s="216"/>
    </row>
    <row r="104" spans="1:19" ht="17.25" thickBot="1">
      <c r="A104" s="125" t="s">
        <v>150</v>
      </c>
      <c r="B104" s="126">
        <v>10.5</v>
      </c>
      <c r="C104" s="77">
        <v>5.3159478400000001E-2</v>
      </c>
      <c r="D104" s="15">
        <v>10.8</v>
      </c>
      <c r="E104" s="32">
        <f t="shared" ref="E104:E107" si="50">IF(ISNUMBER(D104), (D104 - $B104) / $B104, "")</f>
        <v>2.857142857142864E-2</v>
      </c>
      <c r="F104" s="18">
        <f>IF(ISNUMBER(D104), $B118 * E104, "")</f>
        <v>2857.1428571428642</v>
      </c>
      <c r="G104" s="31">
        <v>10.4</v>
      </c>
      <c r="H104" s="32">
        <f t="shared" ref="H104:H107" si="51">IF(ISNUMBER(G104), (G104 - $B104) / $B104, "")</f>
        <v>-9.52380952380949E-3</v>
      </c>
      <c r="I104" s="101">
        <f>IF(ISNUMBER(G104), $B118 * H104, "")</f>
        <v>-952.380952380949</v>
      </c>
      <c r="J104" s="15">
        <v>10.5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10.6</v>
      </c>
      <c r="N104" s="32">
        <f t="shared" ref="N104:N107" si="53">IF(ISNUMBER(M104), (M104 - $B104) / $B104, "")</f>
        <v>9.52380952380949E-3</v>
      </c>
      <c r="O104" s="18">
        <f>IF(ISNUMBER(M104), $B118 * N104, "")</f>
        <v>952.380952380949</v>
      </c>
      <c r="Q104" s="216"/>
      <c r="R104" s="216"/>
      <c r="S104" s="216"/>
    </row>
    <row r="105" spans="1:19" ht="17.25" thickBot="1">
      <c r="A105" s="125" t="s">
        <v>245</v>
      </c>
      <c r="B105" s="126">
        <v>1210</v>
      </c>
      <c r="C105" s="77">
        <v>5.2173913000000002E-2</v>
      </c>
      <c r="D105" s="15">
        <v>1220</v>
      </c>
      <c r="E105" s="32">
        <f t="shared" si="50"/>
        <v>8.2644628099173556E-3</v>
      </c>
      <c r="F105" s="18">
        <f>IF(ISNUMBER(D105), $B118 * E105, "")</f>
        <v>826.44628099173553</v>
      </c>
      <c r="G105" s="31">
        <v>1185</v>
      </c>
      <c r="H105" s="32">
        <f t="shared" si="51"/>
        <v>-2.0661157024793389E-2</v>
      </c>
      <c r="I105" s="101">
        <f>IF(ISNUMBER(G105), $B118 * H105, "")</f>
        <v>-2066.1157024793388</v>
      </c>
      <c r="J105" s="15">
        <v>1190</v>
      </c>
      <c r="K105" s="32">
        <f t="shared" si="52"/>
        <v>-1.6528925619834711E-2</v>
      </c>
      <c r="L105" s="18">
        <f>IF(ISNUMBER(J105), $B118 * K105, "")</f>
        <v>-1652.8925619834711</v>
      </c>
      <c r="M105" s="31">
        <v>1205</v>
      </c>
      <c r="N105" s="32">
        <f t="shared" si="53"/>
        <v>-4.1322314049586778E-3</v>
      </c>
      <c r="O105" s="18">
        <f>IF(ISNUMBER(M105), $B118 * N105, "")</f>
        <v>-413.22314049586777</v>
      </c>
      <c r="Q105" s="216"/>
      <c r="R105" s="216"/>
      <c r="S105" s="216"/>
    </row>
    <row r="106" spans="1:19" ht="17.25" thickBot="1">
      <c r="A106" s="125" t="s">
        <v>166</v>
      </c>
      <c r="B106" s="126">
        <v>130</v>
      </c>
      <c r="C106" s="77">
        <v>4.8387096800000001E-2</v>
      </c>
      <c r="D106" s="15">
        <v>140</v>
      </c>
      <c r="E106" s="32">
        <f t="shared" si="50"/>
        <v>7.6923076923076927E-2</v>
      </c>
      <c r="F106" s="18">
        <f>IF(ISNUMBER(D106), $B118 * E106, "")</f>
        <v>7692.3076923076924</v>
      </c>
      <c r="G106" s="31">
        <v>135</v>
      </c>
      <c r="H106" s="32">
        <f t="shared" si="51"/>
        <v>3.8461538461538464E-2</v>
      </c>
      <c r="I106" s="101">
        <f>IF(ISNUMBER(G106), $B118 * H106, "")</f>
        <v>3846.1538461538462</v>
      </c>
      <c r="J106" s="15">
        <v>135</v>
      </c>
      <c r="K106" s="32">
        <f t="shared" si="52"/>
        <v>3.8461538461538464E-2</v>
      </c>
      <c r="L106" s="18">
        <f>IF(ISNUMBER(J106), $B118 * K106, "")</f>
        <v>3846.1538461538462</v>
      </c>
      <c r="M106" s="31">
        <v>135</v>
      </c>
      <c r="N106" s="32">
        <f t="shared" si="53"/>
        <v>3.8461538461538464E-2</v>
      </c>
      <c r="O106" s="18">
        <f>IF(ISNUMBER(M106), $B118 * N106, "")</f>
        <v>3846.1538461538462</v>
      </c>
      <c r="Q106" s="33"/>
      <c r="R106" s="33"/>
    </row>
    <row r="107" spans="1:19" ht="17.25" thickBot="1">
      <c r="A107" s="130" t="s">
        <v>216</v>
      </c>
      <c r="B107" s="131">
        <v>9.49</v>
      </c>
      <c r="C107" s="79">
        <v>3.7158469899999998E-2</v>
      </c>
      <c r="D107" s="24">
        <v>9.9600000000000009</v>
      </c>
      <c r="E107" s="25">
        <f t="shared" si="50"/>
        <v>4.9525816649104389E-2</v>
      </c>
      <c r="F107" s="104">
        <f>IF(ISNUMBER(D107), $B118 * E107, "")</f>
        <v>4952.581664910439</v>
      </c>
      <c r="G107" s="102">
        <v>9.77</v>
      </c>
      <c r="H107" s="25">
        <f t="shared" si="51"/>
        <v>2.9504741833508888E-2</v>
      </c>
      <c r="I107" s="103">
        <f>IF(ISNUMBER(G107), $B118 * H107, "")</f>
        <v>2950.4741833508888</v>
      </c>
      <c r="J107" s="24">
        <v>9.74</v>
      </c>
      <c r="K107" s="25">
        <f t="shared" si="52"/>
        <v>2.6343519494204427E-2</v>
      </c>
      <c r="L107" s="104">
        <f>IF(ISNUMBER(J107), $B118 * K107, "")</f>
        <v>2634.3519494204425</v>
      </c>
      <c r="M107" s="102">
        <v>9.77</v>
      </c>
      <c r="N107" s="25">
        <f t="shared" si="53"/>
        <v>2.9504741833508888E-2</v>
      </c>
      <c r="O107" s="104">
        <f>IF(ISNUMBER(M107), $B118 * N107, "")</f>
        <v>2950.4741833508888</v>
      </c>
      <c r="Q107" s="217"/>
      <c r="R107" s="218"/>
      <c r="S107" s="219"/>
    </row>
    <row r="108" spans="1:19">
      <c r="A108" s="123" t="s">
        <v>235</v>
      </c>
      <c r="B108" s="124">
        <v>58.3</v>
      </c>
      <c r="C108" s="76">
        <v>3.55239787E-2</v>
      </c>
      <c r="D108" s="13">
        <v>62.5</v>
      </c>
      <c r="E108" s="14">
        <f>IF(ISNUMBER(D108), (D108 - $B108) / $B108, "")</f>
        <v>7.2041166380789071E-2</v>
      </c>
      <c r="F108" s="16">
        <f>IF(ISNUMBER(D108), $B118 * E108, "")</f>
        <v>7204.1166380789073</v>
      </c>
      <c r="G108" s="29">
        <v>61.6</v>
      </c>
      <c r="H108" s="14">
        <f>IF(ISNUMBER(G108), (G108 - $B108) / $B108, "")</f>
        <v>5.6603773584905738E-2</v>
      </c>
      <c r="I108" s="100">
        <f>IF(ISNUMBER(G108), $B118 * H108, "")</f>
        <v>5660.3773584905739</v>
      </c>
      <c r="J108" s="13">
        <v>61.9</v>
      </c>
      <c r="K108" s="14">
        <f>IF(ISNUMBER(J108), (J108 - $B108) / $B108, "")</f>
        <v>6.1749571183533476E-2</v>
      </c>
      <c r="L108" s="16">
        <f>IF(ISNUMBER(J108), $B118 * K108, "")</f>
        <v>6174.9571183533481</v>
      </c>
      <c r="M108" s="29">
        <v>61.8</v>
      </c>
      <c r="N108" s="14">
        <f>IF(ISNUMBER(M108), (M108 - $B108) / $B108, "")</f>
        <v>6.0034305317324191E-2</v>
      </c>
      <c r="O108" s="16">
        <f>IF(ISNUMBER(M108), $B118 * N108, "")</f>
        <v>6003.4305317324188</v>
      </c>
      <c r="Q108" s="220"/>
      <c r="R108" s="221"/>
      <c r="S108" s="222"/>
    </row>
    <row r="109" spans="1:19" ht="17.25" thickBot="1">
      <c r="A109" s="125" t="s">
        <v>204</v>
      </c>
      <c r="B109" s="126">
        <v>12.1</v>
      </c>
      <c r="C109" s="77">
        <v>3.4188034200000002E-2</v>
      </c>
      <c r="D109" s="15">
        <v>13.4</v>
      </c>
      <c r="E109" s="32">
        <f t="shared" ref="E109:E112" si="54">IF(ISNUMBER(D109), (D109 - $B109) / $B109, "")</f>
        <v>0.10743801652892568</v>
      </c>
      <c r="F109" s="18">
        <f>IF(ISNUMBER(D109), $B118 * E109, "")</f>
        <v>10743.801652892567</v>
      </c>
      <c r="G109" s="31">
        <v>13.2</v>
      </c>
      <c r="H109" s="32">
        <f t="shared" ref="H109:H112" si="55">IF(ISNUMBER(G109), (G109 - $B109) / $B109, "")</f>
        <v>9.0909090909090884E-2</v>
      </c>
      <c r="I109" s="101">
        <f>IF(ISNUMBER(G109), $B118 * H109, "")</f>
        <v>9090.9090909090883</v>
      </c>
      <c r="J109" s="15">
        <v>13.3</v>
      </c>
      <c r="K109" s="32">
        <f t="shared" ref="K109:K112" si="56">IF(ISNUMBER(J109), (J109 - $B109) / $B109, "")</f>
        <v>9.917355371900835E-2</v>
      </c>
      <c r="L109" s="18">
        <f>IF(ISNUMBER(J109), $B118 * K109, "")</f>
        <v>9917.3553719008341</v>
      </c>
      <c r="M109" s="31">
        <v>13.2</v>
      </c>
      <c r="N109" s="32">
        <f t="shared" ref="N109:N112" si="57">IF(ISNUMBER(M109), (M109 - $B109) / $B109, "")</f>
        <v>9.0909090909090884E-2</v>
      </c>
      <c r="O109" s="18">
        <f>IF(ISNUMBER(M109), $B118 * N109, "")</f>
        <v>9090.9090909090883</v>
      </c>
      <c r="Q109" s="223"/>
      <c r="R109" s="224"/>
      <c r="S109" s="225"/>
    </row>
    <row r="110" spans="1:19" ht="17.25" thickBot="1">
      <c r="A110" s="125" t="s">
        <v>188</v>
      </c>
      <c r="B110" s="126">
        <v>10.199999999999999</v>
      </c>
      <c r="C110" s="77">
        <v>3.0303030299999999E-2</v>
      </c>
      <c r="D110" s="15">
        <v>10.1</v>
      </c>
      <c r="E110" s="32">
        <f t="shared" si="54"/>
        <v>-9.8039215686274161E-3</v>
      </c>
      <c r="F110" s="18">
        <f>IF(ISNUMBER(D110), $B118 * E110, "")</f>
        <v>-980.39215686274156</v>
      </c>
      <c r="G110" s="31">
        <v>10.1</v>
      </c>
      <c r="H110" s="32">
        <f t="shared" si="55"/>
        <v>-9.8039215686274161E-3</v>
      </c>
      <c r="I110" s="101">
        <f>IF(ISNUMBER(G110), $B118 * H110, "")</f>
        <v>-980.39215686274156</v>
      </c>
      <c r="J110" s="15">
        <v>10.3</v>
      </c>
      <c r="K110" s="32">
        <f t="shared" si="56"/>
        <v>9.8039215686275914E-3</v>
      </c>
      <c r="L110" s="18">
        <f>IF(ISNUMBER(J110), $B118 * K110, "")</f>
        <v>980.39215686275918</v>
      </c>
      <c r="M110" s="31">
        <v>10.9</v>
      </c>
      <c r="N110" s="32">
        <f t="shared" si="57"/>
        <v>6.862745098039226E-2</v>
      </c>
      <c r="O110" s="18">
        <f>IF(ISNUMBER(M110), $B118 * N110, "")</f>
        <v>6862.7450980392259</v>
      </c>
      <c r="Q110" s="216"/>
      <c r="R110" s="216"/>
      <c r="S110" s="216"/>
    </row>
    <row r="111" spans="1:19" ht="17.25" thickBot="1">
      <c r="A111" s="125" t="s">
        <v>120</v>
      </c>
      <c r="B111" s="126">
        <v>2820</v>
      </c>
      <c r="C111" s="77">
        <v>2.5454545499999998E-2</v>
      </c>
      <c r="D111" s="15">
        <v>2890</v>
      </c>
      <c r="E111" s="32">
        <f t="shared" si="54"/>
        <v>2.4822695035460994E-2</v>
      </c>
      <c r="F111" s="18">
        <f>IF(ISNUMBER(D111), $B118 * E111, "")</f>
        <v>2482.2695035460993</v>
      </c>
      <c r="G111" s="31">
        <v>2810</v>
      </c>
      <c r="H111" s="32">
        <f t="shared" si="55"/>
        <v>-3.5460992907801418E-3</v>
      </c>
      <c r="I111" s="101">
        <f>IF(ISNUMBER(G111), $B118 * H111, "")</f>
        <v>-354.6099290780142</v>
      </c>
      <c r="J111" s="15">
        <v>2850</v>
      </c>
      <c r="K111" s="32">
        <f t="shared" si="56"/>
        <v>1.0638297872340425E-2</v>
      </c>
      <c r="L111" s="18">
        <f>IF(ISNUMBER(J111), $B118 * K111, "")</f>
        <v>1063.8297872340424</v>
      </c>
      <c r="M111" s="31">
        <v>2865</v>
      </c>
      <c r="N111" s="32">
        <f t="shared" si="57"/>
        <v>1.5957446808510637E-2</v>
      </c>
      <c r="O111" s="18">
        <f>IF(ISNUMBER(M111), $B118 * N111, "")</f>
        <v>1595.7446808510638</v>
      </c>
      <c r="Q111" s="226"/>
      <c r="R111" s="226"/>
      <c r="S111" s="226"/>
    </row>
    <row r="112" spans="1:19" ht="17.25" thickBot="1">
      <c r="A112" s="127" t="s">
        <v>67</v>
      </c>
      <c r="B112" s="128">
        <v>3540</v>
      </c>
      <c r="C112" s="78">
        <v>2.3121387300000001E-2</v>
      </c>
      <c r="D112" s="20">
        <v>3550</v>
      </c>
      <c r="E112" s="21">
        <f t="shared" si="54"/>
        <v>2.8248587570621469E-3</v>
      </c>
      <c r="F112" s="22">
        <f>IF(ISNUMBER(D112), $B118 * E112, "")</f>
        <v>282.4858757062147</v>
      </c>
      <c r="G112" s="30">
        <v>3500</v>
      </c>
      <c r="H112" s="21">
        <f t="shared" si="55"/>
        <v>-1.1299435028248588E-2</v>
      </c>
      <c r="I112" s="105">
        <f>IF(ISNUMBER(G112), $B118 * H112, "")</f>
        <v>-1129.9435028248588</v>
      </c>
      <c r="J112" s="20">
        <v>3510</v>
      </c>
      <c r="K112" s="21">
        <f t="shared" si="56"/>
        <v>-8.4745762711864406E-3</v>
      </c>
      <c r="L112" s="22">
        <f>IF(ISNUMBER(J112), $B118 * K112, "")</f>
        <v>-847.45762711864404</v>
      </c>
      <c r="M112" s="30">
        <v>3520</v>
      </c>
      <c r="N112" s="21">
        <f t="shared" si="57"/>
        <v>-5.6497175141242938E-3</v>
      </c>
      <c r="O112" s="22">
        <f>IF(ISNUMBER(M112), $B118 * N112, "")</f>
        <v>-564.9717514124294</v>
      </c>
      <c r="Q112" s="226"/>
      <c r="R112" s="226"/>
      <c r="S112" s="226"/>
    </row>
    <row r="113" spans="1:19" ht="17.25" thickBot="1">
      <c r="A113" s="125" t="s">
        <v>130</v>
      </c>
      <c r="B113" s="129">
        <v>86.8</v>
      </c>
      <c r="C113" s="80">
        <v>2.11764706E-2</v>
      </c>
      <c r="D113" s="106">
        <v>89.5</v>
      </c>
      <c r="E113" s="107">
        <f>IF(ISNUMBER(D113), (D113 - $B113) / $B113, "")</f>
        <v>3.1105990783410174E-2</v>
      </c>
      <c r="F113" s="108">
        <f>IF(ISNUMBER(D113), $B118 * E113, "")</f>
        <v>3110.5990783410175</v>
      </c>
      <c r="G113" s="109">
        <v>88.1</v>
      </c>
      <c r="H113" s="107">
        <f>IF(ISNUMBER(G113), (G113 - $B113) / $B113, "")</f>
        <v>1.497695852534559E-2</v>
      </c>
      <c r="I113" s="110">
        <f>IF(ISNUMBER(G113), $B118 * H113, "")</f>
        <v>1497.695852534559</v>
      </c>
      <c r="J113" s="106">
        <v>89.1</v>
      </c>
      <c r="K113" s="107">
        <f>IF(ISNUMBER(J113), (J113 - $B113) / $B113, "")</f>
        <v>2.6497695852534531E-2</v>
      </c>
      <c r="L113" s="108">
        <f>IF(ISNUMBER(J113), $B118 * K113, "")</f>
        <v>2649.769585253453</v>
      </c>
      <c r="M113" s="109">
        <v>90.1</v>
      </c>
      <c r="N113" s="107">
        <f>IF(ISNUMBER(M113), (M113 - $B113) / $B113, "")</f>
        <v>3.801843317972347E-2</v>
      </c>
      <c r="O113" s="108">
        <f>IF(ISNUMBER(M113), $B118 * N113, "")</f>
        <v>3801.843317972347</v>
      </c>
      <c r="Q113" s="216"/>
      <c r="R113" s="216"/>
      <c r="S113" s="216"/>
    </row>
    <row r="114" spans="1:19" ht="17.25" thickBot="1">
      <c r="A114" s="125" t="s">
        <v>208</v>
      </c>
      <c r="B114" s="126">
        <v>10.5</v>
      </c>
      <c r="C114" s="77">
        <v>1.9417475699999999E-2</v>
      </c>
      <c r="D114" s="15">
        <v>10.7</v>
      </c>
      <c r="E114" s="32">
        <f t="shared" ref="E114:E117" si="58">IF(ISNUMBER(D114), (D114 - $B114) / $B114, "")</f>
        <v>1.904761904761898E-2</v>
      </c>
      <c r="F114" s="18">
        <f>IF(ISNUMBER(D114), $B118 * E114, "")</f>
        <v>1904.761904761898</v>
      </c>
      <c r="G114" s="31">
        <v>10.4</v>
      </c>
      <c r="H114" s="32">
        <f t="shared" ref="H114:H117" si="59">IF(ISNUMBER(G114), (G114 - $B114) / $B114, "")</f>
        <v>-9.52380952380949E-3</v>
      </c>
      <c r="I114" s="101">
        <f>IF(ISNUMBER(G114), $B118 * H114, "")</f>
        <v>-952.380952380949</v>
      </c>
      <c r="J114" s="15">
        <v>10.5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10.5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16"/>
      <c r="R114" s="216"/>
      <c r="S114" s="216"/>
    </row>
    <row r="115" spans="1:19" ht="17.25" thickBot="1">
      <c r="A115" s="125" t="s">
        <v>194</v>
      </c>
      <c r="B115" s="126">
        <v>130</v>
      </c>
      <c r="C115" s="77">
        <v>1.5625E-2</v>
      </c>
      <c r="D115" s="15">
        <v>132</v>
      </c>
      <c r="E115" s="32">
        <f t="shared" si="58"/>
        <v>1.5384615384615385E-2</v>
      </c>
      <c r="F115" s="18">
        <f>IF(ISNUMBER(D115), $B118 * E115, "")</f>
        <v>1538.4615384615386</v>
      </c>
      <c r="G115" s="31">
        <v>128</v>
      </c>
      <c r="H115" s="32">
        <f t="shared" si="59"/>
        <v>-1.5384615384615385E-2</v>
      </c>
      <c r="I115" s="101">
        <f>IF(ISNUMBER(G115), $B118 * H115, "")</f>
        <v>-1538.4615384615386</v>
      </c>
      <c r="J115" s="15">
        <v>128</v>
      </c>
      <c r="K115" s="32">
        <f t="shared" si="60"/>
        <v>-1.5384615384615385E-2</v>
      </c>
      <c r="L115" s="18">
        <f>IF(ISNUMBER(J115), $B118 * K115, "")</f>
        <v>-1538.4615384615386</v>
      </c>
      <c r="M115" s="31">
        <v>131</v>
      </c>
      <c r="N115" s="32">
        <f t="shared" si="61"/>
        <v>7.6923076923076927E-3</v>
      </c>
      <c r="O115" s="18">
        <f>IF(ISNUMBER(M115), $B118 * N115, "")</f>
        <v>769.23076923076928</v>
      </c>
      <c r="Q115" s="216"/>
      <c r="R115" s="216"/>
      <c r="S115" s="216"/>
    </row>
    <row r="116" spans="1:19">
      <c r="A116" s="125" t="s">
        <v>108</v>
      </c>
      <c r="B116" s="126">
        <v>1000</v>
      </c>
      <c r="C116" s="77">
        <v>1.1122345800000001E-2</v>
      </c>
      <c r="D116" s="15">
        <v>1050</v>
      </c>
      <c r="E116" s="32">
        <f t="shared" si="58"/>
        <v>0.05</v>
      </c>
      <c r="F116" s="18">
        <f>IF(ISNUMBER(D116), $B118 * E116, "")</f>
        <v>5000</v>
      </c>
      <c r="G116" s="31">
        <v>1015</v>
      </c>
      <c r="H116" s="32">
        <f t="shared" si="59"/>
        <v>1.4999999999999999E-2</v>
      </c>
      <c r="I116" s="101">
        <f>IF(ISNUMBER(G116), $B118 * H116, "")</f>
        <v>1500</v>
      </c>
      <c r="J116" s="15">
        <v>1020</v>
      </c>
      <c r="K116" s="32">
        <f t="shared" si="60"/>
        <v>0.02</v>
      </c>
      <c r="L116" s="18">
        <f>IF(ISNUMBER(J116), $B118 * K116, "")</f>
        <v>2000</v>
      </c>
      <c r="M116" s="31">
        <v>1015</v>
      </c>
      <c r="N116" s="32">
        <f t="shared" si="61"/>
        <v>1.4999999999999999E-2</v>
      </c>
      <c r="O116" s="18">
        <f>IF(ISNUMBER(M116), $B118 * N116, "")</f>
        <v>1500</v>
      </c>
      <c r="Q116" s="205"/>
      <c r="R116" s="206"/>
      <c r="S116" s="207"/>
    </row>
    <row r="117" spans="1:19" ht="17.25" thickBot="1">
      <c r="A117" s="130" t="s">
        <v>212</v>
      </c>
      <c r="B117" s="131">
        <v>1010</v>
      </c>
      <c r="C117" s="79">
        <v>0.01</v>
      </c>
      <c r="D117" s="24">
        <v>1055</v>
      </c>
      <c r="E117" s="25">
        <f t="shared" si="58"/>
        <v>4.4554455445544552E-2</v>
      </c>
      <c r="F117" s="104">
        <f>IF(ISNUMBER(D117), $B118 * E117, "")</f>
        <v>4455.4455445544554</v>
      </c>
      <c r="G117" s="102">
        <v>1030</v>
      </c>
      <c r="H117" s="25">
        <f t="shared" si="59"/>
        <v>1.9801980198019802E-2</v>
      </c>
      <c r="I117" s="103">
        <f>IF(ISNUMBER(G117), $B118 * H117, "")</f>
        <v>1980.1980198019803</v>
      </c>
      <c r="J117" s="24">
        <v>1035</v>
      </c>
      <c r="K117" s="25">
        <f t="shared" si="60"/>
        <v>2.4752475247524754E-2</v>
      </c>
      <c r="L117" s="104">
        <f>IF(ISNUMBER(J117), $B118 * K117, "")</f>
        <v>2475.2475247524753</v>
      </c>
      <c r="M117" s="102">
        <v>1025</v>
      </c>
      <c r="N117" s="25">
        <f t="shared" si="61"/>
        <v>1.4851485148514851E-2</v>
      </c>
      <c r="O117" s="104">
        <f>IF(ISNUMBER(M117), $B118 * N117, "")</f>
        <v>1485.1485148514851</v>
      </c>
      <c r="Q117" s="208"/>
      <c r="R117" s="209"/>
      <c r="S117" s="210"/>
    </row>
    <row r="118" spans="1:19" ht="17.25" thickBot="1">
      <c r="A118" s="132" t="s">
        <v>271</v>
      </c>
      <c r="B118" s="269">
        <f>$B$37</f>
        <v>100000</v>
      </c>
      <c r="C118" s="270"/>
      <c r="D118" s="26" t="s">
        <v>272</v>
      </c>
      <c r="E118" s="27">
        <f>IF(COUNT(E98:E117), SUM(E98:E117) / COUNT(E98:E117), 0)</f>
        <v>2.4830434052038334E-2</v>
      </c>
      <c r="F118" s="28">
        <f>SUM(F98:F117)</f>
        <v>49660.868104076668</v>
      </c>
      <c r="G118" s="26" t="s">
        <v>272</v>
      </c>
      <c r="H118" s="27">
        <f>IF(COUNT(H98:H117), SUM(H98:H117) / COUNT(H98:H117), 0)</f>
        <v>3.538402735273837E-3</v>
      </c>
      <c r="I118" s="28">
        <f>SUM(I98:I117)</f>
        <v>7076.8054705476707</v>
      </c>
      <c r="J118" s="26" t="s">
        <v>272</v>
      </c>
      <c r="K118" s="27">
        <f>IF(COUNT(K98:K117), SUM(K98:K117) / COUNT(K98:K117), 0)</f>
        <v>8.0935853878166091E-3</v>
      </c>
      <c r="L118" s="28">
        <f>SUM(L98:L117)</f>
        <v>16187.170775633218</v>
      </c>
      <c r="M118" s="26" t="s">
        <v>272</v>
      </c>
      <c r="N118" s="27">
        <f>IF(COUNT(N98:N117), SUM(N98:N117) / COUNT(N98:N117), 0)</f>
        <v>1.731187906018003E-2</v>
      </c>
      <c r="O118" s="28">
        <f>SUM(O98:O117)</f>
        <v>34623.758120360057</v>
      </c>
      <c r="Q118" s="211"/>
      <c r="R118" s="212"/>
      <c r="S118" s="213"/>
    </row>
    <row r="120" spans="1:19" ht="17.25" thickBot="1"/>
    <row r="121" spans="1:19" ht="17.25" thickBot="1">
      <c r="A121" s="227" t="s">
        <v>259</v>
      </c>
      <c r="B121" s="228"/>
      <c r="C121" s="228"/>
      <c r="D121" s="228"/>
      <c r="E121" s="228"/>
      <c r="F121" s="228"/>
      <c r="G121" s="228"/>
      <c r="H121" s="228"/>
      <c r="I121" s="228"/>
      <c r="J121" s="228"/>
      <c r="K121" s="228"/>
      <c r="L121" s="228"/>
      <c r="M121" s="228"/>
      <c r="N121" s="228"/>
      <c r="O121" s="229"/>
      <c r="Q121" s="226"/>
      <c r="R121" s="226"/>
      <c r="S121" s="226"/>
    </row>
    <row r="122" spans="1:19" ht="17.25" thickBot="1">
      <c r="A122" s="177" t="s">
        <v>268</v>
      </c>
      <c r="B122" s="227" t="s">
        <v>49</v>
      </c>
      <c r="C122" s="229"/>
      <c r="D122" s="227" t="s">
        <v>58</v>
      </c>
      <c r="E122" s="228"/>
      <c r="F122" s="229"/>
      <c r="G122" s="230">
        <f>_xlfn.IFNA(VLOOKUP(B122, 현재가테이블!$B$2:$D$200, 2, FALSE), "-")</f>
        <v>39916000</v>
      </c>
      <c r="H122" s="231"/>
      <c r="I122" s="232"/>
      <c r="J122" s="227" t="s">
        <v>59</v>
      </c>
      <c r="K122" s="228"/>
      <c r="L122" s="229"/>
      <c r="M122" s="233">
        <f>_xlfn.IFNA(VLOOKUP(B122, 현재가테이블!$B$2:$D$200, 3, FALSE), "-")</f>
        <v>7.3184273000000003E-3</v>
      </c>
      <c r="N122" s="234"/>
      <c r="O122" s="235"/>
      <c r="Q122" s="226"/>
      <c r="R122" s="226"/>
      <c r="S122" s="226"/>
    </row>
    <row r="123" spans="1:19" ht="17.25" thickBot="1">
      <c r="A123" s="271" t="s">
        <v>55</v>
      </c>
      <c r="B123" s="267" t="str">
        <f>TEXT($G$1, "[$-ko-KR]yyyy-mm-dd(ddd) ") &amp; "오전 00:00"</f>
        <v>2021-07-06(화) 오전 00:00</v>
      </c>
      <c r="C123" s="268"/>
      <c r="D123" s="240" t="str">
        <f>TEXT($G$1, "[$-ko-KR]yyyy-mm-dd(ddd) ") &amp; "오후 14:00"</f>
        <v>2021-07-06(화) 오후 14:00</v>
      </c>
      <c r="E123" s="241"/>
      <c r="F123" s="242"/>
      <c r="G123" s="240" t="str">
        <f>TEXT($G$1, "[$-ko-KR]yyyy-mm-dd(ddd) ") &amp; "오후 19:00"</f>
        <v>2021-07-06(화) 오후 19:00</v>
      </c>
      <c r="H123" s="241"/>
      <c r="I123" s="242"/>
      <c r="J123" s="240" t="str">
        <f>TEXT($G$1, "[$-ko-KR]yyyy-mm-dd(ddd) ") &amp; "오후 21:00"</f>
        <v>2021-07-06(화) 오후 21:00</v>
      </c>
      <c r="K123" s="241"/>
      <c r="L123" s="242"/>
      <c r="M123" s="240" t="str">
        <f>TEXT($G$1+1, "[$-ko-KR]yyyy-mm-dd(ddd) ") &amp; "오전 00:00"</f>
        <v>2021-07-07(수) 오전 00:00</v>
      </c>
      <c r="N123" s="241"/>
      <c r="O123" s="242"/>
      <c r="Q123" s="226"/>
      <c r="R123" s="226"/>
      <c r="S123" s="226"/>
    </row>
    <row r="124" spans="1:19" ht="17.25" thickBot="1">
      <c r="A124" s="27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8" t="s">
        <v>58</v>
      </c>
      <c r="H124" s="179" t="s">
        <v>269</v>
      </c>
      <c r="I124" s="18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6"/>
      <c r="R124" s="216"/>
      <c r="S124" s="216"/>
    </row>
    <row r="125" spans="1:19" ht="17.25" thickBot="1">
      <c r="A125" s="123" t="s">
        <v>188</v>
      </c>
      <c r="B125" s="124">
        <v>10.199999999999999</v>
      </c>
      <c r="C125" s="76">
        <v>3.0303030299999999E-2</v>
      </c>
      <c r="D125" s="13">
        <v>10.1</v>
      </c>
      <c r="E125" s="14">
        <f>IF(ISNUMBER(D125), (D125 - $B125) / $B125, "")</f>
        <v>-9.8039215686274161E-3</v>
      </c>
      <c r="F125" s="16">
        <f>IF(ISNUMBER(D125), $B145 * E125, "")</f>
        <v>-980.39215686274156</v>
      </c>
      <c r="G125" s="29">
        <v>10.1</v>
      </c>
      <c r="H125" s="14">
        <f>IF(ISNUMBER(G125), (G125 - $B125) / $B125, "")</f>
        <v>-9.8039215686274161E-3</v>
      </c>
      <c r="I125" s="100">
        <f>IF(ISNUMBER(G125), $B145 * H125, "")</f>
        <v>-980.39215686274156</v>
      </c>
      <c r="J125" s="13">
        <v>10.3</v>
      </c>
      <c r="K125" s="14">
        <f>IF(ISNUMBER(J125), (J125 - $B125) / $B125, "")</f>
        <v>9.8039215686275914E-3</v>
      </c>
      <c r="L125" s="16">
        <f>IF(ISNUMBER(J125), $B145 * K125, "")</f>
        <v>980.39215686275918</v>
      </c>
      <c r="M125" s="29">
        <v>10.9</v>
      </c>
      <c r="N125" s="14">
        <f>IF(ISNUMBER(M125), (M125 - $B125) / $B125, "")</f>
        <v>6.862745098039226E-2</v>
      </c>
      <c r="O125" s="16">
        <f>IF(ISNUMBER(M125), $B145 * N125, "")</f>
        <v>6862.7450980392259</v>
      </c>
      <c r="Q125" s="226"/>
      <c r="R125" s="226"/>
      <c r="S125" s="226"/>
    </row>
    <row r="126" spans="1:19" ht="17.25" thickBot="1">
      <c r="A126" s="125" t="s">
        <v>130</v>
      </c>
      <c r="B126" s="126">
        <v>86.8</v>
      </c>
      <c r="C126" s="77">
        <v>2.11764706E-2</v>
      </c>
      <c r="D126" s="15">
        <v>89.5</v>
      </c>
      <c r="E126" s="32">
        <f t="shared" ref="E126:E129" si="62">IF(ISNUMBER(D126), (D126 - $B126) / $B126, "")</f>
        <v>3.1105990783410174E-2</v>
      </c>
      <c r="F126" s="18">
        <f>IF(ISNUMBER(D126), $B145 * E126, "")</f>
        <v>3110.5990783410175</v>
      </c>
      <c r="G126" s="31">
        <v>88.1</v>
      </c>
      <c r="H126" s="32">
        <f t="shared" ref="H126:H129" si="63">IF(ISNUMBER(G126), (G126 - $B126) / $B126, "")</f>
        <v>1.497695852534559E-2</v>
      </c>
      <c r="I126" s="101">
        <f>IF(ISNUMBER(G126), $B145 * H126, "")</f>
        <v>1497.695852534559</v>
      </c>
      <c r="J126" s="15">
        <v>89.1</v>
      </c>
      <c r="K126" s="32">
        <f t="shared" ref="K126:K129" si="64">IF(ISNUMBER(J126), (J126 - $B126) / $B126, "")</f>
        <v>2.6497695852534531E-2</v>
      </c>
      <c r="L126" s="18">
        <f>IF(ISNUMBER(J126), $B145 * K126, "")</f>
        <v>2649.769585253453</v>
      </c>
      <c r="M126" s="31">
        <v>90.1</v>
      </c>
      <c r="N126" s="32">
        <f t="shared" ref="N126:N129" si="65">IF(ISNUMBER(M126), (M126 - $B126) / $B126, "")</f>
        <v>3.801843317972347E-2</v>
      </c>
      <c r="O126" s="18">
        <f>IF(ISNUMBER(M126), $B145 * N126, "")</f>
        <v>3801.843317972347</v>
      </c>
      <c r="Q126" s="226"/>
      <c r="R126" s="226"/>
      <c r="S126" s="226"/>
    </row>
    <row r="127" spans="1:19" ht="17.25" thickBot="1">
      <c r="A127" s="125" t="s">
        <v>208</v>
      </c>
      <c r="B127" s="126">
        <v>10.5</v>
      </c>
      <c r="C127" s="77">
        <v>1.9417475699999999E-2</v>
      </c>
      <c r="D127" s="15">
        <v>10.7</v>
      </c>
      <c r="E127" s="32">
        <f t="shared" si="62"/>
        <v>1.904761904761898E-2</v>
      </c>
      <c r="F127" s="18">
        <f>IF(ISNUMBER(D127), $B145 * E127, "")</f>
        <v>1904.761904761898</v>
      </c>
      <c r="G127" s="31">
        <v>10.4</v>
      </c>
      <c r="H127" s="32">
        <f t="shared" si="63"/>
        <v>-9.52380952380949E-3</v>
      </c>
      <c r="I127" s="101">
        <f>IF(ISNUMBER(G127), $B145 * H127, "")</f>
        <v>-952.380952380949</v>
      </c>
      <c r="J127" s="15">
        <v>10.5</v>
      </c>
      <c r="K127" s="32">
        <f t="shared" si="64"/>
        <v>0</v>
      </c>
      <c r="L127" s="18">
        <f>IF(ISNUMBER(J127), $B145 * K127, "")</f>
        <v>0</v>
      </c>
      <c r="M127" s="31">
        <v>10.5</v>
      </c>
      <c r="N127" s="32">
        <f t="shared" si="65"/>
        <v>0</v>
      </c>
      <c r="O127" s="18">
        <f>IF(ISNUMBER(M127), $B145 * N127, "")</f>
        <v>0</v>
      </c>
      <c r="Q127" s="216"/>
      <c r="R127" s="216"/>
      <c r="S127" s="216"/>
    </row>
    <row r="128" spans="1:19" ht="17.25" thickBot="1">
      <c r="A128" s="125" t="s">
        <v>202</v>
      </c>
      <c r="B128" s="126">
        <v>61.1</v>
      </c>
      <c r="C128" s="77">
        <v>6.5897858000000002E-3</v>
      </c>
      <c r="D128" s="15">
        <v>62.5</v>
      </c>
      <c r="E128" s="32">
        <f t="shared" si="62"/>
        <v>2.2913256955810122E-2</v>
      </c>
      <c r="F128" s="18">
        <f>IF(ISNUMBER(D128), $B145 * E128, "")</f>
        <v>2291.325695581012</v>
      </c>
      <c r="G128" s="31">
        <v>61.5</v>
      </c>
      <c r="H128" s="32">
        <f t="shared" si="63"/>
        <v>6.5466448445171618E-3</v>
      </c>
      <c r="I128" s="101">
        <f>IF(ISNUMBER(G128), $B145 * H128, "")</f>
        <v>654.66448445171613</v>
      </c>
      <c r="J128" s="15">
        <v>62</v>
      </c>
      <c r="K128" s="32">
        <f t="shared" si="64"/>
        <v>1.4729950900163642E-2</v>
      </c>
      <c r="L128" s="18">
        <f>IF(ISNUMBER(J128), $B145 * K128, "")</f>
        <v>1472.9950900163642</v>
      </c>
      <c r="M128" s="31">
        <v>62</v>
      </c>
      <c r="N128" s="32">
        <f t="shared" si="65"/>
        <v>1.4729950900163642E-2</v>
      </c>
      <c r="O128" s="18">
        <f>IF(ISNUMBER(M128), $B145 * N128, "")</f>
        <v>1472.9950900163642</v>
      </c>
      <c r="Q128" s="216"/>
      <c r="R128" s="216"/>
      <c r="S128" s="216"/>
    </row>
    <row r="129" spans="1:19" ht="17.25" thickBot="1">
      <c r="A129" s="127" t="s">
        <v>210</v>
      </c>
      <c r="B129" s="128">
        <v>10.199999999999999</v>
      </c>
      <c r="C129" s="78">
        <v>-9.7087379000000001E-3</v>
      </c>
      <c r="D129" s="20">
        <v>10.6</v>
      </c>
      <c r="E129" s="21">
        <f t="shared" si="62"/>
        <v>3.9215686274509838E-2</v>
      </c>
      <c r="F129" s="22">
        <f>IF(ISNUMBER(D129), $B145 * E129, "")</f>
        <v>3921.568627450984</v>
      </c>
      <c r="G129" s="30">
        <v>10.199999999999999</v>
      </c>
      <c r="H129" s="21">
        <f t="shared" si="63"/>
        <v>0</v>
      </c>
      <c r="I129" s="105">
        <f>IF(ISNUMBER(G129), $B145 * H129, "")</f>
        <v>0</v>
      </c>
      <c r="J129" s="20">
        <v>10.3</v>
      </c>
      <c r="K129" s="21">
        <f t="shared" si="64"/>
        <v>9.8039215686275914E-3</v>
      </c>
      <c r="L129" s="22">
        <f>IF(ISNUMBER(J129), $B145 * K129, "")</f>
        <v>980.39215686275918</v>
      </c>
      <c r="M129" s="30">
        <v>10.3</v>
      </c>
      <c r="N129" s="21">
        <f t="shared" si="65"/>
        <v>9.8039215686275914E-3</v>
      </c>
      <c r="O129" s="22">
        <f>IF(ISNUMBER(M129), $B145 * N129, "")</f>
        <v>980.39215686275918</v>
      </c>
      <c r="Q129" s="216"/>
      <c r="R129" s="216"/>
      <c r="S129" s="216"/>
    </row>
    <row r="130" spans="1:19" ht="17.25" thickBot="1">
      <c r="A130" s="125" t="s">
        <v>239</v>
      </c>
      <c r="B130" s="129">
        <v>76.400000000000006</v>
      </c>
      <c r="C130" s="80">
        <v>-1.92554557E-2</v>
      </c>
      <c r="D130" s="106">
        <v>83.5</v>
      </c>
      <c r="E130" s="107">
        <f>IF(ISNUMBER(D130), (D130 - $B130) / $B130, "")</f>
        <v>9.2931937172774787E-2</v>
      </c>
      <c r="F130" s="108">
        <f>IF(ISNUMBER(D130), $B145 * E130, "")</f>
        <v>9293.1937172774778</v>
      </c>
      <c r="G130" s="109">
        <v>82</v>
      </c>
      <c r="H130" s="107">
        <f>IF(ISNUMBER(G130), (G130 - $B130) / $B130, "")</f>
        <v>7.3298429319371652E-2</v>
      </c>
      <c r="I130" s="110">
        <f>IF(ISNUMBER(G130), $B145 * H130, "")</f>
        <v>7329.8429319371653</v>
      </c>
      <c r="J130" s="106">
        <v>83.5</v>
      </c>
      <c r="K130" s="107">
        <f>IF(ISNUMBER(J130), (J130 - $B130) / $B130, "")</f>
        <v>9.2931937172774787E-2</v>
      </c>
      <c r="L130" s="108">
        <f>IF(ISNUMBER(J130), $B145 * K130, "")</f>
        <v>9293.1937172774778</v>
      </c>
      <c r="M130" s="109">
        <v>82.2</v>
      </c>
      <c r="N130" s="107">
        <f>IF(ISNUMBER(M130), (M130 - $B130) / $B130, "")</f>
        <v>7.5916230366492102E-2</v>
      </c>
      <c r="O130" s="108">
        <f>IF(ISNUMBER(M130), $B145 * N130, "")</f>
        <v>7591.62303664921</v>
      </c>
      <c r="Q130" s="216"/>
      <c r="R130" s="216"/>
      <c r="S130" s="216"/>
    </row>
    <row r="131" spans="1:19" ht="17.25" thickBot="1">
      <c r="A131" s="125" t="s">
        <v>241</v>
      </c>
      <c r="B131" s="126">
        <v>53.8</v>
      </c>
      <c r="C131" s="77">
        <v>-2.1818181799999999E-2</v>
      </c>
      <c r="D131" s="15">
        <v>55.8</v>
      </c>
      <c r="E131" s="32">
        <f t="shared" ref="E131:E134" si="66">IF(ISNUMBER(D131), (D131 - $B131) / $B131, "")</f>
        <v>3.717472118959108E-2</v>
      </c>
      <c r="F131" s="18">
        <f>IF(ISNUMBER(D131), $B145 * E131, "")</f>
        <v>3717.4721189591078</v>
      </c>
      <c r="G131" s="31">
        <v>54.2</v>
      </c>
      <c r="H131" s="32">
        <f t="shared" ref="H131:H134" si="67">IF(ISNUMBER(G131), (G131 - $B131) / $B131, "")</f>
        <v>7.434944237918322E-3</v>
      </c>
      <c r="I131" s="101">
        <f>IF(ISNUMBER(G131), $B145 * H131, "")</f>
        <v>743.49442379183222</v>
      </c>
      <c r="J131" s="15">
        <v>54.6</v>
      </c>
      <c r="K131" s="32">
        <f t="shared" ref="K131:K134" si="68">IF(ISNUMBER(J131), (J131 - $B131) / $B131, "")</f>
        <v>1.4869888475836512E-2</v>
      </c>
      <c r="L131" s="18">
        <f>IF(ISNUMBER(J131), $B145 * K131, "")</f>
        <v>1486.9888475836512</v>
      </c>
      <c r="M131" s="31">
        <v>54.6</v>
      </c>
      <c r="N131" s="32">
        <f t="shared" ref="N131:N134" si="69">IF(ISNUMBER(M131), (M131 - $B131) / $B131, "")</f>
        <v>1.4869888475836512E-2</v>
      </c>
      <c r="O131" s="18">
        <f>IF(ISNUMBER(M131), $B145 * N131, "")</f>
        <v>1486.9888475836512</v>
      </c>
      <c r="Q131" s="216"/>
      <c r="R131" s="216"/>
      <c r="S131" s="216"/>
    </row>
    <row r="132" spans="1:19" ht="17.25" thickBot="1">
      <c r="A132" s="125" t="s">
        <v>178</v>
      </c>
      <c r="B132" s="126">
        <v>15.7</v>
      </c>
      <c r="C132" s="77">
        <v>-2.48447205E-2</v>
      </c>
      <c r="D132" s="15">
        <v>16.100000000000001</v>
      </c>
      <c r="E132" s="32">
        <f t="shared" si="66"/>
        <v>2.5477707006369563E-2</v>
      </c>
      <c r="F132" s="18">
        <f>IF(ISNUMBER(D132), $B145 * E132, "")</f>
        <v>2547.7707006369565</v>
      </c>
      <c r="G132" s="31">
        <v>15.8</v>
      </c>
      <c r="H132" s="32">
        <f t="shared" si="67"/>
        <v>6.3694267515924472E-3</v>
      </c>
      <c r="I132" s="101">
        <f>IF(ISNUMBER(G132), $B145 * H132, "")</f>
        <v>636.94267515924469</v>
      </c>
      <c r="J132" s="15">
        <v>16</v>
      </c>
      <c r="K132" s="32">
        <f t="shared" si="68"/>
        <v>1.9108280254777118E-2</v>
      </c>
      <c r="L132" s="18">
        <f>IF(ISNUMBER(J132), $B145 * K132, "")</f>
        <v>1910.8280254777119</v>
      </c>
      <c r="M132" s="31">
        <v>16</v>
      </c>
      <c r="N132" s="32">
        <f t="shared" si="69"/>
        <v>1.9108280254777118E-2</v>
      </c>
      <c r="O132" s="18">
        <f>IF(ISNUMBER(M132), $B145 * N132, "")</f>
        <v>1910.8280254777119</v>
      </c>
      <c r="Q132" s="216"/>
      <c r="R132" s="216"/>
      <c r="S132" s="216"/>
    </row>
    <row r="133" spans="1:19" ht="17.25" thickBot="1">
      <c r="A133" s="125" t="s">
        <v>98</v>
      </c>
      <c r="B133" s="126">
        <v>3.09</v>
      </c>
      <c r="C133" s="77">
        <v>-2.5236593099999999E-2</v>
      </c>
      <c r="D133" s="15">
        <v>3.15</v>
      </c>
      <c r="E133" s="32">
        <f t="shared" si="66"/>
        <v>1.9417475728155359E-2</v>
      </c>
      <c r="F133" s="18">
        <f>IF(ISNUMBER(D133), $B145 * E133, "")</f>
        <v>1941.7475728155359</v>
      </c>
      <c r="G133" s="31">
        <v>3.1</v>
      </c>
      <c r="H133" s="32">
        <f t="shared" si="67"/>
        <v>3.2362459546926314E-3</v>
      </c>
      <c r="I133" s="101">
        <f>IF(ISNUMBER(G133), $B145 * H133, "")</f>
        <v>323.62459546926311</v>
      </c>
      <c r="J133" s="15">
        <v>3.11</v>
      </c>
      <c r="K133" s="32">
        <f t="shared" si="68"/>
        <v>6.4724919093851196E-3</v>
      </c>
      <c r="L133" s="18">
        <f>IF(ISNUMBER(J133), $B145 * K133, "")</f>
        <v>647.24919093851202</v>
      </c>
      <c r="M133" s="31">
        <v>3.11</v>
      </c>
      <c r="N133" s="32">
        <f t="shared" si="69"/>
        <v>6.4724919093851196E-3</v>
      </c>
      <c r="O133" s="18">
        <f>IF(ISNUMBER(M133), $B145 * N133, "")</f>
        <v>647.24919093851202</v>
      </c>
      <c r="Q133" s="33"/>
      <c r="R133" s="33"/>
    </row>
    <row r="134" spans="1:19" ht="17.25" thickBot="1">
      <c r="A134" s="130" t="s">
        <v>190</v>
      </c>
      <c r="B134" s="131">
        <v>15</v>
      </c>
      <c r="C134" s="79">
        <v>-3.2258064500000003E-2</v>
      </c>
      <c r="D134" s="24">
        <v>16.899999999999999</v>
      </c>
      <c r="E134" s="25">
        <f t="shared" si="66"/>
        <v>0.12666666666666657</v>
      </c>
      <c r="F134" s="104">
        <f>IF(ISNUMBER(D134), $B145 * E134, "")</f>
        <v>12666.666666666657</v>
      </c>
      <c r="G134" s="102">
        <v>16.2</v>
      </c>
      <c r="H134" s="25">
        <f t="shared" si="67"/>
        <v>7.9999999999999946E-2</v>
      </c>
      <c r="I134" s="103">
        <f>IF(ISNUMBER(G134), $B145 * H134, "")</f>
        <v>7999.9999999999945</v>
      </c>
      <c r="J134" s="24">
        <v>16.399999999999999</v>
      </c>
      <c r="K134" s="25">
        <f t="shared" si="68"/>
        <v>9.333333333333324E-2</v>
      </c>
      <c r="L134" s="104">
        <f>IF(ISNUMBER(J134), $B145 * K134, "")</f>
        <v>9333.3333333333248</v>
      </c>
      <c r="M134" s="102">
        <v>16.3</v>
      </c>
      <c r="N134" s="25">
        <f t="shared" si="69"/>
        <v>8.6666666666666711E-2</v>
      </c>
      <c r="O134" s="104">
        <f>IF(ISNUMBER(M134), $B145 * N134, "")</f>
        <v>8666.6666666666715</v>
      </c>
      <c r="Q134" s="217"/>
      <c r="R134" s="218"/>
      <c r="S134" s="219"/>
    </row>
    <row r="135" spans="1:19">
      <c r="A135" s="123" t="s">
        <v>132</v>
      </c>
      <c r="B135" s="124">
        <v>93</v>
      </c>
      <c r="C135" s="76">
        <v>-3.62694301E-2</v>
      </c>
      <c r="D135" s="13">
        <v>94.5</v>
      </c>
      <c r="E135" s="14">
        <f>IF(ISNUMBER(D135), (D135 - $B135) / $B135, "")</f>
        <v>1.6129032258064516E-2</v>
      </c>
      <c r="F135" s="16">
        <f>IF(ISNUMBER(D135), $B145 * E135, "")</f>
        <v>1612.9032258064515</v>
      </c>
      <c r="G135" s="29">
        <v>93.1</v>
      </c>
      <c r="H135" s="14">
        <f>IF(ISNUMBER(G135), (G135 - $B135) / $B135, "")</f>
        <v>1.0752688172042399E-3</v>
      </c>
      <c r="I135" s="100">
        <f>IF(ISNUMBER(G135), $B145 * H135, "")</f>
        <v>107.52688172042399</v>
      </c>
      <c r="J135" s="13">
        <v>93.4</v>
      </c>
      <c r="K135" s="14">
        <f>IF(ISNUMBER(J135), (J135 - $B135) / $B135, "")</f>
        <v>4.301075268817265E-3</v>
      </c>
      <c r="L135" s="16">
        <f>IF(ISNUMBER(J135), $B145 * K135, "")</f>
        <v>430.10752688172653</v>
      </c>
      <c r="M135" s="29">
        <v>93</v>
      </c>
      <c r="N135" s="14">
        <f>IF(ISNUMBER(M135), (M135 - $B135) / $B135, "")</f>
        <v>0</v>
      </c>
      <c r="O135" s="16">
        <f>IF(ISNUMBER(M135), $B145 * N135, "")</f>
        <v>0</v>
      </c>
      <c r="Q135" s="220"/>
      <c r="R135" s="221"/>
      <c r="S135" s="222"/>
    </row>
    <row r="136" spans="1:19" ht="17.25" thickBot="1">
      <c r="A136" s="125" t="s">
        <v>148</v>
      </c>
      <c r="B136" s="126">
        <v>15.7</v>
      </c>
      <c r="C136" s="77">
        <v>-3.6809816000000002E-2</v>
      </c>
      <c r="D136" s="15">
        <v>15.8</v>
      </c>
      <c r="E136" s="32">
        <f t="shared" ref="E136:E139" si="70">IF(ISNUMBER(D136), (D136 - $B136) / $B136, "")</f>
        <v>6.3694267515924472E-3</v>
      </c>
      <c r="F136" s="18">
        <f>IF(ISNUMBER(D136), $B145 * E136, "")</f>
        <v>636.94267515924469</v>
      </c>
      <c r="G136" s="31">
        <v>16</v>
      </c>
      <c r="H136" s="32">
        <f t="shared" ref="H136:H139" si="71">IF(ISNUMBER(G136), (G136 - $B136) / $B136, "")</f>
        <v>1.9108280254777118E-2</v>
      </c>
      <c r="I136" s="101">
        <f>IF(ISNUMBER(G136), $B145 * H136, "")</f>
        <v>1910.8280254777119</v>
      </c>
      <c r="J136" s="15">
        <v>15.9</v>
      </c>
      <c r="K136" s="32">
        <f t="shared" ref="K136:K139" si="72">IF(ISNUMBER(J136), (J136 - $B136) / $B136, "")</f>
        <v>1.2738853503184782E-2</v>
      </c>
      <c r="L136" s="18">
        <f>IF(ISNUMBER(J136), $B145 * K136, "")</f>
        <v>1273.8853503184782</v>
      </c>
      <c r="M136" s="31">
        <v>15.8</v>
      </c>
      <c r="N136" s="32">
        <f t="shared" ref="N136:N139" si="73">IF(ISNUMBER(M136), (M136 - $B136) / $B136, "")</f>
        <v>6.3694267515924472E-3</v>
      </c>
      <c r="O136" s="18">
        <f>IF(ISNUMBER(M136), $B145 * N136, "")</f>
        <v>636.94267515924469</v>
      </c>
      <c r="Q136" s="223"/>
      <c r="R136" s="224"/>
      <c r="S136" s="225"/>
    </row>
    <row r="137" spans="1:19" ht="17.25" thickBot="1">
      <c r="A137" s="125" t="s">
        <v>152</v>
      </c>
      <c r="B137" s="126">
        <v>75.099999999999994</v>
      </c>
      <c r="C137" s="77">
        <v>-3.71794872E-2</v>
      </c>
      <c r="D137" s="15">
        <v>76.7</v>
      </c>
      <c r="E137" s="32">
        <f t="shared" si="70"/>
        <v>2.1304926764314364E-2</v>
      </c>
      <c r="F137" s="18">
        <f>IF(ISNUMBER(D137), $B145 * E137, "")</f>
        <v>2130.4926764314364</v>
      </c>
      <c r="G137" s="31">
        <v>75.7</v>
      </c>
      <c r="H137" s="32">
        <f t="shared" si="71"/>
        <v>7.9893475366179575E-3</v>
      </c>
      <c r="I137" s="101">
        <f>IF(ISNUMBER(G137), $B145 * H137, "")</f>
        <v>798.93475366179575</v>
      </c>
      <c r="J137" s="15">
        <v>75.599999999999994</v>
      </c>
      <c r="K137" s="32">
        <f t="shared" si="72"/>
        <v>6.6577896138482031E-3</v>
      </c>
      <c r="L137" s="18">
        <f>IF(ISNUMBER(J137), $B145 * K137, "")</f>
        <v>665.77896138482026</v>
      </c>
      <c r="M137" s="31">
        <v>75.3</v>
      </c>
      <c r="N137" s="32">
        <f t="shared" si="73"/>
        <v>2.6631158455393189E-3</v>
      </c>
      <c r="O137" s="18">
        <f>IF(ISNUMBER(M137), $B145 * N137, "")</f>
        <v>266.31158455393188</v>
      </c>
      <c r="Q137" s="216"/>
      <c r="R137" s="216"/>
      <c r="S137" s="216"/>
    </row>
    <row r="138" spans="1:19" ht="17.25" thickBot="1">
      <c r="A138" s="125" t="s">
        <v>128</v>
      </c>
      <c r="B138" s="126">
        <v>98.2</v>
      </c>
      <c r="C138" s="77">
        <v>-3.7254901999999999E-2</v>
      </c>
      <c r="D138" s="15">
        <v>101</v>
      </c>
      <c r="E138" s="32">
        <f t="shared" si="70"/>
        <v>2.8513238289205673E-2</v>
      </c>
      <c r="F138" s="18">
        <f>IF(ISNUMBER(D138), $B145 * E138, "")</f>
        <v>2851.3238289205674</v>
      </c>
      <c r="G138" s="31">
        <v>98.2</v>
      </c>
      <c r="H138" s="32">
        <f t="shared" si="71"/>
        <v>0</v>
      </c>
      <c r="I138" s="101">
        <f>IF(ISNUMBER(G138), $B145 * H138, "")</f>
        <v>0</v>
      </c>
      <c r="J138" s="15">
        <v>98.7</v>
      </c>
      <c r="K138" s="32">
        <f t="shared" si="72"/>
        <v>5.0916496945010185E-3</v>
      </c>
      <c r="L138" s="18">
        <f>IF(ISNUMBER(J138), $B145 * K138, "")</f>
        <v>509.16496945010186</v>
      </c>
      <c r="M138" s="31">
        <v>98</v>
      </c>
      <c r="N138" s="32">
        <f t="shared" si="73"/>
        <v>-2.0366598778004362E-3</v>
      </c>
      <c r="O138" s="18">
        <f>IF(ISNUMBER(M138), $B145 * N138, "")</f>
        <v>-203.66598778004362</v>
      </c>
      <c r="Q138" s="226"/>
      <c r="R138" s="226"/>
      <c r="S138" s="226"/>
    </row>
    <row r="139" spans="1:19" ht="17.25" thickBot="1">
      <c r="A139" s="127" t="s">
        <v>251</v>
      </c>
      <c r="B139" s="128">
        <v>60.2</v>
      </c>
      <c r="C139" s="78">
        <v>-3.9872408300000002E-2</v>
      </c>
      <c r="D139" s="20">
        <v>60.8</v>
      </c>
      <c r="E139" s="21">
        <f t="shared" si="70"/>
        <v>9.9667774086377794E-3</v>
      </c>
      <c r="F139" s="22">
        <f>IF(ISNUMBER(D139), $B145 * E139, "")</f>
        <v>996.6777408637779</v>
      </c>
      <c r="G139" s="30">
        <v>60.2</v>
      </c>
      <c r="H139" s="21">
        <f t="shared" si="71"/>
        <v>0</v>
      </c>
      <c r="I139" s="105">
        <f>IF(ISNUMBER(G139), $B145 * H139, "")</f>
        <v>0</v>
      </c>
      <c r="J139" s="20">
        <v>60.4</v>
      </c>
      <c r="K139" s="21">
        <f t="shared" si="72"/>
        <v>3.3222591362125535E-3</v>
      </c>
      <c r="L139" s="22">
        <f>IF(ISNUMBER(J139), $B145 * K139, "")</f>
        <v>332.22591362125536</v>
      </c>
      <c r="M139" s="30">
        <v>60.3</v>
      </c>
      <c r="N139" s="21">
        <f t="shared" si="73"/>
        <v>1.6611295681062178E-3</v>
      </c>
      <c r="O139" s="22">
        <f>IF(ISNUMBER(M139), $B145 * N139, "")</f>
        <v>166.11295681062177</v>
      </c>
      <c r="Q139" s="226"/>
      <c r="R139" s="226"/>
      <c r="S139" s="226"/>
    </row>
    <row r="140" spans="1:19" ht="17.25" thickBot="1">
      <c r="A140" s="125" t="s">
        <v>144</v>
      </c>
      <c r="B140" s="129">
        <v>85</v>
      </c>
      <c r="C140" s="80">
        <v>-4.1713641500000002E-2</v>
      </c>
      <c r="D140" s="106">
        <v>87.2</v>
      </c>
      <c r="E140" s="107">
        <f>IF(ISNUMBER(D140), (D140 - $B140) / $B140, "")</f>
        <v>2.5882352941176506E-2</v>
      </c>
      <c r="F140" s="108">
        <f>IF(ISNUMBER(D140), $B145 * E140, "")</f>
        <v>2588.2352941176505</v>
      </c>
      <c r="G140" s="109">
        <v>86.2</v>
      </c>
      <c r="H140" s="107">
        <f>IF(ISNUMBER(G140), (G140 - $B140) / $B140, "")</f>
        <v>1.4117647058823563E-2</v>
      </c>
      <c r="I140" s="110">
        <f>IF(ISNUMBER(G140), $B145 * H140, "")</f>
        <v>1411.7647058823563</v>
      </c>
      <c r="J140" s="106">
        <v>86.6</v>
      </c>
      <c r="K140" s="107">
        <f>IF(ISNUMBER(J140), (J140 - $B140) / $B140, "")</f>
        <v>1.8823529411764638E-2</v>
      </c>
      <c r="L140" s="108">
        <f>IF(ISNUMBER(J140), $B145 * K140, "")</f>
        <v>1882.3529411764639</v>
      </c>
      <c r="M140" s="109">
        <v>86.3</v>
      </c>
      <c r="N140" s="107">
        <f>IF(ISNUMBER(M140), (M140 - $B140) / $B140, "")</f>
        <v>1.529411764705879E-2</v>
      </c>
      <c r="O140" s="108">
        <f>IF(ISNUMBER(M140), $B145 * N140, "")</f>
        <v>1529.411764705879</v>
      </c>
      <c r="Q140" s="216"/>
      <c r="R140" s="216"/>
      <c r="S140" s="216"/>
    </row>
    <row r="141" spans="1:19" ht="17.25" thickBot="1">
      <c r="A141" s="125" t="s">
        <v>162</v>
      </c>
      <c r="B141" s="126">
        <v>82.2</v>
      </c>
      <c r="C141" s="77">
        <v>-4.86111111E-2</v>
      </c>
      <c r="D141" s="15">
        <v>83.9</v>
      </c>
      <c r="E141" s="32">
        <f t="shared" ref="E141:E144" si="74">IF(ISNUMBER(D141), (D141 - $B141) / $B141, "")</f>
        <v>2.0681265206812686E-2</v>
      </c>
      <c r="F141" s="18">
        <f>IF(ISNUMBER(D141), $B145 * E141, "")</f>
        <v>2068.1265206812686</v>
      </c>
      <c r="G141" s="31">
        <v>81.5</v>
      </c>
      <c r="H141" s="32">
        <f t="shared" ref="H141:H144" si="75">IF(ISNUMBER(G141), (G141 - $B141) / $B141, "")</f>
        <v>-8.5158150851581856E-3</v>
      </c>
      <c r="I141" s="101">
        <f>IF(ISNUMBER(G141), $B145 * H141, "")</f>
        <v>-851.58150851581854</v>
      </c>
      <c r="J141" s="15">
        <v>82.1</v>
      </c>
      <c r="K141" s="32">
        <f t="shared" ref="K141:K144" si="76">IF(ISNUMBER(J141), (J141 - $B141) / $B141, "")</f>
        <v>-1.2165450121655538E-3</v>
      </c>
      <c r="L141" s="18">
        <f>IF(ISNUMBER(J141), $B145 * K141, "")</f>
        <v>-121.65450121655537</v>
      </c>
      <c r="M141" s="31">
        <v>82.5</v>
      </c>
      <c r="N141" s="32">
        <f t="shared" ref="N141:N144" si="77">IF(ISNUMBER(M141), (M141 - $B141) / $B141, "")</f>
        <v>3.6496350364963156E-3</v>
      </c>
      <c r="O141" s="18">
        <f>IF(ISNUMBER(M141), $B145 * N141, "")</f>
        <v>364.96350364963155</v>
      </c>
      <c r="Q141" s="216"/>
      <c r="R141" s="216"/>
      <c r="S141" s="216"/>
    </row>
    <row r="142" spans="1:19" ht="17.25" thickBot="1">
      <c r="A142" s="125" t="s">
        <v>65</v>
      </c>
      <c r="B142" s="126">
        <v>28.3</v>
      </c>
      <c r="C142" s="77">
        <v>-5.0335570500000003E-2</v>
      </c>
      <c r="D142" s="15">
        <v>28.8</v>
      </c>
      <c r="E142" s="32">
        <f t="shared" si="74"/>
        <v>1.7667844522968199E-2</v>
      </c>
      <c r="F142" s="18">
        <f>IF(ISNUMBER(D142), $B145 * E142, "")</f>
        <v>1766.7844522968198</v>
      </c>
      <c r="G142" s="31">
        <v>27.8</v>
      </c>
      <c r="H142" s="32">
        <f t="shared" si="75"/>
        <v>-1.7667844522968199E-2</v>
      </c>
      <c r="I142" s="101">
        <f>IF(ISNUMBER(G142), $B145 * H142, "")</f>
        <v>-1766.7844522968198</v>
      </c>
      <c r="J142" s="15">
        <v>28</v>
      </c>
      <c r="K142" s="32">
        <f t="shared" si="76"/>
        <v>-1.0600706713780944E-2</v>
      </c>
      <c r="L142" s="18">
        <f>IF(ISNUMBER(J142), $B145 * K142, "")</f>
        <v>-1060.0706713780944</v>
      </c>
      <c r="M142" s="31">
        <v>27.7</v>
      </c>
      <c r="N142" s="32">
        <f t="shared" si="77"/>
        <v>-2.1201413427561887E-2</v>
      </c>
      <c r="O142" s="18">
        <f>IF(ISNUMBER(M142), $B145 * N142, "")</f>
        <v>-2120.1413427561888</v>
      </c>
      <c r="Q142" s="216"/>
      <c r="R142" s="216"/>
      <c r="S142" s="216"/>
    </row>
    <row r="143" spans="1:19">
      <c r="A143" s="125" t="s">
        <v>122</v>
      </c>
      <c r="B143" s="126">
        <v>23.8</v>
      </c>
      <c r="C143" s="77">
        <v>-5.1792828700000001E-2</v>
      </c>
      <c r="D143" s="15">
        <v>23.9</v>
      </c>
      <c r="E143" s="32">
        <f t="shared" si="74"/>
        <v>4.201680672268818E-3</v>
      </c>
      <c r="F143" s="18">
        <f>IF(ISNUMBER(D143), $B145 * E143, "")</f>
        <v>420.16806722688182</v>
      </c>
      <c r="G143" s="31">
        <v>23.5</v>
      </c>
      <c r="H143" s="32">
        <f t="shared" si="75"/>
        <v>-1.2605042016806753E-2</v>
      </c>
      <c r="I143" s="101">
        <f>IF(ISNUMBER(G143), $B145 * H143, "")</f>
        <v>-1260.5042016806754</v>
      </c>
      <c r="J143" s="15">
        <v>23.8</v>
      </c>
      <c r="K143" s="32">
        <f t="shared" si="76"/>
        <v>0</v>
      </c>
      <c r="L143" s="18">
        <f>IF(ISNUMBER(J143), $B145 * K143, "")</f>
        <v>0</v>
      </c>
      <c r="M143" s="31">
        <v>23.9</v>
      </c>
      <c r="N143" s="32">
        <f t="shared" si="77"/>
        <v>4.201680672268818E-3</v>
      </c>
      <c r="O143" s="18">
        <f>IF(ISNUMBER(M143), $B145 * N143, "")</f>
        <v>420.16806722688182</v>
      </c>
      <c r="Q143" s="205"/>
      <c r="R143" s="206"/>
      <c r="S143" s="207"/>
    </row>
    <row r="144" spans="1:19" ht="17.25" thickBot="1">
      <c r="A144" s="130" t="s">
        <v>72</v>
      </c>
      <c r="B144" s="131">
        <v>18.5</v>
      </c>
      <c r="C144" s="79">
        <v>-5.6122448999999998E-2</v>
      </c>
      <c r="D144" s="24">
        <v>18.8</v>
      </c>
      <c r="E144" s="25">
        <f t="shared" si="74"/>
        <v>1.6216216216216255E-2</v>
      </c>
      <c r="F144" s="104">
        <f>IF(ISNUMBER(D144), $B145 * E144, "")</f>
        <v>1621.6216216216255</v>
      </c>
      <c r="G144" s="102">
        <v>18.600000000000001</v>
      </c>
      <c r="H144" s="25">
        <f t="shared" si="75"/>
        <v>5.405405405405482E-3</v>
      </c>
      <c r="I144" s="103">
        <f>IF(ISNUMBER(G144), $B145 * H144, "")</f>
        <v>540.54054054054825</v>
      </c>
      <c r="J144" s="24">
        <v>18.600000000000001</v>
      </c>
      <c r="K144" s="25">
        <f t="shared" si="76"/>
        <v>5.405405405405482E-3</v>
      </c>
      <c r="L144" s="104">
        <f>IF(ISNUMBER(J144), $B145 * K144, "")</f>
        <v>540.54054054054825</v>
      </c>
      <c r="M144" s="102">
        <v>18.8</v>
      </c>
      <c r="N144" s="25">
        <f t="shared" si="77"/>
        <v>1.6216216216216255E-2</v>
      </c>
      <c r="O144" s="104">
        <f>IF(ISNUMBER(M144), $B145 * N144, "")</f>
        <v>1621.6216216216255</v>
      </c>
      <c r="Q144" s="208"/>
      <c r="R144" s="209"/>
      <c r="S144" s="210"/>
    </row>
    <row r="145" spans="1:19" ht="17.25" thickBot="1">
      <c r="A145" s="132" t="s">
        <v>271</v>
      </c>
      <c r="B145" s="269">
        <f>$B$37</f>
        <v>100000</v>
      </c>
      <c r="C145" s="270"/>
      <c r="D145" s="26" t="s">
        <v>272</v>
      </c>
      <c r="E145" s="27">
        <f>IF(COUNT(E125:E144), SUM(E125:E144) / COUNT(E125:E144), 0)</f>
        <v>2.8553995014376814E-2</v>
      </c>
      <c r="F145" s="28">
        <f>SUM(F125:F144)</f>
        <v>57107.990028753644</v>
      </c>
      <c r="G145" s="26" t="s">
        <v>272</v>
      </c>
      <c r="H145" s="27">
        <f>IF(COUNT(H125:H144), SUM(H125:H144) / COUNT(H125:H144), 0)</f>
        <v>9.0721082994448029E-3</v>
      </c>
      <c r="I145" s="28">
        <f>SUM(I125:I144)</f>
        <v>18144.216598889612</v>
      </c>
      <c r="J145" s="26" t="s">
        <v>272</v>
      </c>
      <c r="K145" s="27">
        <f>IF(COUNT(K125:K144), SUM(K125:K144) / COUNT(K125:K144), 0)</f>
        <v>1.6603736567192377E-2</v>
      </c>
      <c r="L145" s="28">
        <f>SUM(L125:L144)</f>
        <v>33207.473134384767</v>
      </c>
      <c r="M145" s="26" t="s">
        <v>272</v>
      </c>
      <c r="N145" s="27">
        <f>IF(COUNT(N125:N144), SUM(N125:N144) / COUNT(N125:N144), 0)</f>
        <v>1.8051528136699017E-2</v>
      </c>
      <c r="O145" s="28">
        <f>SUM(O125:O144)</f>
        <v>36103.056273398048</v>
      </c>
      <c r="Q145" s="211"/>
      <c r="R145" s="212"/>
      <c r="S145" s="213"/>
    </row>
    <row r="147" spans="1:19" ht="17.25" thickBot="1"/>
    <row r="148" spans="1:19" ht="17.25" thickBot="1">
      <c r="A148" s="227" t="s">
        <v>260</v>
      </c>
      <c r="B148" s="228"/>
      <c r="C148" s="228"/>
      <c r="D148" s="228"/>
      <c r="E148" s="228"/>
      <c r="F148" s="228"/>
      <c r="G148" s="228"/>
      <c r="H148" s="228"/>
      <c r="I148" s="228"/>
      <c r="J148" s="228"/>
      <c r="K148" s="228"/>
      <c r="L148" s="228"/>
      <c r="M148" s="228"/>
      <c r="N148" s="228"/>
      <c r="O148" s="229"/>
      <c r="Q148" s="226"/>
      <c r="R148" s="226"/>
      <c r="S148" s="226"/>
    </row>
    <row r="149" spans="1:19" ht="17.25" thickBot="1">
      <c r="A149" s="177" t="s">
        <v>268</v>
      </c>
      <c r="B149" s="227" t="s">
        <v>49</v>
      </c>
      <c r="C149" s="229"/>
      <c r="D149" s="227" t="s">
        <v>58</v>
      </c>
      <c r="E149" s="228"/>
      <c r="F149" s="229"/>
      <c r="G149" s="230">
        <f>_xlfn.IFNA(VLOOKUP(B149, 현재가테이블!$B$2:$D$200, 2, FALSE), "-")</f>
        <v>39916000</v>
      </c>
      <c r="H149" s="231"/>
      <c r="I149" s="232"/>
      <c r="J149" s="227" t="s">
        <v>59</v>
      </c>
      <c r="K149" s="228"/>
      <c r="L149" s="229"/>
      <c r="M149" s="233">
        <f>_xlfn.IFNA(VLOOKUP(B149, 현재가테이블!$B$2:$D$200, 3, FALSE), "-")</f>
        <v>7.3184273000000003E-3</v>
      </c>
      <c r="N149" s="234"/>
      <c r="O149" s="235"/>
      <c r="Q149" s="226"/>
      <c r="R149" s="226"/>
      <c r="S149" s="226"/>
    </row>
    <row r="150" spans="1:19" ht="17.25" thickBot="1">
      <c r="A150" s="271" t="s">
        <v>55</v>
      </c>
      <c r="B150" s="267" t="str">
        <f>TEXT($G$1, "[$-ko-KR]yyyy-mm-dd(ddd) ") &amp; "오전 00:00"</f>
        <v>2021-07-06(화) 오전 00:00</v>
      </c>
      <c r="C150" s="268"/>
      <c r="D150" s="240" t="str">
        <f>TEXT($G$1, "[$-ko-KR]yyyy-mm-dd(ddd) ") &amp; "오후 14:00"</f>
        <v>2021-07-06(화) 오후 14:00</v>
      </c>
      <c r="E150" s="241"/>
      <c r="F150" s="242"/>
      <c r="G150" s="240" t="str">
        <f>TEXT($G$1, "[$-ko-KR]yyyy-mm-dd(ddd) ") &amp; "오후 19:00"</f>
        <v>2021-07-06(화) 오후 19:00</v>
      </c>
      <c r="H150" s="241"/>
      <c r="I150" s="242"/>
      <c r="J150" s="240" t="str">
        <f>TEXT($G$1, "[$-ko-KR]yyyy-mm-dd(ddd) ") &amp; "오후 21:00"</f>
        <v>2021-07-06(화) 오후 21:00</v>
      </c>
      <c r="K150" s="241"/>
      <c r="L150" s="242"/>
      <c r="M150" s="240" t="str">
        <f>TEXT($G$1+1, "[$-ko-KR]yyyy-mm-dd(ddd) ") &amp; "오전 00:00"</f>
        <v>2021-07-07(수) 오전 00:00</v>
      </c>
      <c r="N150" s="241"/>
      <c r="O150" s="242"/>
      <c r="Q150" s="226"/>
      <c r="R150" s="226"/>
      <c r="S150" s="226"/>
    </row>
    <row r="151" spans="1:19" ht="17.25" thickBot="1">
      <c r="A151" s="27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8" t="s">
        <v>58</v>
      </c>
      <c r="H151" s="179" t="s">
        <v>269</v>
      </c>
      <c r="I151" s="18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6"/>
      <c r="R151" s="216"/>
      <c r="S151" s="216"/>
    </row>
    <row r="152" spans="1:19" ht="17.25" thickBot="1">
      <c r="A152" s="123" t="s">
        <v>237</v>
      </c>
      <c r="B152" s="124">
        <v>431</v>
      </c>
      <c r="C152" s="76">
        <v>-3.7946428599999998E-2</v>
      </c>
      <c r="D152" s="13">
        <v>442</v>
      </c>
      <c r="E152" s="14">
        <f>IF(ISNUMBER(D152), (D152 - $B152) / $B152, "")</f>
        <v>2.5522041763341066E-2</v>
      </c>
      <c r="F152" s="16">
        <f>IF(ISNUMBER(D152), $B172 * E152, "")</f>
        <v>2552.2041763341067</v>
      </c>
      <c r="G152" s="29">
        <v>436</v>
      </c>
      <c r="H152" s="14">
        <f>IF(ISNUMBER(G152), (G152 - $B152) / $B152, "")</f>
        <v>1.1600928074245939E-2</v>
      </c>
      <c r="I152" s="100">
        <f>IF(ISNUMBER(G152), $B172 * H152, "")</f>
        <v>1160.092807424594</v>
      </c>
      <c r="J152" s="13">
        <v>435</v>
      </c>
      <c r="K152" s="14">
        <f>IF(ISNUMBER(J152), (J152 - $B152) / $B152, "")</f>
        <v>9.2807424593967514E-3</v>
      </c>
      <c r="L152" s="16">
        <f>IF(ISNUMBER(J152), $B172 * K152, "")</f>
        <v>928.07424593967517</v>
      </c>
      <c r="M152" s="29">
        <v>441</v>
      </c>
      <c r="N152" s="14">
        <f>IF(ISNUMBER(M152), (M152 - $B152) / $B152, "")</f>
        <v>2.3201856148491878E-2</v>
      </c>
      <c r="O152" s="16">
        <f>IF(ISNUMBER(M152), $B172 * N152, "")</f>
        <v>2320.1856148491879</v>
      </c>
      <c r="Q152" s="226"/>
      <c r="R152" s="226"/>
      <c r="S152" s="226"/>
    </row>
    <row r="153" spans="1:19" ht="17.25" thickBot="1">
      <c r="A153" s="125" t="s">
        <v>231</v>
      </c>
      <c r="B153" s="126">
        <v>152</v>
      </c>
      <c r="C153" s="77">
        <v>-3.7974683500000002E-2</v>
      </c>
      <c r="D153" s="15">
        <v>156</v>
      </c>
      <c r="E153" s="32">
        <f t="shared" ref="E153:E156" si="78">IF(ISNUMBER(D153), (D153 - $B153) / $B153, "")</f>
        <v>2.6315789473684209E-2</v>
      </c>
      <c r="F153" s="18">
        <f>IF(ISNUMBER(D153), $B172 * E153, "")</f>
        <v>2631.5789473684208</v>
      </c>
      <c r="G153" s="31">
        <v>152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154</v>
      </c>
      <c r="K153" s="32">
        <f t="shared" ref="K153:K156" si="80">IF(ISNUMBER(J153), (J153 - $B153) / $B153, "")</f>
        <v>1.3157894736842105E-2</v>
      </c>
      <c r="L153" s="18">
        <f>IF(ISNUMBER(J153), $B172 * K153, "")</f>
        <v>1315.7894736842104</v>
      </c>
      <c r="M153" s="31">
        <v>154</v>
      </c>
      <c r="N153" s="32">
        <f t="shared" ref="N153:N156" si="81">IF(ISNUMBER(M153), (M153 - $B153) / $B153, "")</f>
        <v>1.3157894736842105E-2</v>
      </c>
      <c r="O153" s="18">
        <f>IF(ISNUMBER(M153), $B172 * N153, "")</f>
        <v>1315.7894736842104</v>
      </c>
      <c r="Q153" s="226"/>
      <c r="R153" s="226"/>
      <c r="S153" s="226"/>
    </row>
    <row r="154" spans="1:19" ht="17.25" thickBot="1">
      <c r="A154" s="125" t="s">
        <v>192</v>
      </c>
      <c r="B154" s="126">
        <v>193</v>
      </c>
      <c r="C154" s="77">
        <v>-3.9800994999999999E-2</v>
      </c>
      <c r="D154" s="15">
        <v>198</v>
      </c>
      <c r="E154" s="32">
        <f t="shared" si="78"/>
        <v>2.5906735751295335E-2</v>
      </c>
      <c r="F154" s="18">
        <f>IF(ISNUMBER(D154), $B172 * E154, "")</f>
        <v>2590.6735751295337</v>
      </c>
      <c r="G154" s="31">
        <v>195</v>
      </c>
      <c r="H154" s="32">
        <f t="shared" si="79"/>
        <v>1.0362694300518135E-2</v>
      </c>
      <c r="I154" s="101">
        <f>IF(ISNUMBER(G154), $B172 * H154, "")</f>
        <v>1036.2694300518135</v>
      </c>
      <c r="J154" s="15">
        <v>196</v>
      </c>
      <c r="K154" s="32">
        <f t="shared" si="80"/>
        <v>1.5544041450777202E-2</v>
      </c>
      <c r="L154" s="18">
        <f>IF(ISNUMBER(J154), $B172 * K154, "")</f>
        <v>1554.4041450777202</v>
      </c>
      <c r="M154" s="31">
        <v>197</v>
      </c>
      <c r="N154" s="32">
        <f t="shared" si="81"/>
        <v>2.072538860103627E-2</v>
      </c>
      <c r="O154" s="18">
        <f>IF(ISNUMBER(M154), $B172 * N154, "")</f>
        <v>2072.538860103627</v>
      </c>
      <c r="Q154" s="216"/>
      <c r="R154" s="216"/>
      <c r="S154" s="216"/>
    </row>
    <row r="155" spans="1:19" ht="17.25" thickBot="1">
      <c r="A155" s="125" t="s">
        <v>255</v>
      </c>
      <c r="B155" s="126">
        <v>205</v>
      </c>
      <c r="C155" s="77">
        <v>-4.2056074800000003E-2</v>
      </c>
      <c r="D155" s="15">
        <v>207</v>
      </c>
      <c r="E155" s="32">
        <f t="shared" si="78"/>
        <v>9.7560975609756097E-3</v>
      </c>
      <c r="F155" s="18">
        <f>IF(ISNUMBER(D155), $B172 * E155, "")</f>
        <v>975.60975609756099</v>
      </c>
      <c r="G155" s="31">
        <v>203</v>
      </c>
      <c r="H155" s="32">
        <f t="shared" si="79"/>
        <v>-9.7560975609756097E-3</v>
      </c>
      <c r="I155" s="101">
        <f>IF(ISNUMBER(G155), $B172 * H155, "")</f>
        <v>-975.60975609756099</v>
      </c>
      <c r="J155" s="15">
        <v>204</v>
      </c>
      <c r="K155" s="32">
        <f t="shared" si="80"/>
        <v>-4.8780487804878049E-3</v>
      </c>
      <c r="L155" s="18">
        <f>IF(ISNUMBER(J155), $B172 * K155, "")</f>
        <v>-487.80487804878049</v>
      </c>
      <c r="M155" s="31">
        <v>203</v>
      </c>
      <c r="N155" s="32">
        <f t="shared" si="81"/>
        <v>-9.7560975609756097E-3</v>
      </c>
      <c r="O155" s="18">
        <f>IF(ISNUMBER(M155), $B172 * N155, "")</f>
        <v>-975.60975609756099</v>
      </c>
      <c r="Q155" s="216"/>
      <c r="R155" s="216"/>
      <c r="S155" s="216"/>
    </row>
    <row r="156" spans="1:19" ht="17.25" thickBot="1">
      <c r="A156" s="127" t="s">
        <v>164</v>
      </c>
      <c r="B156" s="128">
        <v>240</v>
      </c>
      <c r="C156" s="78">
        <v>-4.3824701200000003E-2</v>
      </c>
      <c r="D156" s="20">
        <v>259</v>
      </c>
      <c r="E156" s="21">
        <f t="shared" si="78"/>
        <v>7.9166666666666663E-2</v>
      </c>
      <c r="F156" s="22">
        <f>IF(ISNUMBER(D156), $B172 * E156, "")</f>
        <v>7916.6666666666661</v>
      </c>
      <c r="G156" s="30">
        <v>257</v>
      </c>
      <c r="H156" s="21">
        <f t="shared" si="79"/>
        <v>7.0833333333333331E-2</v>
      </c>
      <c r="I156" s="105">
        <f>IF(ISNUMBER(G156), $B172 * H156, "")</f>
        <v>7083.333333333333</v>
      </c>
      <c r="J156" s="20">
        <v>259</v>
      </c>
      <c r="K156" s="21">
        <f t="shared" si="80"/>
        <v>7.9166666666666663E-2</v>
      </c>
      <c r="L156" s="22">
        <f>IF(ISNUMBER(J156), $B172 * K156, "")</f>
        <v>7916.6666666666661</v>
      </c>
      <c r="M156" s="30">
        <v>257</v>
      </c>
      <c r="N156" s="21">
        <f t="shared" si="81"/>
        <v>7.0833333333333331E-2</v>
      </c>
      <c r="O156" s="22">
        <f>IF(ISNUMBER(M156), $B172 * N156, "")</f>
        <v>7083.333333333333</v>
      </c>
      <c r="Q156" s="216"/>
      <c r="R156" s="216"/>
      <c r="S156" s="216"/>
    </row>
    <row r="157" spans="1:19" ht="17.25" thickBot="1">
      <c r="A157" s="125" t="s">
        <v>104</v>
      </c>
      <c r="B157" s="129">
        <v>806</v>
      </c>
      <c r="C157" s="80">
        <v>-4.3890866000000001E-2</v>
      </c>
      <c r="D157" s="106">
        <v>837</v>
      </c>
      <c r="E157" s="107">
        <f>IF(ISNUMBER(D157), (D157 - $B157) / $B157, "")</f>
        <v>3.8461538461538464E-2</v>
      </c>
      <c r="F157" s="108">
        <f>IF(ISNUMBER(D157), $B172 * E157, "")</f>
        <v>3846.1538461538462</v>
      </c>
      <c r="G157" s="109">
        <v>832</v>
      </c>
      <c r="H157" s="107">
        <f>IF(ISNUMBER(G157), (G157 - $B157) / $B157, "")</f>
        <v>3.2258064516129031E-2</v>
      </c>
      <c r="I157" s="110">
        <f>IF(ISNUMBER(G157), $B172 * H157, "")</f>
        <v>3225.8064516129029</v>
      </c>
      <c r="J157" s="106">
        <v>843</v>
      </c>
      <c r="K157" s="107">
        <f>IF(ISNUMBER(J157), (J157 - $B157) / $B157, "")</f>
        <v>4.590570719602978E-2</v>
      </c>
      <c r="L157" s="108">
        <f>IF(ISNUMBER(J157), $B172 * K157, "")</f>
        <v>4590.570719602978</v>
      </c>
      <c r="M157" s="109">
        <v>842</v>
      </c>
      <c r="N157" s="107">
        <f>IF(ISNUMBER(M157), (M157 - $B157) / $B157, "")</f>
        <v>4.4665012406947889E-2</v>
      </c>
      <c r="O157" s="108">
        <f>IF(ISNUMBER(M157), $B172 * N157, "")</f>
        <v>4466.501240694789</v>
      </c>
      <c r="Q157" s="216"/>
      <c r="R157" s="216"/>
      <c r="S157" s="216"/>
    </row>
    <row r="158" spans="1:19" ht="17.25" thickBot="1">
      <c r="A158" s="125" t="s">
        <v>51</v>
      </c>
      <c r="B158" s="126">
        <v>297</v>
      </c>
      <c r="C158" s="77">
        <v>-4.5016077199999997E-2</v>
      </c>
      <c r="D158" s="15">
        <v>304</v>
      </c>
      <c r="E158" s="32">
        <f t="shared" ref="E158:E161" si="82">IF(ISNUMBER(D158), (D158 - $B158) / $B158, "")</f>
        <v>2.3569023569023569E-2</v>
      </c>
      <c r="F158" s="18">
        <f>IF(ISNUMBER(D158), $B172 * E158, "")</f>
        <v>2356.902356902357</v>
      </c>
      <c r="G158" s="31">
        <v>302</v>
      </c>
      <c r="H158" s="32">
        <f t="shared" ref="H158:H161" si="83">IF(ISNUMBER(G158), (G158 - $B158) / $B158, "")</f>
        <v>1.6835016835016835E-2</v>
      </c>
      <c r="I158" s="101">
        <f>IF(ISNUMBER(G158), $B172 * H158, "")</f>
        <v>1683.5016835016834</v>
      </c>
      <c r="J158" s="15">
        <v>302</v>
      </c>
      <c r="K158" s="32">
        <f t="shared" ref="K158:K161" si="84">IF(ISNUMBER(J158), (J158 - $B158) / $B158, "")</f>
        <v>1.6835016835016835E-2</v>
      </c>
      <c r="L158" s="18">
        <f>IF(ISNUMBER(J158), $B172 * K158, "")</f>
        <v>1683.5016835016834</v>
      </c>
      <c r="M158" s="31">
        <v>300</v>
      </c>
      <c r="N158" s="32">
        <f t="shared" ref="N158:N161" si="85">IF(ISNUMBER(M158), (M158 - $B158) / $B158, "")</f>
        <v>1.0101010101010102E-2</v>
      </c>
      <c r="O158" s="18">
        <f>IF(ISNUMBER(M158), $B172 * N158, "")</f>
        <v>1010.1010101010102</v>
      </c>
      <c r="Q158" s="216"/>
      <c r="R158" s="216"/>
      <c r="S158" s="216"/>
    </row>
    <row r="159" spans="1:19" ht="17.25" thickBot="1">
      <c r="A159" s="125" t="s">
        <v>267</v>
      </c>
      <c r="B159" s="126">
        <v>273</v>
      </c>
      <c r="C159" s="77">
        <v>-4.5454545499999999E-2</v>
      </c>
      <c r="D159" s="15">
        <v>279</v>
      </c>
      <c r="E159" s="32">
        <f t="shared" si="82"/>
        <v>2.197802197802198E-2</v>
      </c>
      <c r="F159" s="18">
        <f>IF(ISNUMBER(D159), $B172 * E159, "")</f>
        <v>2197.802197802198</v>
      </c>
      <c r="G159" s="31">
        <v>273</v>
      </c>
      <c r="H159" s="32">
        <f t="shared" si="83"/>
        <v>0</v>
      </c>
      <c r="I159" s="101">
        <f>IF(ISNUMBER(G159), $B172 * H159, "")</f>
        <v>0</v>
      </c>
      <c r="J159" s="15">
        <v>274</v>
      </c>
      <c r="K159" s="32">
        <f t="shared" si="84"/>
        <v>3.663003663003663E-3</v>
      </c>
      <c r="L159" s="18">
        <f>IF(ISNUMBER(J159), $B172 * K159, "")</f>
        <v>366.30036630036631</v>
      </c>
      <c r="M159" s="31">
        <v>272</v>
      </c>
      <c r="N159" s="32">
        <f t="shared" si="85"/>
        <v>-3.663003663003663E-3</v>
      </c>
      <c r="O159" s="18">
        <f>IF(ISNUMBER(M159), $B172 * N159, "")</f>
        <v>-366.30036630036631</v>
      </c>
      <c r="Q159" s="216"/>
      <c r="R159" s="216"/>
      <c r="S159" s="216"/>
    </row>
    <row r="160" spans="1:19" ht="17.25" thickBot="1">
      <c r="A160" s="125" t="s">
        <v>61</v>
      </c>
      <c r="B160" s="126">
        <v>644</v>
      </c>
      <c r="C160" s="77">
        <v>-4.5925925899999998E-2</v>
      </c>
      <c r="D160" s="15">
        <v>697</v>
      </c>
      <c r="E160" s="32">
        <f t="shared" si="82"/>
        <v>8.2298136645962736E-2</v>
      </c>
      <c r="F160" s="18">
        <f>IF(ISNUMBER(D160), $B172 * E160, "")</f>
        <v>8229.8136645962732</v>
      </c>
      <c r="G160" s="31">
        <v>702</v>
      </c>
      <c r="H160" s="32">
        <f t="shared" si="83"/>
        <v>9.0062111801242239E-2</v>
      </c>
      <c r="I160" s="101">
        <f>IF(ISNUMBER(G160), $B172 * H160, "")</f>
        <v>9006.2111801242245</v>
      </c>
      <c r="J160" s="15">
        <v>711</v>
      </c>
      <c r="K160" s="32">
        <f t="shared" si="84"/>
        <v>0.10403726708074534</v>
      </c>
      <c r="L160" s="18">
        <f>IF(ISNUMBER(J160), $B172 * K160, "")</f>
        <v>10403.726708074535</v>
      </c>
      <c r="M160" s="31">
        <v>707</v>
      </c>
      <c r="N160" s="32">
        <f t="shared" si="85"/>
        <v>9.7826086956521743E-2</v>
      </c>
      <c r="O160" s="18">
        <f>IF(ISNUMBER(M160), $B172 * N160, "")</f>
        <v>9782.608695652174</v>
      </c>
      <c r="Q160" s="33"/>
      <c r="R160" s="33"/>
    </row>
    <row r="161" spans="1:19" ht="17.25" thickBot="1">
      <c r="A161" s="130" t="s">
        <v>184</v>
      </c>
      <c r="B161" s="131">
        <v>839</v>
      </c>
      <c r="C161" s="79">
        <v>-4.6590909100000001E-2</v>
      </c>
      <c r="D161" s="24">
        <v>897</v>
      </c>
      <c r="E161" s="25">
        <f t="shared" si="82"/>
        <v>6.9129916567342076E-2</v>
      </c>
      <c r="F161" s="104">
        <f>IF(ISNUMBER(D161), $B172 * E161, "")</f>
        <v>6912.9916567342079</v>
      </c>
      <c r="G161" s="102">
        <v>889</v>
      </c>
      <c r="H161" s="25">
        <f t="shared" si="83"/>
        <v>5.959475566150179E-2</v>
      </c>
      <c r="I161" s="103">
        <f>IF(ISNUMBER(G161), $B172 * H161, "")</f>
        <v>5959.4755661501786</v>
      </c>
      <c r="J161" s="24">
        <v>894</v>
      </c>
      <c r="K161" s="25">
        <f t="shared" si="84"/>
        <v>6.5554231227651971E-2</v>
      </c>
      <c r="L161" s="104">
        <f>IF(ISNUMBER(J161), $B172 * K161, "")</f>
        <v>6555.4231227651971</v>
      </c>
      <c r="M161" s="102">
        <v>899</v>
      </c>
      <c r="N161" s="25">
        <f t="shared" si="85"/>
        <v>7.1513706793802145E-2</v>
      </c>
      <c r="O161" s="104">
        <f>IF(ISNUMBER(M161), $B172 * N161, "")</f>
        <v>7151.3706793802148</v>
      </c>
      <c r="Q161" s="217"/>
      <c r="R161" s="218"/>
      <c r="S161" s="219"/>
    </row>
    <row r="162" spans="1:19">
      <c r="A162" s="123" t="s">
        <v>243</v>
      </c>
      <c r="B162" s="124">
        <v>364</v>
      </c>
      <c r="C162" s="76">
        <v>-4.7120418800000001E-2</v>
      </c>
      <c r="D162" s="13">
        <v>380</v>
      </c>
      <c r="E162" s="14">
        <f>IF(ISNUMBER(D162), (D162 - $B162) / $B162, "")</f>
        <v>4.3956043956043959E-2</v>
      </c>
      <c r="F162" s="16">
        <f>IF(ISNUMBER(D162), $B172 * E162, "")</f>
        <v>4395.6043956043959</v>
      </c>
      <c r="G162" s="29">
        <v>379</v>
      </c>
      <c r="H162" s="14">
        <f>IF(ISNUMBER(G162), (G162 - $B162) / $B162, "")</f>
        <v>4.1208791208791208E-2</v>
      </c>
      <c r="I162" s="100">
        <f>IF(ISNUMBER(G162), $B172 * H162, "")</f>
        <v>4120.8791208791208</v>
      </c>
      <c r="J162" s="13">
        <v>380</v>
      </c>
      <c r="K162" s="14">
        <f>IF(ISNUMBER(J162), (J162 - $B162) / $B162, "")</f>
        <v>4.3956043956043959E-2</v>
      </c>
      <c r="L162" s="16">
        <f>IF(ISNUMBER(J162), $B172 * K162, "")</f>
        <v>4395.6043956043959</v>
      </c>
      <c r="M162" s="29">
        <v>379</v>
      </c>
      <c r="N162" s="14">
        <f>IF(ISNUMBER(M162), (M162 - $B162) / $B162, "")</f>
        <v>4.1208791208791208E-2</v>
      </c>
      <c r="O162" s="16">
        <f>IF(ISNUMBER(M162), $B172 * N162, "")</f>
        <v>4120.8791208791208</v>
      </c>
      <c r="Q162" s="220"/>
      <c r="R162" s="221"/>
      <c r="S162" s="222"/>
    </row>
    <row r="163" spans="1:19" ht="17.25" thickBot="1">
      <c r="A163" s="125" t="s">
        <v>138</v>
      </c>
      <c r="B163" s="126">
        <v>415</v>
      </c>
      <c r="C163" s="77">
        <v>-4.8165137599999998E-2</v>
      </c>
      <c r="D163" s="15">
        <v>418</v>
      </c>
      <c r="E163" s="32">
        <f t="shared" ref="E163:E166" si="86">IF(ISNUMBER(D163), (D163 - $B163) / $B163, "")</f>
        <v>7.2289156626506026E-3</v>
      </c>
      <c r="F163" s="18">
        <f>IF(ISNUMBER(D163), $B172 * E163, "")</f>
        <v>722.89156626506031</v>
      </c>
      <c r="G163" s="31">
        <v>407</v>
      </c>
      <c r="H163" s="32">
        <f t="shared" ref="H163:H166" si="87">IF(ISNUMBER(G163), (G163 - $B163) / $B163, "")</f>
        <v>-1.9277108433734941E-2</v>
      </c>
      <c r="I163" s="101">
        <f>IF(ISNUMBER(G163), $B172 * H163, "")</f>
        <v>-1927.7108433734941</v>
      </c>
      <c r="J163" s="15">
        <v>409</v>
      </c>
      <c r="K163" s="32">
        <f t="shared" ref="K163:K166" si="88">IF(ISNUMBER(J163), (J163 - $B163) / $B163, "")</f>
        <v>-1.4457831325301205E-2</v>
      </c>
      <c r="L163" s="18">
        <f>IF(ISNUMBER(J163), $B172 * K163, "")</f>
        <v>-1445.7831325301206</v>
      </c>
      <c r="M163" s="31">
        <v>413</v>
      </c>
      <c r="N163" s="32">
        <f t="shared" ref="N163:N166" si="89">IF(ISNUMBER(M163), (M163 - $B163) / $B163, "")</f>
        <v>-4.8192771084337354E-3</v>
      </c>
      <c r="O163" s="18">
        <f>IF(ISNUMBER(M163), $B172 * N163, "")</f>
        <v>-481.92771084337352</v>
      </c>
      <c r="Q163" s="223"/>
      <c r="R163" s="224"/>
      <c r="S163" s="225"/>
    </row>
    <row r="164" spans="1:19" ht="17.25" thickBot="1">
      <c r="A164" s="125" t="s">
        <v>90</v>
      </c>
      <c r="B164" s="126">
        <v>768</v>
      </c>
      <c r="C164" s="77">
        <v>-4.8327137499999999E-2</v>
      </c>
      <c r="D164" s="15">
        <v>786</v>
      </c>
      <c r="E164" s="32">
        <f t="shared" si="86"/>
        <v>2.34375E-2</v>
      </c>
      <c r="F164" s="18">
        <f>IF(ISNUMBER(D164), $B172 * E164, "")</f>
        <v>2343.75</v>
      </c>
      <c r="G164" s="31">
        <v>771</v>
      </c>
      <c r="H164" s="32">
        <f t="shared" si="87"/>
        <v>3.90625E-3</v>
      </c>
      <c r="I164" s="101">
        <f>IF(ISNUMBER(G164), $B172 * H164, "")</f>
        <v>390.625</v>
      </c>
      <c r="J164" s="15">
        <v>772</v>
      </c>
      <c r="K164" s="32">
        <f t="shared" si="88"/>
        <v>5.208333333333333E-3</v>
      </c>
      <c r="L164" s="18">
        <f>IF(ISNUMBER(J164), $B172 * K164, "")</f>
        <v>520.83333333333326</v>
      </c>
      <c r="M164" s="31">
        <v>771</v>
      </c>
      <c r="N164" s="32">
        <f t="shared" si="89"/>
        <v>3.90625E-3</v>
      </c>
      <c r="O164" s="18">
        <f>IF(ISNUMBER(M164), $B172 * N164, "")</f>
        <v>390.625</v>
      </c>
      <c r="Q164" s="216"/>
      <c r="R164" s="216"/>
      <c r="S164" s="216"/>
    </row>
    <row r="165" spans="1:19" ht="17.25" thickBot="1">
      <c r="A165" s="125" t="s">
        <v>80</v>
      </c>
      <c r="B165" s="126">
        <v>668</v>
      </c>
      <c r="C165" s="77">
        <v>-4.8433048399999998E-2</v>
      </c>
      <c r="D165" s="15">
        <v>681</v>
      </c>
      <c r="E165" s="32">
        <f t="shared" si="86"/>
        <v>1.9461077844311378E-2</v>
      </c>
      <c r="F165" s="18">
        <f>IF(ISNUMBER(D165), $B172 * E165, "")</f>
        <v>1946.1077844311378</v>
      </c>
      <c r="G165" s="31">
        <v>681</v>
      </c>
      <c r="H165" s="32">
        <f t="shared" si="87"/>
        <v>1.9461077844311378E-2</v>
      </c>
      <c r="I165" s="101">
        <f>IF(ISNUMBER(G165), $B172 * H165, "")</f>
        <v>1946.1077844311378</v>
      </c>
      <c r="J165" s="15">
        <v>689</v>
      </c>
      <c r="K165" s="32">
        <f t="shared" si="88"/>
        <v>3.1437125748502992E-2</v>
      </c>
      <c r="L165" s="18">
        <f>IF(ISNUMBER(J165), $B172 * K165, "")</f>
        <v>3143.712574850299</v>
      </c>
      <c r="M165" s="31">
        <v>687</v>
      </c>
      <c r="N165" s="32">
        <f t="shared" si="89"/>
        <v>2.8443113772455089E-2</v>
      </c>
      <c r="O165" s="18">
        <f>IF(ISNUMBER(M165), $B172 * N165, "")</f>
        <v>2844.311377245509</v>
      </c>
      <c r="Q165" s="226"/>
      <c r="R165" s="226"/>
      <c r="S165" s="226"/>
    </row>
    <row r="166" spans="1:19" ht="17.25" thickBot="1">
      <c r="A166" s="127" t="s">
        <v>233</v>
      </c>
      <c r="B166" s="128">
        <v>374</v>
      </c>
      <c r="C166" s="78">
        <v>-5.0761421299999998E-2</v>
      </c>
      <c r="D166" s="20">
        <v>382</v>
      </c>
      <c r="E166" s="21">
        <f t="shared" si="86"/>
        <v>2.1390374331550801E-2</v>
      </c>
      <c r="F166" s="22">
        <f>IF(ISNUMBER(D166), $B172 * E166, "")</f>
        <v>2139.0374331550802</v>
      </c>
      <c r="G166" s="30">
        <v>375</v>
      </c>
      <c r="H166" s="21">
        <f t="shared" si="87"/>
        <v>2.6737967914438501E-3</v>
      </c>
      <c r="I166" s="105">
        <f>IF(ISNUMBER(G166), $B172 * H166, "")</f>
        <v>267.37967914438502</v>
      </c>
      <c r="J166" s="20">
        <v>375</v>
      </c>
      <c r="K166" s="21">
        <f t="shared" si="88"/>
        <v>2.6737967914438501E-3</v>
      </c>
      <c r="L166" s="22">
        <f>IF(ISNUMBER(J166), $B172 * K166, "")</f>
        <v>267.37967914438502</v>
      </c>
      <c r="M166" s="30">
        <v>380</v>
      </c>
      <c r="N166" s="21">
        <f t="shared" si="89"/>
        <v>1.6042780748663103E-2</v>
      </c>
      <c r="O166" s="22">
        <f>IF(ISNUMBER(M166), $B172 * N166, "")</f>
        <v>1604.2780748663104</v>
      </c>
      <c r="Q166" s="226"/>
      <c r="R166" s="226"/>
      <c r="S166" s="226"/>
    </row>
    <row r="167" spans="1:19" ht="17.25" thickBot="1">
      <c r="A167" s="125" t="s">
        <v>54</v>
      </c>
      <c r="B167" s="129">
        <v>215</v>
      </c>
      <c r="C167" s="80">
        <v>-5.2863436100000001E-2</v>
      </c>
      <c r="D167" s="106">
        <v>218</v>
      </c>
      <c r="E167" s="107">
        <f>IF(ISNUMBER(D167), (D167 - $B167) / $B167, "")</f>
        <v>1.3953488372093023E-2</v>
      </c>
      <c r="F167" s="108">
        <f>IF(ISNUMBER(D167), $B172 * E167, "")</f>
        <v>1395.3488372093022</v>
      </c>
      <c r="G167" s="109">
        <v>213</v>
      </c>
      <c r="H167" s="107">
        <f>IF(ISNUMBER(G167), (G167 - $B167) / $B167, "")</f>
        <v>-9.3023255813953487E-3</v>
      </c>
      <c r="I167" s="110">
        <f>IF(ISNUMBER(G167), $B172 * H167, "")</f>
        <v>-930.23255813953483</v>
      </c>
      <c r="J167" s="106">
        <v>215</v>
      </c>
      <c r="K167" s="107">
        <f>IF(ISNUMBER(J167), (J167 - $B167) / $B167, "")</f>
        <v>0</v>
      </c>
      <c r="L167" s="108">
        <f>IF(ISNUMBER(J167), $B172 * K167, "")</f>
        <v>0</v>
      </c>
      <c r="M167" s="109">
        <v>214</v>
      </c>
      <c r="N167" s="107">
        <f>IF(ISNUMBER(M167), (M167 - $B167) / $B167, "")</f>
        <v>-4.6511627906976744E-3</v>
      </c>
      <c r="O167" s="108">
        <f>IF(ISNUMBER(M167), $B172 * N167, "")</f>
        <v>-465.11627906976742</v>
      </c>
      <c r="Q167" s="216"/>
      <c r="R167" s="216"/>
      <c r="S167" s="216"/>
    </row>
    <row r="168" spans="1:19" ht="17.25" thickBot="1">
      <c r="A168" s="125" t="s">
        <v>168</v>
      </c>
      <c r="B168" s="126">
        <v>943</v>
      </c>
      <c r="C168" s="77">
        <v>-5.4162487500000002E-2</v>
      </c>
      <c r="D168" s="15">
        <v>986</v>
      </c>
      <c r="E168" s="32">
        <f t="shared" ref="E168:E171" si="90">IF(ISNUMBER(D168), (D168 - $B168) / $B168, "")</f>
        <v>4.5599151643690349E-2</v>
      </c>
      <c r="F168" s="18">
        <f>IF(ISNUMBER(D168), $B172 * E168, "")</f>
        <v>4559.9151643690348</v>
      </c>
      <c r="G168" s="31">
        <v>974</v>
      </c>
      <c r="H168" s="32">
        <f t="shared" ref="H168:H171" si="91">IF(ISNUMBER(G168), (G168 - $B168) / $B168, "")</f>
        <v>3.2873806998939555E-2</v>
      </c>
      <c r="I168" s="101">
        <f>IF(ISNUMBER(G168), $B172 * H168, "")</f>
        <v>3287.3806998939554</v>
      </c>
      <c r="J168" s="15">
        <v>981</v>
      </c>
      <c r="K168" s="32">
        <f t="shared" ref="K168:K171" si="92">IF(ISNUMBER(J168), (J168 - $B168) / $B168, "")</f>
        <v>4.0296924708377521E-2</v>
      </c>
      <c r="L168" s="18">
        <f>IF(ISNUMBER(J168), $B172 * K168, "")</f>
        <v>4029.6924708377519</v>
      </c>
      <c r="M168" s="31">
        <v>1000</v>
      </c>
      <c r="N168" s="32">
        <f t="shared" ref="N168:N171" si="93">IF(ISNUMBER(M168), (M168 - $B168) / $B168, "")</f>
        <v>6.0445387062566275E-2</v>
      </c>
      <c r="O168" s="18">
        <f>IF(ISNUMBER(M168), $B172 * N168, "")</f>
        <v>6044.5387062566278</v>
      </c>
      <c r="Q168" s="216"/>
      <c r="R168" s="216"/>
      <c r="S168" s="216"/>
    </row>
    <row r="169" spans="1:19" ht="17.25" thickBot="1">
      <c r="A169" s="125" t="s">
        <v>174</v>
      </c>
      <c r="B169" s="126">
        <v>239</v>
      </c>
      <c r="C169" s="77">
        <v>-5.5335968399999998E-2</v>
      </c>
      <c r="D169" s="15">
        <v>242</v>
      </c>
      <c r="E169" s="32">
        <f t="shared" si="90"/>
        <v>1.2552301255230125E-2</v>
      </c>
      <c r="F169" s="18">
        <f>IF(ISNUMBER(D169), $B172 * E169, "")</f>
        <v>1255.2301255230125</v>
      </c>
      <c r="G169" s="31">
        <v>237</v>
      </c>
      <c r="H169" s="32">
        <f t="shared" si="91"/>
        <v>-8.368200836820083E-3</v>
      </c>
      <c r="I169" s="101">
        <f>IF(ISNUMBER(G169), $B172 * H169, "")</f>
        <v>-836.82008368200832</v>
      </c>
      <c r="J169" s="15">
        <v>239</v>
      </c>
      <c r="K169" s="32">
        <f t="shared" si="92"/>
        <v>0</v>
      </c>
      <c r="L169" s="18">
        <f>IF(ISNUMBER(J169), $B172 * K169, "")</f>
        <v>0</v>
      </c>
      <c r="M169" s="31">
        <v>240</v>
      </c>
      <c r="N169" s="32">
        <f t="shared" si="93"/>
        <v>4.1841004184100415E-3</v>
      </c>
      <c r="O169" s="18">
        <f>IF(ISNUMBER(M169), $B172 * N169, "")</f>
        <v>418.41004184100416</v>
      </c>
      <c r="Q169" s="216"/>
      <c r="R169" s="216"/>
      <c r="S169" s="216"/>
    </row>
    <row r="170" spans="1:19">
      <c r="A170" s="125" t="s">
        <v>118</v>
      </c>
      <c r="B170" s="126">
        <v>135</v>
      </c>
      <c r="C170" s="77">
        <v>-5.5944055899999998E-2</v>
      </c>
      <c r="D170" s="15">
        <v>141</v>
      </c>
      <c r="E170" s="32">
        <f t="shared" si="90"/>
        <v>4.4444444444444446E-2</v>
      </c>
      <c r="F170" s="18">
        <f>IF(ISNUMBER(D170), $B172 * E170, "")</f>
        <v>4444.4444444444443</v>
      </c>
      <c r="G170" s="31">
        <v>139</v>
      </c>
      <c r="H170" s="32">
        <f t="shared" si="91"/>
        <v>2.9629629629629631E-2</v>
      </c>
      <c r="I170" s="101">
        <f>IF(ISNUMBER(G170), $B172 * H170, "")</f>
        <v>2962.962962962963</v>
      </c>
      <c r="J170" s="15">
        <v>139</v>
      </c>
      <c r="K170" s="32">
        <f t="shared" si="92"/>
        <v>2.9629629629629631E-2</v>
      </c>
      <c r="L170" s="18">
        <f>IF(ISNUMBER(J170), $B172 * K170, "")</f>
        <v>2962.962962962963</v>
      </c>
      <c r="M170" s="31">
        <v>140</v>
      </c>
      <c r="N170" s="32">
        <f t="shared" si="93"/>
        <v>3.7037037037037035E-2</v>
      </c>
      <c r="O170" s="18">
        <f>IF(ISNUMBER(M170), $B172 * N170, "")</f>
        <v>3703.7037037037035</v>
      </c>
      <c r="Q170" s="205"/>
      <c r="R170" s="206"/>
      <c r="S170" s="207"/>
    </row>
    <row r="171" spans="1:19" ht="17.25" thickBot="1">
      <c r="A171" s="130" t="s">
        <v>57</v>
      </c>
      <c r="B171" s="131">
        <v>151</v>
      </c>
      <c r="C171" s="79">
        <v>-6.2111801199999997E-2</v>
      </c>
      <c r="D171" s="24">
        <v>156</v>
      </c>
      <c r="E171" s="25">
        <f t="shared" si="90"/>
        <v>3.3112582781456956E-2</v>
      </c>
      <c r="F171" s="104">
        <f>IF(ISNUMBER(D171), $B172 * E171, "")</f>
        <v>3311.2582781456958</v>
      </c>
      <c r="G171" s="102">
        <v>153</v>
      </c>
      <c r="H171" s="25">
        <f t="shared" si="91"/>
        <v>1.3245033112582781E-2</v>
      </c>
      <c r="I171" s="103">
        <f>IF(ISNUMBER(G171), $B172 * H171, "")</f>
        <v>1324.5033112582782</v>
      </c>
      <c r="J171" s="24">
        <v>154</v>
      </c>
      <c r="K171" s="25">
        <f t="shared" si="92"/>
        <v>1.9867549668874173E-2</v>
      </c>
      <c r="L171" s="104">
        <f>IF(ISNUMBER(J171), $B172 * K171, "")</f>
        <v>1986.7549668874174</v>
      </c>
      <c r="M171" s="102">
        <v>154</v>
      </c>
      <c r="N171" s="25">
        <f t="shared" si="93"/>
        <v>1.9867549668874173E-2</v>
      </c>
      <c r="O171" s="104">
        <f>IF(ISNUMBER(M171), $B172 * N171, "")</f>
        <v>1986.7549668874174</v>
      </c>
      <c r="Q171" s="208"/>
      <c r="R171" s="209"/>
      <c r="S171" s="210"/>
    </row>
    <row r="172" spans="1:19" ht="17.25" thickBot="1">
      <c r="A172" s="132" t="s">
        <v>271</v>
      </c>
      <c r="B172" s="269">
        <f>$B$37</f>
        <v>100000</v>
      </c>
      <c r="C172" s="270"/>
      <c r="D172" s="26" t="s">
        <v>272</v>
      </c>
      <c r="E172" s="27">
        <f>IF(COUNT(E152:E171), SUM(E152:E171) / COUNT(E152:E171), 0)</f>
        <v>3.3361992436466162E-2</v>
      </c>
      <c r="F172" s="28">
        <f>SUM(F152:F171)</f>
        <v>66723.984872932328</v>
      </c>
      <c r="G172" s="26" t="s">
        <v>272</v>
      </c>
      <c r="H172" s="27">
        <f>IF(COUNT(H152:H171), SUM(H152:H171) / COUNT(H152:H171), 0)</f>
        <v>1.9392077884737988E-2</v>
      </c>
      <c r="I172" s="28">
        <f>SUM(I152:I171)</f>
        <v>38784.155769475969</v>
      </c>
      <c r="J172" s="26" t="s">
        <v>272</v>
      </c>
      <c r="K172" s="27">
        <f>IF(COUNT(K152:K171), SUM(K152:K171) / COUNT(K152:K171), 0)</f>
        <v>2.534390475232734E-2</v>
      </c>
      <c r="L172" s="28">
        <f>SUM(L152:L171)</f>
        <v>50687.809504654673</v>
      </c>
      <c r="M172" s="26" t="s">
        <v>272</v>
      </c>
      <c r="N172" s="27">
        <f>IF(COUNT(N152:N171), SUM(N152:N171) / COUNT(N152:N171), 0)</f>
        <v>2.7013487893583588E-2</v>
      </c>
      <c r="O172" s="28">
        <f>SUM(O152:O171)</f>
        <v>54026.975787167168</v>
      </c>
      <c r="Q172" s="211"/>
      <c r="R172" s="212"/>
      <c r="S172" s="213"/>
    </row>
    <row r="174" spans="1:19" ht="17.25" thickBot="1"/>
    <row r="175" spans="1:19" ht="17.25" thickBot="1">
      <c r="A175" s="227" t="s">
        <v>256</v>
      </c>
      <c r="B175" s="228"/>
      <c r="C175" s="228"/>
      <c r="D175" s="228"/>
      <c r="E175" s="228"/>
      <c r="F175" s="228"/>
      <c r="G175" s="228"/>
      <c r="H175" s="228"/>
      <c r="I175" s="228"/>
      <c r="J175" s="228"/>
      <c r="K175" s="228"/>
      <c r="L175" s="228"/>
      <c r="M175" s="228"/>
      <c r="N175" s="228"/>
      <c r="O175" s="229"/>
      <c r="Q175" s="226"/>
      <c r="R175" s="226"/>
      <c r="S175" s="226"/>
    </row>
    <row r="176" spans="1:19" ht="17.25" thickBot="1">
      <c r="A176" s="177" t="s">
        <v>268</v>
      </c>
      <c r="B176" s="227" t="s">
        <v>49</v>
      </c>
      <c r="C176" s="229"/>
      <c r="D176" s="227" t="s">
        <v>58</v>
      </c>
      <c r="E176" s="228"/>
      <c r="F176" s="229"/>
      <c r="G176" s="230">
        <f>_xlfn.IFNA(VLOOKUP(B176, 현재가테이블!$B$2:$D$200, 2, FALSE), "-")</f>
        <v>39916000</v>
      </c>
      <c r="H176" s="231"/>
      <c r="I176" s="232"/>
      <c r="J176" s="227" t="s">
        <v>59</v>
      </c>
      <c r="K176" s="228"/>
      <c r="L176" s="229"/>
      <c r="M176" s="233">
        <f>_xlfn.IFNA(VLOOKUP(B176, 현재가테이블!$B$2:$D$200, 3, FALSE), "-")</f>
        <v>7.3184273000000003E-3</v>
      </c>
      <c r="N176" s="234"/>
      <c r="O176" s="235"/>
      <c r="Q176" s="226"/>
      <c r="R176" s="226"/>
      <c r="S176" s="226"/>
    </row>
    <row r="177" spans="1:19" ht="17.25" thickBot="1">
      <c r="A177" s="271" t="s">
        <v>55</v>
      </c>
      <c r="B177" s="267" t="str">
        <f>TEXT($G$1, "[$-ko-KR]yyyy-mm-dd(ddd) ") &amp; "오전 00:00"</f>
        <v>2021-07-06(화) 오전 00:00</v>
      </c>
      <c r="C177" s="268"/>
      <c r="D177" s="240" t="str">
        <f>TEXT($G$1, "[$-ko-KR]yyyy-mm-dd(ddd) ") &amp; "오후 14:00"</f>
        <v>2021-07-06(화) 오후 14:00</v>
      </c>
      <c r="E177" s="241"/>
      <c r="F177" s="242"/>
      <c r="G177" s="240" t="str">
        <f>TEXT($G$1, "[$-ko-KR]yyyy-mm-dd(ddd) ") &amp; "오후 19:00"</f>
        <v>2021-07-06(화) 오후 19:00</v>
      </c>
      <c r="H177" s="241"/>
      <c r="I177" s="242"/>
      <c r="J177" s="240" t="str">
        <f>TEXT($G$1, "[$-ko-KR]yyyy-mm-dd(ddd) ") &amp; "오후 21:00"</f>
        <v>2021-07-06(화) 오후 21:00</v>
      </c>
      <c r="K177" s="241"/>
      <c r="L177" s="242"/>
      <c r="M177" s="240" t="str">
        <f>TEXT($G$1+1, "[$-ko-KR]yyyy-mm-dd(ddd) ") &amp; "오전 00:00"</f>
        <v>2021-07-07(수) 오전 00:00</v>
      </c>
      <c r="N177" s="241"/>
      <c r="O177" s="242"/>
      <c r="Q177" s="226"/>
      <c r="R177" s="226"/>
      <c r="S177" s="226"/>
    </row>
    <row r="178" spans="1:19" ht="17.25" thickBot="1">
      <c r="A178" s="27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8" t="s">
        <v>58</v>
      </c>
      <c r="H178" s="179" t="s">
        <v>269</v>
      </c>
      <c r="I178" s="18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6"/>
      <c r="R178" s="216"/>
      <c r="S178" s="216"/>
    </row>
    <row r="179" spans="1:19" ht="17.25" thickBot="1">
      <c r="A179" s="123" t="s">
        <v>80</v>
      </c>
      <c r="B179" s="124">
        <v>668</v>
      </c>
      <c r="C179" s="76">
        <v>-4.8433048399999998E-2</v>
      </c>
      <c r="D179" s="13">
        <v>681</v>
      </c>
      <c r="E179" s="14">
        <f>IF(ISNUMBER(D179), (D179 - $B179) / $B179, "")</f>
        <v>1.9461077844311378E-2</v>
      </c>
      <c r="F179" s="16">
        <f>IF(ISNUMBER(D179), $B199 * E179, "")</f>
        <v>1946.1077844311378</v>
      </c>
      <c r="G179" s="29">
        <v>681</v>
      </c>
      <c r="H179" s="14">
        <f>IF(ISNUMBER(G179), (G179 - $B179) / $B179, "")</f>
        <v>1.9461077844311378E-2</v>
      </c>
      <c r="I179" s="100">
        <f>IF(ISNUMBER(G179), $B199 * H179, "")</f>
        <v>1946.1077844311378</v>
      </c>
      <c r="J179" s="13">
        <v>689</v>
      </c>
      <c r="K179" s="14">
        <f>IF(ISNUMBER(J179), (J179 - $B179) / $B179, "")</f>
        <v>3.1437125748502992E-2</v>
      </c>
      <c r="L179" s="16">
        <f>IF(ISNUMBER(J179), $B199 * K179, "")</f>
        <v>3143.712574850299</v>
      </c>
      <c r="M179" s="29">
        <v>687</v>
      </c>
      <c r="N179" s="14">
        <f>IF(ISNUMBER(M179), (M179 - $B179) / $B179, "")</f>
        <v>2.8443113772455089E-2</v>
      </c>
      <c r="O179" s="16">
        <f>IF(ISNUMBER(M179), $B199 * N179, "")</f>
        <v>2844.311377245509</v>
      </c>
      <c r="Q179" s="226"/>
      <c r="R179" s="226"/>
      <c r="S179" s="226"/>
    </row>
    <row r="180" spans="1:19" ht="17.25" thickBot="1">
      <c r="A180" s="125" t="s">
        <v>162</v>
      </c>
      <c r="B180" s="126">
        <v>82.2</v>
      </c>
      <c r="C180" s="77">
        <v>-4.86111111E-2</v>
      </c>
      <c r="D180" s="15">
        <v>83.9</v>
      </c>
      <c r="E180" s="32">
        <f t="shared" ref="E180:E183" si="94">IF(ISNUMBER(D180), (D180 - $B180) / $B180, "")</f>
        <v>2.0681265206812686E-2</v>
      </c>
      <c r="F180" s="18">
        <f>IF(ISNUMBER(D180), $B199 * E180, "")</f>
        <v>2068.1265206812686</v>
      </c>
      <c r="G180" s="31">
        <v>81.5</v>
      </c>
      <c r="H180" s="32">
        <f t="shared" ref="H180:H183" si="95">IF(ISNUMBER(G180), (G180 - $B180) / $B180, "")</f>
        <v>-8.5158150851581856E-3</v>
      </c>
      <c r="I180" s="101">
        <f>IF(ISNUMBER(G180), $B199 * H180, "")</f>
        <v>-851.58150851581854</v>
      </c>
      <c r="J180" s="15">
        <v>82.1</v>
      </c>
      <c r="K180" s="32">
        <f t="shared" ref="K180:K183" si="96">IF(ISNUMBER(J180), (J180 - $B180) / $B180, "")</f>
        <v>-1.2165450121655538E-3</v>
      </c>
      <c r="L180" s="18">
        <f>IF(ISNUMBER(J180), $B199 * K180, "")</f>
        <v>-121.65450121655537</v>
      </c>
      <c r="M180" s="31">
        <v>82.5</v>
      </c>
      <c r="N180" s="32">
        <f t="shared" ref="N180:N183" si="97">IF(ISNUMBER(M180), (M180 - $B180) / $B180, "")</f>
        <v>3.6496350364963156E-3</v>
      </c>
      <c r="O180" s="18">
        <f>IF(ISNUMBER(M180), $B199 * N180, "")</f>
        <v>364.96350364963155</v>
      </c>
      <c r="Q180" s="226"/>
      <c r="R180" s="226"/>
      <c r="S180" s="226"/>
    </row>
    <row r="181" spans="1:19" ht="17.25" thickBot="1">
      <c r="A181" s="125" t="s">
        <v>249</v>
      </c>
      <c r="B181" s="126">
        <v>1955</v>
      </c>
      <c r="C181" s="77">
        <v>-4.8661800499999998E-2</v>
      </c>
      <c r="D181" s="15">
        <v>2015</v>
      </c>
      <c r="E181" s="32">
        <f t="shared" si="94"/>
        <v>3.0690537084398978E-2</v>
      </c>
      <c r="F181" s="18">
        <f>IF(ISNUMBER(D181), $B199 * E181, "")</f>
        <v>3069.0537084398979</v>
      </c>
      <c r="G181" s="31">
        <v>1970</v>
      </c>
      <c r="H181" s="32">
        <f t="shared" si="95"/>
        <v>7.6726342710997444E-3</v>
      </c>
      <c r="I181" s="101">
        <f>IF(ISNUMBER(G181), $B199 * H181, "")</f>
        <v>767.26342710997449</v>
      </c>
      <c r="J181" s="15">
        <v>1990</v>
      </c>
      <c r="K181" s="32">
        <f t="shared" si="96"/>
        <v>1.7902813299232736E-2</v>
      </c>
      <c r="L181" s="18">
        <f>IF(ISNUMBER(J181), $B199 * K181, "")</f>
        <v>1790.2813299232737</v>
      </c>
      <c r="M181" s="31">
        <v>1985</v>
      </c>
      <c r="N181" s="32">
        <f t="shared" si="97"/>
        <v>1.5345268542199489E-2</v>
      </c>
      <c r="O181" s="18">
        <f>IF(ISNUMBER(M181), $B199 * N181, "")</f>
        <v>1534.526854219949</v>
      </c>
      <c r="Q181" s="216"/>
      <c r="R181" s="216"/>
      <c r="S181" s="216"/>
    </row>
    <row r="182" spans="1:19" ht="17.25" thickBot="1">
      <c r="A182" s="125" t="s">
        <v>84</v>
      </c>
      <c r="B182" s="126">
        <v>4480</v>
      </c>
      <c r="C182" s="77">
        <v>-4.88322718E-2</v>
      </c>
      <c r="D182" s="15">
        <v>4585</v>
      </c>
      <c r="E182" s="32">
        <f t="shared" si="94"/>
        <v>2.34375E-2</v>
      </c>
      <c r="F182" s="18">
        <f>IF(ISNUMBER(D182), $B199 * E182, "")</f>
        <v>2343.75</v>
      </c>
      <c r="G182" s="31">
        <v>4500</v>
      </c>
      <c r="H182" s="32">
        <f t="shared" si="95"/>
        <v>4.464285714285714E-3</v>
      </c>
      <c r="I182" s="101">
        <f>IF(ISNUMBER(G182), $B199 * H182, "")</f>
        <v>446.42857142857139</v>
      </c>
      <c r="J182" s="15">
        <v>4500</v>
      </c>
      <c r="K182" s="32">
        <f t="shared" si="96"/>
        <v>4.464285714285714E-3</v>
      </c>
      <c r="L182" s="18">
        <f>IF(ISNUMBER(J182), $B199 * K182, "")</f>
        <v>446.42857142857139</v>
      </c>
      <c r="M182" s="31">
        <v>4485</v>
      </c>
      <c r="N182" s="32">
        <f t="shared" si="97"/>
        <v>1.1160714285714285E-3</v>
      </c>
      <c r="O182" s="18">
        <f>IF(ISNUMBER(M182), $B199 * N182, "")</f>
        <v>111.60714285714285</v>
      </c>
      <c r="Q182" s="216"/>
      <c r="R182" s="216"/>
      <c r="S182" s="216"/>
    </row>
    <row r="183" spans="1:19" ht="17.25" thickBot="1">
      <c r="A183" s="127" t="s">
        <v>65</v>
      </c>
      <c r="B183" s="128">
        <v>28.3</v>
      </c>
      <c r="C183" s="78">
        <v>-5.0335570500000003E-2</v>
      </c>
      <c r="D183" s="20">
        <v>28.8</v>
      </c>
      <c r="E183" s="21">
        <f t="shared" si="94"/>
        <v>1.7667844522968199E-2</v>
      </c>
      <c r="F183" s="22">
        <f>IF(ISNUMBER(D183), $B199 * E183, "")</f>
        <v>1766.7844522968198</v>
      </c>
      <c r="G183" s="30">
        <v>27.8</v>
      </c>
      <c r="H183" s="21">
        <f t="shared" si="95"/>
        <v>-1.7667844522968199E-2</v>
      </c>
      <c r="I183" s="105">
        <f>IF(ISNUMBER(G183), $B199 * H183, "")</f>
        <v>-1766.7844522968198</v>
      </c>
      <c r="J183" s="20">
        <v>28</v>
      </c>
      <c r="K183" s="21">
        <f t="shared" si="96"/>
        <v>-1.0600706713780944E-2</v>
      </c>
      <c r="L183" s="22">
        <f>IF(ISNUMBER(J183), $B199 * K183, "")</f>
        <v>-1060.0706713780944</v>
      </c>
      <c r="M183" s="30">
        <v>27.7</v>
      </c>
      <c r="N183" s="21">
        <f t="shared" si="97"/>
        <v>-2.1201413427561887E-2</v>
      </c>
      <c r="O183" s="22">
        <f>IF(ISNUMBER(M183), $B199 * N183, "")</f>
        <v>-2120.1413427561888</v>
      </c>
      <c r="Q183" s="216"/>
      <c r="R183" s="216"/>
      <c r="S183" s="216"/>
    </row>
    <row r="184" spans="1:19" ht="17.25" thickBot="1">
      <c r="A184" s="125" t="s">
        <v>233</v>
      </c>
      <c r="B184" s="129">
        <v>374</v>
      </c>
      <c r="C184" s="80">
        <v>-5.0761421299999998E-2</v>
      </c>
      <c r="D184" s="106">
        <v>382</v>
      </c>
      <c r="E184" s="107">
        <f>IF(ISNUMBER(D184), (D184 - $B184) / $B184, "")</f>
        <v>2.1390374331550801E-2</v>
      </c>
      <c r="F184" s="108">
        <f>IF(ISNUMBER(D184), $B199 * E184, "")</f>
        <v>2139.0374331550802</v>
      </c>
      <c r="G184" s="109">
        <v>375</v>
      </c>
      <c r="H184" s="107">
        <f>IF(ISNUMBER(G184), (G184 - $B184) / $B184, "")</f>
        <v>2.6737967914438501E-3</v>
      </c>
      <c r="I184" s="110">
        <f>IF(ISNUMBER(G184), $B199 * H184, "")</f>
        <v>267.37967914438502</v>
      </c>
      <c r="J184" s="106">
        <v>375</v>
      </c>
      <c r="K184" s="107">
        <f>IF(ISNUMBER(J184), (J184 - $B184) / $B184, "")</f>
        <v>2.6737967914438501E-3</v>
      </c>
      <c r="L184" s="108">
        <f>IF(ISNUMBER(J184), $B199 * K184, "")</f>
        <v>267.37967914438502</v>
      </c>
      <c r="M184" s="109">
        <v>380</v>
      </c>
      <c r="N184" s="107">
        <f>IF(ISNUMBER(M184), (M184 - $B184) / $B184, "")</f>
        <v>1.6042780748663103E-2</v>
      </c>
      <c r="O184" s="108">
        <f>IF(ISNUMBER(M184), $B199 * N184, "")</f>
        <v>1604.2780748663104</v>
      </c>
      <c r="Q184" s="216"/>
      <c r="R184" s="216"/>
      <c r="S184" s="216"/>
    </row>
    <row r="185" spans="1:19" ht="17.25" thickBot="1">
      <c r="A185" s="125" t="s">
        <v>69</v>
      </c>
      <c r="B185" s="126">
        <v>3820</v>
      </c>
      <c r="C185" s="77">
        <v>-5.0931677000000002E-2</v>
      </c>
      <c r="D185" s="15">
        <v>4060</v>
      </c>
      <c r="E185" s="32">
        <f t="shared" ref="E185:E188" si="98">IF(ISNUMBER(D185), (D185 - $B185) / $B185, "")</f>
        <v>6.2827225130890049E-2</v>
      </c>
      <c r="F185" s="18">
        <f>IF(ISNUMBER(D185), $B199 * E185, "")</f>
        <v>6282.7225130890047</v>
      </c>
      <c r="G185" s="31">
        <v>3970</v>
      </c>
      <c r="H185" s="32">
        <f t="shared" ref="H185:H188" si="99">IF(ISNUMBER(G185), (G185 - $B185) / $B185, "")</f>
        <v>3.9267015706806283E-2</v>
      </c>
      <c r="I185" s="101">
        <f>IF(ISNUMBER(G185), $B199 * H185, "")</f>
        <v>3926.7015706806283</v>
      </c>
      <c r="J185" s="15">
        <v>4035</v>
      </c>
      <c r="K185" s="32">
        <f t="shared" ref="K185:K188" si="100">IF(ISNUMBER(J185), (J185 - $B185) / $B185, "")</f>
        <v>5.6282722513089002E-2</v>
      </c>
      <c r="L185" s="18">
        <f>IF(ISNUMBER(J185), $B199 * K185, "")</f>
        <v>5628.2722513089002</v>
      </c>
      <c r="M185" s="31">
        <v>4045</v>
      </c>
      <c r="N185" s="32">
        <f t="shared" ref="N185:N188" si="101">IF(ISNUMBER(M185), (M185 - $B185) / $B185, "")</f>
        <v>5.8900523560209424E-2</v>
      </c>
      <c r="O185" s="18">
        <f>IF(ISNUMBER(M185), $B199 * N185, "")</f>
        <v>5890.0523560209422</v>
      </c>
      <c r="Q185" s="216"/>
      <c r="R185" s="216"/>
      <c r="S185" s="216"/>
    </row>
    <row r="186" spans="1:19" ht="17.25" thickBot="1">
      <c r="A186" s="125" t="s">
        <v>224</v>
      </c>
      <c r="B186" s="126">
        <v>3030</v>
      </c>
      <c r="C186" s="77">
        <v>-5.1643192499999997E-2</v>
      </c>
      <c r="D186" s="15">
        <v>3110</v>
      </c>
      <c r="E186" s="32">
        <f t="shared" si="98"/>
        <v>2.6402640264026403E-2</v>
      </c>
      <c r="F186" s="18">
        <f>IF(ISNUMBER(D186), $B199 * E186, "")</f>
        <v>2640.2640264026404</v>
      </c>
      <c r="G186" s="31">
        <v>3050</v>
      </c>
      <c r="H186" s="32">
        <f t="shared" si="99"/>
        <v>6.6006600660066007E-3</v>
      </c>
      <c r="I186" s="101">
        <f>IF(ISNUMBER(G186), $B199 * H186, "")</f>
        <v>660.0660066006601</v>
      </c>
      <c r="J186" s="15">
        <v>3100</v>
      </c>
      <c r="K186" s="32">
        <f t="shared" si="100"/>
        <v>2.3102310231023101E-2</v>
      </c>
      <c r="L186" s="18">
        <f>IF(ISNUMBER(J186), $B199 * K186, "")</f>
        <v>2310.2310231023102</v>
      </c>
      <c r="M186" s="31">
        <v>3070</v>
      </c>
      <c r="N186" s="32">
        <f t="shared" si="101"/>
        <v>1.3201320132013201E-2</v>
      </c>
      <c r="O186" s="18">
        <f>IF(ISNUMBER(M186), $B199 * N186, "")</f>
        <v>1320.1320132013202</v>
      </c>
      <c r="Q186" s="216"/>
      <c r="R186" s="216"/>
      <c r="S186" s="216"/>
    </row>
    <row r="187" spans="1:19" ht="17.25" thickBot="1">
      <c r="A187" s="125" t="s">
        <v>122</v>
      </c>
      <c r="B187" s="126">
        <v>23.8</v>
      </c>
      <c r="C187" s="77">
        <v>-5.1792828700000001E-2</v>
      </c>
      <c r="D187" s="15">
        <v>23.9</v>
      </c>
      <c r="E187" s="32">
        <f t="shared" si="98"/>
        <v>4.201680672268818E-3</v>
      </c>
      <c r="F187" s="18">
        <f>IF(ISNUMBER(D187), $B199 * E187, "")</f>
        <v>420.16806722688182</v>
      </c>
      <c r="G187" s="31">
        <v>23.5</v>
      </c>
      <c r="H187" s="32">
        <f t="shared" si="99"/>
        <v>-1.2605042016806753E-2</v>
      </c>
      <c r="I187" s="101">
        <f>IF(ISNUMBER(G187), $B199 * H187, "")</f>
        <v>-1260.5042016806754</v>
      </c>
      <c r="J187" s="15">
        <v>23.8</v>
      </c>
      <c r="K187" s="32">
        <f t="shared" si="100"/>
        <v>0</v>
      </c>
      <c r="L187" s="18">
        <f>IF(ISNUMBER(J187), $B199 * K187, "")</f>
        <v>0</v>
      </c>
      <c r="M187" s="31">
        <v>23.9</v>
      </c>
      <c r="N187" s="32">
        <f t="shared" si="101"/>
        <v>4.201680672268818E-3</v>
      </c>
      <c r="O187" s="18">
        <f>IF(ISNUMBER(M187), $B199 * N187, "")</f>
        <v>420.16806722688182</v>
      </c>
      <c r="Q187" s="33"/>
      <c r="R187" s="33"/>
    </row>
    <row r="188" spans="1:19" ht="17.25" thickBot="1">
      <c r="A188" s="130" t="s">
        <v>54</v>
      </c>
      <c r="B188" s="131">
        <v>215</v>
      </c>
      <c r="C188" s="79">
        <v>-5.2863436100000001E-2</v>
      </c>
      <c r="D188" s="24">
        <v>218</v>
      </c>
      <c r="E188" s="25">
        <f t="shared" si="98"/>
        <v>1.3953488372093023E-2</v>
      </c>
      <c r="F188" s="104">
        <f>IF(ISNUMBER(D188), $B199 * E188, "")</f>
        <v>1395.3488372093022</v>
      </c>
      <c r="G188" s="102">
        <v>213</v>
      </c>
      <c r="H188" s="25">
        <f t="shared" si="99"/>
        <v>-9.3023255813953487E-3</v>
      </c>
      <c r="I188" s="103">
        <f>IF(ISNUMBER(G188), $B199 * H188, "")</f>
        <v>-930.23255813953483</v>
      </c>
      <c r="J188" s="24">
        <v>215</v>
      </c>
      <c r="K188" s="25">
        <f t="shared" si="100"/>
        <v>0</v>
      </c>
      <c r="L188" s="104">
        <f>IF(ISNUMBER(J188), $B199 * K188, "")</f>
        <v>0</v>
      </c>
      <c r="M188" s="102">
        <v>214</v>
      </c>
      <c r="N188" s="25">
        <f t="shared" si="101"/>
        <v>-4.6511627906976744E-3</v>
      </c>
      <c r="O188" s="104">
        <f>IF(ISNUMBER(M188), $B199 * N188, "")</f>
        <v>-465.11627906976742</v>
      </c>
      <c r="Q188" s="217"/>
      <c r="R188" s="218"/>
      <c r="S188" s="219"/>
    </row>
    <row r="189" spans="1:19">
      <c r="A189" s="123" t="s">
        <v>168</v>
      </c>
      <c r="B189" s="124">
        <v>943</v>
      </c>
      <c r="C189" s="76">
        <v>-5.4162487500000002E-2</v>
      </c>
      <c r="D189" s="13">
        <v>986</v>
      </c>
      <c r="E189" s="14">
        <f>IF(ISNUMBER(D189), (D189 - $B189) / $B189, "")</f>
        <v>4.5599151643690349E-2</v>
      </c>
      <c r="F189" s="16">
        <f>IF(ISNUMBER(D189), $B199 * E189, "")</f>
        <v>4559.9151643690348</v>
      </c>
      <c r="G189" s="29">
        <v>974</v>
      </c>
      <c r="H189" s="14">
        <f>IF(ISNUMBER(G189), (G189 - $B189) / $B189, "")</f>
        <v>3.2873806998939555E-2</v>
      </c>
      <c r="I189" s="100">
        <f>IF(ISNUMBER(G189), $B199 * H189, "")</f>
        <v>3287.3806998939554</v>
      </c>
      <c r="J189" s="13">
        <v>981</v>
      </c>
      <c r="K189" s="14">
        <f>IF(ISNUMBER(J189), (J189 - $B189) / $B189, "")</f>
        <v>4.0296924708377521E-2</v>
      </c>
      <c r="L189" s="16">
        <f>IF(ISNUMBER(J189), $B199 * K189, "")</f>
        <v>4029.6924708377519</v>
      </c>
      <c r="M189" s="29">
        <v>1000</v>
      </c>
      <c r="N189" s="14">
        <f>IF(ISNUMBER(M189), (M189 - $B189) / $B189, "")</f>
        <v>6.0445387062566275E-2</v>
      </c>
      <c r="O189" s="16">
        <f>IF(ISNUMBER(M189), $B199 * N189, "")</f>
        <v>6044.5387062566278</v>
      </c>
      <c r="Q189" s="220"/>
      <c r="R189" s="221"/>
      <c r="S189" s="222"/>
    </row>
    <row r="190" spans="1:19" ht="17.25" thickBot="1">
      <c r="A190" s="125" t="s">
        <v>156</v>
      </c>
      <c r="B190" s="126">
        <v>1285</v>
      </c>
      <c r="C190" s="77">
        <v>-5.5147058800000003E-2</v>
      </c>
      <c r="D190" s="15">
        <v>1375</v>
      </c>
      <c r="E190" s="32">
        <f t="shared" ref="E190:E193" si="102">IF(ISNUMBER(D190), (D190 - $B190) / $B190, "")</f>
        <v>7.0038910505836577E-2</v>
      </c>
      <c r="F190" s="18">
        <f>IF(ISNUMBER(D190), $B199 * E190, "")</f>
        <v>7003.8910505836575</v>
      </c>
      <c r="G190" s="31">
        <v>1355</v>
      </c>
      <c r="H190" s="32">
        <f t="shared" ref="H190:H193" si="103">IF(ISNUMBER(G190), (G190 - $B190) / $B190, "")</f>
        <v>5.4474708171206226E-2</v>
      </c>
      <c r="I190" s="101">
        <f>IF(ISNUMBER(G190), $B199 * H190, "")</f>
        <v>5447.470817120623</v>
      </c>
      <c r="J190" s="15">
        <v>1365</v>
      </c>
      <c r="K190" s="32">
        <f t="shared" ref="K190:K193" si="104">IF(ISNUMBER(J190), (J190 - $B190) / $B190, "")</f>
        <v>6.2256809338521402E-2</v>
      </c>
      <c r="L190" s="18">
        <f>IF(ISNUMBER(J190), $B199 * K190, "")</f>
        <v>6225.6809338521398</v>
      </c>
      <c r="M190" s="31">
        <v>1355</v>
      </c>
      <c r="N190" s="32">
        <f t="shared" ref="N190:N193" si="105">IF(ISNUMBER(M190), (M190 - $B190) / $B190, "")</f>
        <v>5.4474708171206226E-2</v>
      </c>
      <c r="O190" s="18">
        <f>IF(ISNUMBER(M190), $B199 * N190, "")</f>
        <v>5447.470817120623</v>
      </c>
      <c r="Q190" s="223"/>
      <c r="R190" s="224"/>
      <c r="S190" s="225"/>
    </row>
    <row r="191" spans="1:19" ht="17.25" thickBot="1">
      <c r="A191" s="125" t="s">
        <v>174</v>
      </c>
      <c r="B191" s="126">
        <v>239</v>
      </c>
      <c r="C191" s="77">
        <v>-5.5335968399999998E-2</v>
      </c>
      <c r="D191" s="15">
        <v>242</v>
      </c>
      <c r="E191" s="32">
        <f t="shared" si="102"/>
        <v>1.2552301255230125E-2</v>
      </c>
      <c r="F191" s="18">
        <f>IF(ISNUMBER(D191), $B199 * E191, "")</f>
        <v>1255.2301255230125</v>
      </c>
      <c r="G191" s="31">
        <v>237</v>
      </c>
      <c r="H191" s="32">
        <f t="shared" si="103"/>
        <v>-8.368200836820083E-3</v>
      </c>
      <c r="I191" s="101">
        <f>IF(ISNUMBER(G191), $B199 * H191, "")</f>
        <v>-836.82008368200832</v>
      </c>
      <c r="J191" s="15">
        <v>239</v>
      </c>
      <c r="K191" s="32">
        <f t="shared" si="104"/>
        <v>0</v>
      </c>
      <c r="L191" s="18">
        <f>IF(ISNUMBER(J191), $B199 * K191, "")</f>
        <v>0</v>
      </c>
      <c r="M191" s="31">
        <v>240</v>
      </c>
      <c r="N191" s="32">
        <f t="shared" si="105"/>
        <v>4.1841004184100415E-3</v>
      </c>
      <c r="O191" s="18">
        <f>IF(ISNUMBER(M191), $B199 * N191, "")</f>
        <v>418.41004184100416</v>
      </c>
      <c r="Q191" s="216"/>
      <c r="R191" s="216"/>
      <c r="S191" s="216"/>
    </row>
    <row r="192" spans="1:19" ht="17.25" thickBot="1">
      <c r="A192" s="125" t="s">
        <v>118</v>
      </c>
      <c r="B192" s="126">
        <v>135</v>
      </c>
      <c r="C192" s="77">
        <v>-5.5944055899999998E-2</v>
      </c>
      <c r="D192" s="15">
        <v>141</v>
      </c>
      <c r="E192" s="32">
        <f t="shared" si="102"/>
        <v>4.4444444444444446E-2</v>
      </c>
      <c r="F192" s="18">
        <f>IF(ISNUMBER(D192), $B199 * E192, "")</f>
        <v>4444.4444444444443</v>
      </c>
      <c r="G192" s="31">
        <v>139</v>
      </c>
      <c r="H192" s="32">
        <f t="shared" si="103"/>
        <v>2.9629629629629631E-2</v>
      </c>
      <c r="I192" s="101">
        <f>IF(ISNUMBER(G192), $B199 * H192, "")</f>
        <v>2962.962962962963</v>
      </c>
      <c r="J192" s="15">
        <v>139</v>
      </c>
      <c r="K192" s="32">
        <f t="shared" si="104"/>
        <v>2.9629629629629631E-2</v>
      </c>
      <c r="L192" s="18">
        <f>IF(ISNUMBER(J192), $B199 * K192, "")</f>
        <v>2962.962962962963</v>
      </c>
      <c r="M192" s="31">
        <v>140</v>
      </c>
      <c r="N192" s="32">
        <f t="shared" si="105"/>
        <v>3.7037037037037035E-2</v>
      </c>
      <c r="O192" s="18">
        <f>IF(ISNUMBER(M192), $B199 * N192, "")</f>
        <v>3703.7037037037035</v>
      </c>
      <c r="Q192" s="226"/>
      <c r="R192" s="226"/>
      <c r="S192" s="226"/>
    </row>
    <row r="193" spans="1:19" ht="17.25" thickBot="1">
      <c r="A193" s="127" t="s">
        <v>72</v>
      </c>
      <c r="B193" s="128">
        <v>18.5</v>
      </c>
      <c r="C193" s="78">
        <v>-5.6122448999999998E-2</v>
      </c>
      <c r="D193" s="20">
        <v>18.8</v>
      </c>
      <c r="E193" s="21">
        <f t="shared" si="102"/>
        <v>1.6216216216216255E-2</v>
      </c>
      <c r="F193" s="22">
        <f>IF(ISNUMBER(D193), $B199 * E193, "")</f>
        <v>1621.6216216216255</v>
      </c>
      <c r="G193" s="30">
        <v>18.600000000000001</v>
      </c>
      <c r="H193" s="21">
        <f t="shared" si="103"/>
        <v>5.405405405405482E-3</v>
      </c>
      <c r="I193" s="105">
        <f>IF(ISNUMBER(G193), $B199 * H193, "")</f>
        <v>540.54054054054825</v>
      </c>
      <c r="J193" s="20">
        <v>18.600000000000001</v>
      </c>
      <c r="K193" s="21">
        <f t="shared" si="104"/>
        <v>5.405405405405482E-3</v>
      </c>
      <c r="L193" s="22">
        <f>IF(ISNUMBER(J193), $B199 * K193, "")</f>
        <v>540.54054054054825</v>
      </c>
      <c r="M193" s="30">
        <v>18.8</v>
      </c>
      <c r="N193" s="21">
        <f t="shared" si="105"/>
        <v>1.6216216216216255E-2</v>
      </c>
      <c r="O193" s="22">
        <f>IF(ISNUMBER(M193), $B199 * N193, "")</f>
        <v>1621.6216216216255</v>
      </c>
      <c r="Q193" s="226"/>
      <c r="R193" s="226"/>
      <c r="S193" s="226"/>
    </row>
    <row r="194" spans="1:19" ht="17.25" thickBot="1">
      <c r="A194" s="125" t="s">
        <v>96</v>
      </c>
      <c r="B194" s="129">
        <v>3335</v>
      </c>
      <c r="C194" s="80">
        <v>-5.7909604500000003E-2</v>
      </c>
      <c r="D194" s="106">
        <v>3400</v>
      </c>
      <c r="E194" s="107">
        <f>IF(ISNUMBER(D194), (D194 - $B194) / $B194, "")</f>
        <v>1.9490254872563718E-2</v>
      </c>
      <c r="F194" s="108">
        <f>IF(ISNUMBER(D194), $B199 * E194, "")</f>
        <v>1949.0254872563717</v>
      </c>
      <c r="G194" s="109">
        <v>3365</v>
      </c>
      <c r="H194" s="107">
        <f>IF(ISNUMBER(G194), (G194 - $B194) / $B194, "")</f>
        <v>8.9955022488755615E-3</v>
      </c>
      <c r="I194" s="110">
        <f>IF(ISNUMBER(G194), $B199 * H194, "")</f>
        <v>899.55022488755617</v>
      </c>
      <c r="J194" s="106">
        <v>3405</v>
      </c>
      <c r="K194" s="107">
        <f>IF(ISNUMBER(J194), (J194 - $B194) / $B194, "")</f>
        <v>2.0989505247376312E-2</v>
      </c>
      <c r="L194" s="108">
        <f>IF(ISNUMBER(J194), $B199 * K194, "")</f>
        <v>2098.9505247376314</v>
      </c>
      <c r="M194" s="109">
        <v>3375</v>
      </c>
      <c r="N194" s="107">
        <f>IF(ISNUMBER(M194), (M194 - $B194) / $B194, "")</f>
        <v>1.1994002998500749E-2</v>
      </c>
      <c r="O194" s="108">
        <f>IF(ISNUMBER(M194), $B199 * N194, "")</f>
        <v>1199.4002998500748</v>
      </c>
      <c r="Q194" s="216"/>
      <c r="R194" s="216"/>
      <c r="S194" s="216"/>
    </row>
    <row r="195" spans="1:19" ht="17.25" thickBot="1">
      <c r="A195" s="125" t="s">
        <v>57</v>
      </c>
      <c r="B195" s="126">
        <v>151</v>
      </c>
      <c r="C195" s="77">
        <v>-6.2111801199999997E-2</v>
      </c>
      <c r="D195" s="15">
        <v>156</v>
      </c>
      <c r="E195" s="32">
        <f t="shared" ref="E195:E198" si="106">IF(ISNUMBER(D195), (D195 - $B195) / $B195, "")</f>
        <v>3.3112582781456956E-2</v>
      </c>
      <c r="F195" s="18">
        <f>IF(ISNUMBER(D195), $B199 * E195, "")</f>
        <v>3311.2582781456958</v>
      </c>
      <c r="G195" s="31">
        <v>153</v>
      </c>
      <c r="H195" s="32">
        <f t="shared" ref="H195:H198" si="107">IF(ISNUMBER(G195), (G195 - $B195) / $B195, "")</f>
        <v>1.3245033112582781E-2</v>
      </c>
      <c r="I195" s="101">
        <f>IF(ISNUMBER(G195), $B199 * H195, "")</f>
        <v>1324.5033112582782</v>
      </c>
      <c r="J195" s="15">
        <v>154</v>
      </c>
      <c r="K195" s="32">
        <f t="shared" ref="K195:K198" si="108">IF(ISNUMBER(J195), (J195 - $B195) / $B195, "")</f>
        <v>1.9867549668874173E-2</v>
      </c>
      <c r="L195" s="18">
        <f>IF(ISNUMBER(J195), $B199 * K195, "")</f>
        <v>1986.7549668874174</v>
      </c>
      <c r="M195" s="31">
        <v>154</v>
      </c>
      <c r="N195" s="32">
        <f t="shared" ref="N195:N198" si="109">IF(ISNUMBER(M195), (M195 - $B195) / $B195, "")</f>
        <v>1.9867549668874173E-2</v>
      </c>
      <c r="O195" s="18">
        <f>IF(ISNUMBER(M195), $B199 * N195, "")</f>
        <v>1986.7549668874174</v>
      </c>
      <c r="Q195" s="216"/>
      <c r="R195" s="216"/>
      <c r="S195" s="216"/>
    </row>
    <row r="196" spans="1:19" ht="17.25" thickBot="1">
      <c r="A196" s="125" t="s">
        <v>198</v>
      </c>
      <c r="B196" s="126">
        <v>12020</v>
      </c>
      <c r="C196" s="77">
        <v>-6.3133281400000005E-2</v>
      </c>
      <c r="D196" s="15">
        <v>12770</v>
      </c>
      <c r="E196" s="32">
        <f t="shared" si="106"/>
        <v>6.2396006655574043E-2</v>
      </c>
      <c r="F196" s="18">
        <f>IF(ISNUMBER(D196), $B199 * E196, "")</f>
        <v>6239.6006655574047</v>
      </c>
      <c r="G196" s="31">
        <v>13210</v>
      </c>
      <c r="H196" s="32">
        <f t="shared" si="107"/>
        <v>9.9001663893510811E-2</v>
      </c>
      <c r="I196" s="101">
        <f>IF(ISNUMBER(G196), $B199 * H196, "")</f>
        <v>9900.1663893510813</v>
      </c>
      <c r="J196" s="15">
        <v>13840</v>
      </c>
      <c r="K196" s="32">
        <f t="shared" si="108"/>
        <v>0.15141430948419302</v>
      </c>
      <c r="L196" s="18">
        <f>IF(ISNUMBER(J196), $B199 * K196, "")</f>
        <v>15141.430948419302</v>
      </c>
      <c r="M196" s="31">
        <v>13800</v>
      </c>
      <c r="N196" s="32">
        <f t="shared" si="109"/>
        <v>0.1480865224625624</v>
      </c>
      <c r="O196" s="18">
        <f>IF(ISNUMBER(M196), $B199 * N196, "")</f>
        <v>14808.652246256241</v>
      </c>
      <c r="Q196" s="216"/>
      <c r="R196" s="216"/>
      <c r="S196" s="216"/>
    </row>
    <row r="197" spans="1:19">
      <c r="A197" s="125" t="s">
        <v>106</v>
      </c>
      <c r="B197" s="126">
        <v>35240</v>
      </c>
      <c r="C197" s="77">
        <v>-6.9693769799999999E-2</v>
      </c>
      <c r="D197" s="15">
        <v>36240</v>
      </c>
      <c r="E197" s="32">
        <f t="shared" si="106"/>
        <v>2.8376844494892167E-2</v>
      </c>
      <c r="F197" s="18">
        <f>IF(ISNUMBER(D197), $B199 * E197, "")</f>
        <v>2837.6844494892166</v>
      </c>
      <c r="G197" s="31">
        <v>34920</v>
      </c>
      <c r="H197" s="32">
        <f t="shared" si="107"/>
        <v>-9.0805902383654935E-3</v>
      </c>
      <c r="I197" s="101">
        <f>IF(ISNUMBER(G197), $B199 * H197, "")</f>
        <v>-908.05902383654939</v>
      </c>
      <c r="J197" s="15">
        <v>35040</v>
      </c>
      <c r="K197" s="32">
        <f t="shared" si="108"/>
        <v>-5.6753688989784334E-3</v>
      </c>
      <c r="L197" s="18">
        <f>IF(ISNUMBER(J197), $B199 * K197, "")</f>
        <v>-567.53688989784337</v>
      </c>
      <c r="M197" s="31">
        <v>34760</v>
      </c>
      <c r="N197" s="32">
        <f t="shared" si="109"/>
        <v>-1.362088535754824E-2</v>
      </c>
      <c r="O197" s="18">
        <f>IF(ISNUMBER(M197), $B199 * N197, "")</f>
        <v>-1362.0885357548241</v>
      </c>
      <c r="Q197" s="205"/>
      <c r="R197" s="206"/>
      <c r="S197" s="207"/>
    </row>
    <row r="198" spans="1:19" ht="17.25" thickBot="1">
      <c r="A198" s="130" t="s">
        <v>154</v>
      </c>
      <c r="B198" s="131">
        <v>9260</v>
      </c>
      <c r="C198" s="79">
        <v>-8.7684729099999997E-2</v>
      </c>
      <c r="D198" s="24">
        <v>11860</v>
      </c>
      <c r="E198" s="25">
        <f t="shared" si="106"/>
        <v>0.28077753779697623</v>
      </c>
      <c r="F198" s="104">
        <f>IF(ISNUMBER(D198), $B199 * E198, "")</f>
        <v>28077.753779697621</v>
      </c>
      <c r="G198" s="102">
        <v>12050</v>
      </c>
      <c r="H198" s="25">
        <f t="shared" si="107"/>
        <v>0.30129589632829373</v>
      </c>
      <c r="I198" s="103">
        <f>IF(ISNUMBER(G198), $B199 * H198, "")</f>
        <v>30129.589632829375</v>
      </c>
      <c r="J198" s="24">
        <v>12220</v>
      </c>
      <c r="K198" s="25">
        <f t="shared" si="108"/>
        <v>0.31965442764578833</v>
      </c>
      <c r="L198" s="104">
        <f>IF(ISNUMBER(J198), $B199 * K198, "")</f>
        <v>31965.442764578835</v>
      </c>
      <c r="M198" s="102">
        <v>11920</v>
      </c>
      <c r="N198" s="25">
        <f t="shared" si="109"/>
        <v>0.28725701943844495</v>
      </c>
      <c r="O198" s="104">
        <f>IF(ISNUMBER(M198), $B199 * N198, "")</f>
        <v>28725.701943844495</v>
      </c>
      <c r="Q198" s="208"/>
      <c r="R198" s="209"/>
      <c r="S198" s="210"/>
    </row>
    <row r="199" spans="1:19" ht="17.25" thickBot="1">
      <c r="A199" s="132" t="s">
        <v>271</v>
      </c>
      <c r="B199" s="269">
        <f>$B$37</f>
        <v>100000</v>
      </c>
      <c r="C199" s="270"/>
      <c r="D199" s="26" t="s">
        <v>272</v>
      </c>
      <c r="E199" s="27">
        <f>IF(COUNT(E179:E198), SUM(E179:E198) / COUNT(E179:E198), 0)</f>
        <v>4.2685894204810053E-2</v>
      </c>
      <c r="F199" s="28">
        <f>SUM(F179:F198)</f>
        <v>85371.788409620116</v>
      </c>
      <c r="G199" s="26" t="s">
        <v>272</v>
      </c>
      <c r="H199" s="27">
        <f>IF(COUNT(H179:H198), SUM(H179:H198) / COUNT(H179:H198), 0)</f>
        <v>2.7976064895044162E-2</v>
      </c>
      <c r="I199" s="28">
        <f>SUM(I179:I198)</f>
        <v>55952.129790088329</v>
      </c>
      <c r="J199" s="26" t="s">
        <v>272</v>
      </c>
      <c r="K199" s="27">
        <f>IF(COUNT(K179:K198), SUM(K179:K198) / COUNT(K179:K198), 0)</f>
        <v>3.8394249740040916E-2</v>
      </c>
      <c r="L199" s="28">
        <f>SUM(L179:L198)</f>
        <v>76788.499480081839</v>
      </c>
      <c r="M199" s="26" t="s">
        <v>272</v>
      </c>
      <c r="N199" s="27">
        <f>IF(COUNT(N179:N198), SUM(N179:N198) / COUNT(N179:N198), 0)</f>
        <v>3.704947378954436E-2</v>
      </c>
      <c r="O199" s="28">
        <f>SUM(O179:O198)</f>
        <v>74098.947579088723</v>
      </c>
      <c r="Q199" s="211"/>
      <c r="R199" s="212"/>
      <c r="S199" s="2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57261-8BA9-46A9-BEB6-98BCAE062BAF}">
  <sheetPr codeName="Sheet13"/>
  <dimension ref="A1:S199"/>
  <sheetViews>
    <sheetView topLeftCell="A171" zoomScaleNormal="100" workbookViewId="0">
      <selection activeCell="G194" sqref="G19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7" t="s">
        <v>0</v>
      </c>
      <c r="B1" s="228"/>
      <c r="C1" s="228"/>
      <c r="D1" s="228"/>
      <c r="E1" s="228"/>
      <c r="F1" s="229"/>
      <c r="G1" s="258">
        <v>44384</v>
      </c>
      <c r="H1" s="259"/>
      <c r="I1" s="260"/>
      <c r="J1" s="227" t="s">
        <v>1</v>
      </c>
      <c r="K1" s="228"/>
      <c r="L1" s="228"/>
      <c r="M1" s="228"/>
      <c r="N1" s="228"/>
      <c r="O1" s="229"/>
      <c r="Q1" s="227" t="s">
        <v>2</v>
      </c>
      <c r="R1" s="229"/>
    </row>
    <row r="2" spans="1:19" ht="17.25" customHeight="1">
      <c r="A2" s="117" t="s">
        <v>3</v>
      </c>
      <c r="B2" s="261" t="s">
        <v>8</v>
      </c>
      <c r="C2" s="262"/>
      <c r="D2" s="262"/>
      <c r="E2" s="262"/>
      <c r="F2" s="263"/>
      <c r="G2" s="255" t="s">
        <v>46</v>
      </c>
      <c r="H2" s="256"/>
      <c r="I2" s="257"/>
      <c r="J2" s="1" t="s">
        <v>3</v>
      </c>
      <c r="K2" s="261" t="s">
        <v>321</v>
      </c>
      <c r="L2" s="262"/>
      <c r="M2" s="262"/>
      <c r="N2" s="262"/>
      <c r="O2" s="263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329</v>
      </c>
      <c r="C3" s="253"/>
      <c r="D3" s="253"/>
      <c r="E3" s="253"/>
      <c r="F3" s="254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241,678 KRW (12.08%)</v>
      </c>
      <c r="H3" s="249"/>
      <c r="I3" s="250"/>
      <c r="J3" s="4" t="s">
        <v>7</v>
      </c>
      <c r="K3" s="252" t="s">
        <v>322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55" t="s">
        <v>44</v>
      </c>
      <c r="H4" s="256"/>
      <c r="I4" s="257"/>
      <c r="J4" s="4" t="s">
        <v>11</v>
      </c>
      <c r="K4" s="252" t="s">
        <v>323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320</v>
      </c>
      <c r="C5" s="253"/>
      <c r="D5" s="253"/>
      <c r="E5" s="253"/>
      <c r="F5" s="254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37,391 KRW (1.87%)</v>
      </c>
      <c r="H5" s="249"/>
      <c r="I5" s="250"/>
      <c r="J5" s="4" t="s">
        <v>15</v>
      </c>
      <c r="K5" s="252" t="s">
        <v>324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55" t="s">
        <v>45</v>
      </c>
      <c r="H6" s="256"/>
      <c r="I6" s="257"/>
      <c r="J6" s="4" t="s">
        <v>18</v>
      </c>
      <c r="K6" s="252" t="s">
        <v>325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107,135 KRW (5.36%)</v>
      </c>
      <c r="H7" s="249"/>
      <c r="I7" s="250"/>
      <c r="J7" s="4" t="s">
        <v>21</v>
      </c>
      <c r="K7" s="252" t="s">
        <v>326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55" t="s">
        <v>256</v>
      </c>
      <c r="H8" s="256"/>
      <c r="I8" s="257"/>
      <c r="J8" s="4" t="s">
        <v>24</v>
      </c>
      <c r="K8" s="252"/>
      <c r="L8" s="253"/>
      <c r="M8" s="253"/>
      <c r="N8" s="253"/>
      <c r="O8" s="254"/>
      <c r="Q8" s="227" t="s">
        <v>27</v>
      </c>
      <c r="R8" s="229"/>
    </row>
    <row r="9" spans="1:19" ht="17.25" thickBot="1">
      <c r="A9" s="118" t="s">
        <v>28</v>
      </c>
      <c r="B9" s="252"/>
      <c r="C9" s="253"/>
      <c r="D9" s="253"/>
      <c r="E9" s="253"/>
      <c r="F9" s="254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42,929 KRW (2.15%)</v>
      </c>
      <c r="H9" s="249"/>
      <c r="I9" s="250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55" t="s">
        <v>47</v>
      </c>
      <c r="H10" s="256"/>
      <c r="I10" s="257"/>
      <c r="J10" s="4" t="s">
        <v>30</v>
      </c>
      <c r="K10" s="252" t="s">
        <v>327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45" t="s">
        <v>328</v>
      </c>
      <c r="C11" s="246"/>
      <c r="D11" s="246"/>
      <c r="E11" s="246"/>
      <c r="F11" s="247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45" t="s">
        <v>319</v>
      </c>
      <c r="L11" s="246"/>
      <c r="M11" s="246"/>
      <c r="N11" s="246"/>
      <c r="O11" s="247"/>
      <c r="Q11" s="65" t="s">
        <v>33</v>
      </c>
      <c r="R11" s="8">
        <v>1000</v>
      </c>
    </row>
    <row r="12" spans="1:19" ht="17.25" thickBot="1"/>
    <row r="13" spans="1:19" ht="17.25" customHeight="1" thickBot="1">
      <c r="A13" s="227" t="s">
        <v>34</v>
      </c>
      <c r="B13" s="228"/>
      <c r="C13" s="228"/>
      <c r="D13" s="228"/>
      <c r="E13" s="228"/>
      <c r="F13" s="228"/>
      <c r="G13" s="228"/>
      <c r="H13" s="228"/>
      <c r="I13" s="228"/>
      <c r="J13" s="228"/>
      <c r="K13" s="228"/>
      <c r="L13" s="228"/>
      <c r="M13" s="228"/>
      <c r="N13" s="228"/>
      <c r="O13" s="229"/>
      <c r="Q13" s="226"/>
      <c r="R13" s="226"/>
      <c r="S13" s="226"/>
    </row>
    <row r="14" spans="1:19" ht="17.25" customHeight="1" thickBot="1">
      <c r="A14" s="181" t="s">
        <v>35</v>
      </c>
      <c r="B14" s="227" t="s">
        <v>36</v>
      </c>
      <c r="C14" s="229"/>
      <c r="D14" s="227" t="s">
        <v>37</v>
      </c>
      <c r="E14" s="228"/>
      <c r="F14" s="229"/>
      <c r="G14" s="230">
        <f>_xlfn.IFNA(VLOOKUP(B14, 현재가테이블!$B$2:$D$200, 2, FALSE), "-")</f>
        <v>39916000</v>
      </c>
      <c r="H14" s="231"/>
      <c r="I14" s="232"/>
      <c r="J14" s="227" t="s">
        <v>38</v>
      </c>
      <c r="K14" s="228"/>
      <c r="L14" s="229"/>
      <c r="M14" s="233">
        <f>_xlfn.IFNA(VLOOKUP(B14, 현재가테이블!$B$2:$D$200, 3, FALSE), "-")</f>
        <v>7.3184273000000003E-3</v>
      </c>
      <c r="N14" s="234"/>
      <c r="O14" s="235"/>
      <c r="Q14" s="226"/>
      <c r="R14" s="226"/>
      <c r="S14" s="226"/>
    </row>
    <row r="15" spans="1:19" ht="17.25" customHeight="1" thickBot="1">
      <c r="A15" s="264" t="s">
        <v>39</v>
      </c>
      <c r="B15" s="265" t="str">
        <f>TEXT($G$1, "[$-ko-KR]yyyy-mm-dd(ddd) ") &amp; "오전 00:00"</f>
        <v>2021-07-07(수) 오전 00:00</v>
      </c>
      <c r="C15" s="266"/>
      <c r="D15" s="240" t="str">
        <f>TEXT($G$1, "[$-ko-KR]yyyy-mm-dd(ddd) ") &amp; "오후 14:00"</f>
        <v>2021-07-07(수) 오후 14:00</v>
      </c>
      <c r="E15" s="241"/>
      <c r="F15" s="242"/>
      <c r="G15" s="240" t="str">
        <f>TEXT($G$1, "[$-ko-KR]yyyy-mm-dd(ddd) ") &amp; "오후 19:00"</f>
        <v>2021-07-07(수) 오후 19:00</v>
      </c>
      <c r="H15" s="241"/>
      <c r="I15" s="242"/>
      <c r="J15" s="240" t="str">
        <f>TEXT($G$1, "[$-ko-KR]yyyy-mm-dd(ddd) ") &amp; "오후 21:00"</f>
        <v>2021-07-07(수) 오후 21:00</v>
      </c>
      <c r="K15" s="241"/>
      <c r="L15" s="242"/>
      <c r="M15" s="240" t="str">
        <f>TEXT($G$1+1, "[$-ko-KR]yyyy-mm-dd(ddd) ") &amp; "오전 00:00"</f>
        <v>2021-07-08(목) 오전 00:00</v>
      </c>
      <c r="N15" s="241"/>
      <c r="O15" s="242"/>
      <c r="Q15" s="226"/>
      <c r="R15" s="226"/>
      <c r="S15" s="226"/>
    </row>
    <row r="16" spans="1:19" ht="17.25" customHeight="1" thickBot="1">
      <c r="A16" s="26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6"/>
      <c r="R16" s="216"/>
      <c r="S16" s="21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6"/>
      <c r="R19" s="216"/>
      <c r="S19" s="21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6"/>
      <c r="R20" s="216"/>
      <c r="S20" s="21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6"/>
      <c r="R21" s="216"/>
      <c r="S21" s="21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6"/>
      <c r="R22" s="216"/>
      <c r="S22" s="21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6"/>
      <c r="R23" s="216"/>
      <c r="S23" s="21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6"/>
      <c r="R24" s="216"/>
      <c r="S24" s="21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6"/>
      <c r="R29" s="216"/>
      <c r="S29" s="21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6"/>
      <c r="R32" s="216"/>
      <c r="S32" s="21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6"/>
      <c r="R33" s="216"/>
      <c r="S33" s="21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6"/>
      <c r="R34" s="216"/>
      <c r="S34" s="21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5"/>
      <c r="R35" s="206"/>
      <c r="S35" s="2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8"/>
      <c r="R36" s="209"/>
      <c r="S36" s="210"/>
    </row>
    <row r="37" spans="1:19" ht="17.25" customHeight="1" thickBot="1">
      <c r="A37" s="132" t="s">
        <v>42</v>
      </c>
      <c r="B37" s="269">
        <v>100000</v>
      </c>
      <c r="C37" s="27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1"/>
      <c r="R37" s="212"/>
      <c r="S37" s="213"/>
    </row>
    <row r="38" spans="1:19" ht="17.25" customHeight="1"/>
    <row r="39" spans="1:19" ht="17.25" customHeight="1" thickBot="1"/>
    <row r="40" spans="1:19" ht="17.25" customHeight="1" thickBot="1">
      <c r="A40" s="227" t="s">
        <v>44</v>
      </c>
      <c r="B40" s="228"/>
      <c r="C40" s="228"/>
      <c r="D40" s="228"/>
      <c r="E40" s="228"/>
      <c r="F40" s="228"/>
      <c r="G40" s="228"/>
      <c r="H40" s="228"/>
      <c r="I40" s="228"/>
      <c r="J40" s="228"/>
      <c r="K40" s="228"/>
      <c r="L40" s="228"/>
      <c r="M40" s="228"/>
      <c r="N40" s="228"/>
      <c r="O40" s="229"/>
      <c r="Q40" s="226"/>
      <c r="R40" s="226"/>
      <c r="S40" s="226"/>
    </row>
    <row r="41" spans="1:19" ht="17.25" customHeight="1" thickBot="1">
      <c r="A41" s="181" t="s">
        <v>268</v>
      </c>
      <c r="B41" s="227" t="s">
        <v>49</v>
      </c>
      <c r="C41" s="229"/>
      <c r="D41" s="227" t="s">
        <v>58</v>
      </c>
      <c r="E41" s="228"/>
      <c r="F41" s="229"/>
      <c r="G41" s="230">
        <f>_xlfn.IFNA(VLOOKUP(B41, 현재가테이블!$B$2:$D$200, 2, FALSE), "-")</f>
        <v>39916000</v>
      </c>
      <c r="H41" s="231"/>
      <c r="I41" s="232"/>
      <c r="J41" s="227" t="s">
        <v>59</v>
      </c>
      <c r="K41" s="228"/>
      <c r="L41" s="229"/>
      <c r="M41" s="233">
        <f>_xlfn.IFNA(VLOOKUP(B41, 현재가테이블!$B$2:$D$200, 3, FALSE), "-")</f>
        <v>7.3184273000000003E-3</v>
      </c>
      <c r="N41" s="234"/>
      <c r="O41" s="235"/>
      <c r="Q41" s="226"/>
      <c r="R41" s="226"/>
      <c r="S41" s="226"/>
    </row>
    <row r="42" spans="1:19" ht="17.25" customHeight="1" thickBot="1">
      <c r="A42" s="271" t="s">
        <v>55</v>
      </c>
      <c r="B42" s="267" t="str">
        <f>TEXT($G$1, "[$-ko-KR]yyyy-mm-dd(ddd) ") &amp; "오전 00:00"</f>
        <v>2021-07-07(수) 오전 00:00</v>
      </c>
      <c r="C42" s="268"/>
      <c r="D42" s="240" t="str">
        <f>TEXT($G$1, "[$-ko-KR]yyyy-mm-dd(ddd) ") &amp; "오후 14:00"</f>
        <v>2021-07-07(수) 오후 14:00</v>
      </c>
      <c r="E42" s="241"/>
      <c r="F42" s="242"/>
      <c r="G42" s="240" t="str">
        <f>TEXT($G$1, "[$-ko-KR]yyyy-mm-dd(ddd) ") &amp; "오후 19:00"</f>
        <v>2021-07-07(수) 오후 19:00</v>
      </c>
      <c r="H42" s="241"/>
      <c r="I42" s="242"/>
      <c r="J42" s="240" t="str">
        <f>TEXT($G$1, "[$-ko-KR]yyyy-mm-dd(ddd) ") &amp; "오후 21:00"</f>
        <v>2021-07-07(수) 오후 21:00</v>
      </c>
      <c r="K42" s="241"/>
      <c r="L42" s="242"/>
      <c r="M42" s="240" t="str">
        <f>TEXT($G$1+1, "[$-ko-KR]yyyy-mm-dd(ddd) ") &amp; "오전 00:00"</f>
        <v>2021-07-08(목) 오전 00:00</v>
      </c>
      <c r="N42" s="241"/>
      <c r="O42" s="242"/>
      <c r="Q42" s="226"/>
      <c r="R42" s="226"/>
      <c r="S42" s="226"/>
    </row>
    <row r="43" spans="1:19" ht="17.25" customHeight="1" thickBot="1">
      <c r="A43" s="27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2" t="s">
        <v>58</v>
      </c>
      <c r="H43" s="183" t="s">
        <v>269</v>
      </c>
      <c r="I43" s="18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6"/>
      <c r="R43" s="216"/>
      <c r="S43" s="216"/>
    </row>
    <row r="44" spans="1:19" ht="17.25" customHeight="1" thickBot="1">
      <c r="A44" s="123" t="s">
        <v>332</v>
      </c>
      <c r="B44" s="124">
        <v>13.2</v>
      </c>
      <c r="C44" s="76">
        <v>7.3170731700000005E-2</v>
      </c>
      <c r="D44" s="13">
        <v>14</v>
      </c>
      <c r="E44" s="14">
        <f>IF(ISNUMBER(D44), (D44 - $B44) / $B44, "")</f>
        <v>6.0606060606060663E-2</v>
      </c>
      <c r="F44" s="16">
        <f>IF(ISNUMBER(D44), $B64 * E44, "")</f>
        <v>6060.6060606060664</v>
      </c>
      <c r="G44" s="29">
        <v>14</v>
      </c>
      <c r="H44" s="14">
        <f>IF(ISNUMBER(G44), (G44 - $B44) / $B44, "")</f>
        <v>6.0606060606060663E-2</v>
      </c>
      <c r="I44" s="100">
        <f>IF(ISNUMBER(G44), $B64 * H44, "")</f>
        <v>6060.6060606060664</v>
      </c>
      <c r="J44" s="13">
        <v>14.2</v>
      </c>
      <c r="K44" s="14">
        <f>IF(ISNUMBER(J44), (J44 - $B44) / $B44, "")</f>
        <v>7.575757575757576E-2</v>
      </c>
      <c r="L44" s="16">
        <f>IF(ISNUMBER(J44), $B64 * K44, "")</f>
        <v>7575.757575757576</v>
      </c>
      <c r="M44" s="29">
        <v>14.1</v>
      </c>
      <c r="N44" s="14">
        <f>IF(ISNUMBER(M44), (M44 - $B44) / $B44, "")</f>
        <v>6.8181818181818218E-2</v>
      </c>
      <c r="O44" s="16">
        <f>IF(ISNUMBER(M44), $B64 * N44, "")</f>
        <v>6818.1818181818217</v>
      </c>
      <c r="Q44" s="226"/>
      <c r="R44" s="226"/>
      <c r="S44" s="226"/>
    </row>
    <row r="45" spans="1:19" ht="17.25" customHeight="1" thickBot="1">
      <c r="A45" s="125" t="s">
        <v>188</v>
      </c>
      <c r="B45" s="126">
        <v>10.9</v>
      </c>
      <c r="C45" s="77">
        <v>6.8627451000000006E-2</v>
      </c>
      <c r="D45" s="15">
        <v>11.3</v>
      </c>
      <c r="E45" s="32">
        <f t="shared" ref="E45:E48" si="14">IF(ISNUMBER(D45), (D45 - $B45) / $B45, "")</f>
        <v>3.6697247706422048E-2</v>
      </c>
      <c r="F45" s="18">
        <f>IF(ISNUMBER(D45), $B64 * E45, "")</f>
        <v>3669.7247706422049</v>
      </c>
      <c r="G45" s="31">
        <v>11.6</v>
      </c>
      <c r="H45" s="32">
        <f t="shared" ref="H45:H48" si="15">IF(ISNUMBER(G45), (G45 - $B45) / $B45, "")</f>
        <v>6.4220183486238466E-2</v>
      </c>
      <c r="I45" s="101">
        <f>IF(ISNUMBER(G45), $B64 * H45, "")</f>
        <v>6422.0183486238466</v>
      </c>
      <c r="J45" s="15">
        <v>11.6</v>
      </c>
      <c r="K45" s="32">
        <f t="shared" ref="K45:K48" si="16">IF(ISNUMBER(J45), (J45 - $B45) / $B45, "")</f>
        <v>6.4220183486238466E-2</v>
      </c>
      <c r="L45" s="18">
        <f>IF(ISNUMBER(J45), $B64 * K45, "")</f>
        <v>6422.0183486238466</v>
      </c>
      <c r="M45" s="31">
        <v>11.3</v>
      </c>
      <c r="N45" s="32">
        <f t="shared" ref="N45:N48" si="17">IF(ISNUMBER(M45), (M45 - $B45) / $B45, "")</f>
        <v>3.6697247706422048E-2</v>
      </c>
      <c r="O45" s="18">
        <f>IF(ISNUMBER(M45), $B64 * N45, "")</f>
        <v>3669.7247706422049</v>
      </c>
      <c r="Q45" s="226"/>
      <c r="R45" s="226"/>
      <c r="S45" s="226"/>
    </row>
    <row r="46" spans="1:19" ht="17.25" customHeight="1" thickBot="1">
      <c r="A46" s="125" t="s">
        <v>239</v>
      </c>
      <c r="B46" s="126">
        <v>82.2</v>
      </c>
      <c r="C46" s="77">
        <v>4.9808429100000003E-2</v>
      </c>
      <c r="D46" s="15">
        <v>81.3</v>
      </c>
      <c r="E46" s="32">
        <f t="shared" si="14"/>
        <v>-1.0948905109489119E-2</v>
      </c>
      <c r="F46" s="18">
        <f>IF(ISNUMBER(D46), $B64 * E46, "")</f>
        <v>-1094.8905109489119</v>
      </c>
      <c r="G46" s="31">
        <v>81.5</v>
      </c>
      <c r="H46" s="32">
        <f t="shared" si="15"/>
        <v>-8.5158150851581856E-3</v>
      </c>
      <c r="I46" s="101">
        <f>IF(ISNUMBER(G46), $B64 * H46, "")</f>
        <v>-851.58150851581854</v>
      </c>
      <c r="J46" s="15">
        <v>83.1</v>
      </c>
      <c r="K46" s="32">
        <f t="shared" si="16"/>
        <v>1.0948905109488948E-2</v>
      </c>
      <c r="L46" s="18">
        <f>IF(ISNUMBER(J46), $B64 * K46, "")</f>
        <v>1094.8905109488946</v>
      </c>
      <c r="M46" s="31">
        <v>82.1</v>
      </c>
      <c r="N46" s="32">
        <f t="shared" si="17"/>
        <v>-1.2165450121655538E-3</v>
      </c>
      <c r="O46" s="18">
        <f>IF(ISNUMBER(M46), $B64 * N46, "")</f>
        <v>-121.65450121655537</v>
      </c>
      <c r="Q46" s="216"/>
      <c r="R46" s="216"/>
      <c r="S46" s="216"/>
    </row>
    <row r="47" spans="1:19" ht="17.25" customHeight="1" thickBot="1">
      <c r="A47" s="125" t="s">
        <v>216</v>
      </c>
      <c r="B47" s="126">
        <v>9.77</v>
      </c>
      <c r="C47" s="77">
        <v>1.24352332E-2</v>
      </c>
      <c r="D47" s="15">
        <v>9.64</v>
      </c>
      <c r="E47" s="32">
        <f t="shared" si="14"/>
        <v>-1.3306038894575128E-2</v>
      </c>
      <c r="F47" s="18">
        <f>IF(ISNUMBER(D47), $B64 * E47, "")</f>
        <v>-1330.6038894575129</v>
      </c>
      <c r="G47" s="31">
        <v>9.56</v>
      </c>
      <c r="H47" s="32">
        <f t="shared" si="15"/>
        <v>-2.1494370522006048E-2</v>
      </c>
      <c r="I47" s="101">
        <f>IF(ISNUMBER(G47), $B64 * H47, "")</f>
        <v>-2149.4370522006047</v>
      </c>
      <c r="J47" s="15">
        <v>9.6300000000000008</v>
      </c>
      <c r="K47" s="32">
        <f t="shared" si="16"/>
        <v>-1.4329580348003971E-2</v>
      </c>
      <c r="L47" s="18">
        <f>IF(ISNUMBER(J47), $B64 * K47, "")</f>
        <v>-1432.9580348003972</v>
      </c>
      <c r="M47" s="31">
        <v>9.58</v>
      </c>
      <c r="N47" s="32">
        <f t="shared" si="17"/>
        <v>-1.9447287615148363E-2</v>
      </c>
      <c r="O47" s="18">
        <f>IF(ISNUMBER(M47), $B64 * N47, "")</f>
        <v>-1944.7287615148364</v>
      </c>
      <c r="Q47" s="216"/>
      <c r="R47" s="216"/>
      <c r="S47" s="216"/>
    </row>
    <row r="48" spans="1:19" ht="17.25" customHeight="1" thickBot="1">
      <c r="A48" s="127" t="s">
        <v>235</v>
      </c>
      <c r="B48" s="128">
        <v>61.8</v>
      </c>
      <c r="C48" s="78">
        <v>6.5146580000000004E-3</v>
      </c>
      <c r="D48" s="20">
        <v>60.6</v>
      </c>
      <c r="E48" s="21">
        <f t="shared" si="14"/>
        <v>-1.9417475728155272E-2</v>
      </c>
      <c r="F48" s="22">
        <f>IF(ISNUMBER(D48), $B64 * E48, "")</f>
        <v>-1941.7475728155273</v>
      </c>
      <c r="G48" s="30">
        <v>60.6</v>
      </c>
      <c r="H48" s="21">
        <f t="shared" si="15"/>
        <v>-1.9417475728155272E-2</v>
      </c>
      <c r="I48" s="105">
        <f>IF(ISNUMBER(G48), $B64 * H48, "")</f>
        <v>-1941.7475728155273</v>
      </c>
      <c r="J48" s="20">
        <v>61.1</v>
      </c>
      <c r="K48" s="21">
        <f t="shared" si="16"/>
        <v>-1.132686084142388E-2</v>
      </c>
      <c r="L48" s="22">
        <f>IF(ISNUMBER(J48), $B64 * K48, "")</f>
        <v>-1132.6860841423879</v>
      </c>
      <c r="M48" s="30">
        <v>60.6</v>
      </c>
      <c r="N48" s="21">
        <f t="shared" si="17"/>
        <v>-1.9417475728155272E-2</v>
      </c>
      <c r="O48" s="22">
        <f>IF(ISNUMBER(M48), $B64 * N48, "")</f>
        <v>-1941.7475728155273</v>
      </c>
      <c r="Q48" s="216"/>
      <c r="R48" s="216"/>
      <c r="S48" s="216"/>
    </row>
    <row r="49" spans="1:19" ht="17.25" customHeight="1" thickBot="1">
      <c r="A49" s="125" t="s">
        <v>178</v>
      </c>
      <c r="B49" s="129">
        <v>16</v>
      </c>
      <c r="C49" s="80">
        <v>6.2893081999999996E-3</v>
      </c>
      <c r="D49" s="106">
        <v>15.8</v>
      </c>
      <c r="E49" s="107">
        <f>IF(ISNUMBER(D49), (D49 - $B49) / $B49, "")</f>
        <v>-1.2499999999999956E-2</v>
      </c>
      <c r="F49" s="108">
        <f>IF(ISNUMBER(D49), $B64 * E49, "")</f>
        <v>-1249.9999999999955</v>
      </c>
      <c r="G49" s="109">
        <v>15.7</v>
      </c>
      <c r="H49" s="107">
        <f>IF(ISNUMBER(G49), (G49 - $B49) / $B49, "")</f>
        <v>-1.8750000000000044E-2</v>
      </c>
      <c r="I49" s="110">
        <f>IF(ISNUMBER(G49), $B64 * H49, "")</f>
        <v>-1875.0000000000045</v>
      </c>
      <c r="J49" s="106">
        <v>15.9</v>
      </c>
      <c r="K49" s="107">
        <f>IF(ISNUMBER(J49), (J49 - $B49) / $B49, "")</f>
        <v>-6.2499999999999778E-3</v>
      </c>
      <c r="L49" s="108">
        <f>IF(ISNUMBER(J49), $B64 * K49, "")</f>
        <v>-624.99999999999773</v>
      </c>
      <c r="M49" s="109">
        <v>15.6</v>
      </c>
      <c r="N49" s="107">
        <f>IF(ISNUMBER(M49), (M49 - $B49) / $B49, "")</f>
        <v>-2.5000000000000022E-2</v>
      </c>
      <c r="O49" s="108">
        <f>IF(ISNUMBER(M49), $B64 * N49, "")</f>
        <v>-2500.0000000000023</v>
      </c>
      <c r="Q49" s="216"/>
      <c r="R49" s="216"/>
      <c r="S49" s="216"/>
    </row>
    <row r="50" spans="1:19" ht="17.25" customHeight="1" thickBot="1">
      <c r="A50" s="125" t="s">
        <v>98</v>
      </c>
      <c r="B50" s="126">
        <v>3.11</v>
      </c>
      <c r="C50" s="77">
        <v>3.2258065000000001E-3</v>
      </c>
      <c r="D50" s="15">
        <v>3.15</v>
      </c>
      <c r="E50" s="32">
        <f t="shared" ref="E50:E53" si="18">IF(ISNUMBER(D50), (D50 - $B50) / $B50, "")</f>
        <v>1.2861736334405157E-2</v>
      </c>
      <c r="F50" s="18">
        <f>IF(ISNUMBER(D50), $B64 * E50, "")</f>
        <v>1286.1736334405157</v>
      </c>
      <c r="G50" s="31">
        <v>3.14</v>
      </c>
      <c r="H50" s="32">
        <f t="shared" ref="H50:H53" si="19">IF(ISNUMBER(G50), (G50 - $B50) / $B50, "")</f>
        <v>9.6463022508039391E-3</v>
      </c>
      <c r="I50" s="101">
        <f>IF(ISNUMBER(G50), $B64 * H50, "")</f>
        <v>964.63022508039387</v>
      </c>
      <c r="J50" s="15">
        <v>3.16</v>
      </c>
      <c r="K50" s="32">
        <f t="shared" ref="K50:K53" si="20">IF(ISNUMBER(J50), (J50 - $B50) / $B50, "")</f>
        <v>1.6077170418006517E-2</v>
      </c>
      <c r="L50" s="18">
        <f>IF(ISNUMBER(J50), $B64 * K50, "")</f>
        <v>1607.7170418006517</v>
      </c>
      <c r="M50" s="31">
        <v>3.16</v>
      </c>
      <c r="N50" s="32">
        <f t="shared" ref="N50:N53" si="21">IF(ISNUMBER(M50), (M50 - $B50) / $B50, "")</f>
        <v>1.6077170418006517E-2</v>
      </c>
      <c r="O50" s="18">
        <f>IF(ISNUMBER(M50), $B64 * N50, "")</f>
        <v>1607.7170418006517</v>
      </c>
      <c r="Q50" s="216"/>
      <c r="R50" s="216"/>
      <c r="S50" s="216"/>
    </row>
    <row r="51" spans="1:19" ht="17.25" customHeight="1" thickBot="1">
      <c r="A51" s="125" t="s">
        <v>130</v>
      </c>
      <c r="B51" s="126">
        <v>90.1</v>
      </c>
      <c r="C51" s="77">
        <v>2.2246941000000002E-3</v>
      </c>
      <c r="D51" s="15">
        <v>89.2</v>
      </c>
      <c r="E51" s="32">
        <f t="shared" si="18"/>
        <v>-9.9889012208656102E-3</v>
      </c>
      <c r="F51" s="18">
        <f>IF(ISNUMBER(D51), $B64 * E51, "")</f>
        <v>-998.89012208656106</v>
      </c>
      <c r="G51" s="31">
        <v>89.4</v>
      </c>
      <c r="H51" s="32">
        <f t="shared" si="19"/>
        <v>-7.7691453940065339E-3</v>
      </c>
      <c r="I51" s="101">
        <f>IF(ISNUMBER(G51), $B64 * H51, "")</f>
        <v>-776.91453940065344</v>
      </c>
      <c r="J51" s="15">
        <v>90.3</v>
      </c>
      <c r="K51" s="32">
        <f t="shared" si="20"/>
        <v>2.2197558268590772E-3</v>
      </c>
      <c r="L51" s="18">
        <f>IF(ISNUMBER(J51), $B64 * K51, "")</f>
        <v>221.97558268590771</v>
      </c>
      <c r="M51" s="31">
        <v>90.3</v>
      </c>
      <c r="N51" s="32">
        <f t="shared" si="21"/>
        <v>2.2197558268590772E-3</v>
      </c>
      <c r="O51" s="18">
        <f>IF(ISNUMBER(M51), $B64 * N51, "")</f>
        <v>221.97558268590771</v>
      </c>
      <c r="Q51" s="216"/>
      <c r="R51" s="216"/>
      <c r="S51" s="216"/>
    </row>
    <row r="52" spans="1:19" ht="17.25" customHeight="1" thickBot="1">
      <c r="A52" s="125" t="s">
        <v>128</v>
      </c>
      <c r="B52" s="126">
        <v>98</v>
      </c>
      <c r="C52" s="77">
        <v>2.0449897999999999E-3</v>
      </c>
      <c r="D52" s="15">
        <v>99.4</v>
      </c>
      <c r="E52" s="32">
        <f t="shared" si="18"/>
        <v>1.4285714285714344E-2</v>
      </c>
      <c r="F52" s="18">
        <f>IF(ISNUMBER(D52), $B64 * E52, "")</f>
        <v>1428.5714285714344</v>
      </c>
      <c r="G52" s="31">
        <v>98.4</v>
      </c>
      <c r="H52" s="32">
        <f t="shared" si="19"/>
        <v>4.0816326530612821E-3</v>
      </c>
      <c r="I52" s="101">
        <f>IF(ISNUMBER(G52), $B64 * H52, "")</f>
        <v>408.16326530612821</v>
      </c>
      <c r="J52" s="15">
        <v>99.5</v>
      </c>
      <c r="K52" s="32">
        <f t="shared" si="20"/>
        <v>1.5306122448979591E-2</v>
      </c>
      <c r="L52" s="18">
        <f>IF(ISNUMBER(J52), $B64 * K52, "")</f>
        <v>1530.612244897959</v>
      </c>
      <c r="M52" s="31">
        <v>99.1</v>
      </c>
      <c r="N52" s="32">
        <f t="shared" si="21"/>
        <v>1.1224489795918309E-2</v>
      </c>
      <c r="O52" s="18">
        <f>IF(ISNUMBER(M52), $B64 * N52, "")</f>
        <v>1122.4489795918309</v>
      </c>
      <c r="Q52" s="33"/>
      <c r="R52" s="33"/>
    </row>
    <row r="53" spans="1:19" ht="17.25" customHeight="1" thickBot="1">
      <c r="A53" s="130" t="s">
        <v>150</v>
      </c>
      <c r="B53" s="131">
        <v>10.6</v>
      </c>
      <c r="C53" s="79">
        <v>0</v>
      </c>
      <c r="D53" s="24">
        <v>10.5</v>
      </c>
      <c r="E53" s="25">
        <f t="shared" si="18"/>
        <v>-9.4339622641509101E-3</v>
      </c>
      <c r="F53" s="104">
        <f>IF(ISNUMBER(D53), $B64 * E53, "")</f>
        <v>-943.39622641509106</v>
      </c>
      <c r="G53" s="102">
        <v>10.4</v>
      </c>
      <c r="H53" s="25">
        <f t="shared" si="19"/>
        <v>-1.886792452830182E-2</v>
      </c>
      <c r="I53" s="103">
        <f>IF(ISNUMBER(G53), $B64 * H53, "")</f>
        <v>-1886.7924528301821</v>
      </c>
      <c r="J53" s="24">
        <v>10.5</v>
      </c>
      <c r="K53" s="25">
        <f t="shared" si="20"/>
        <v>-9.4339622641509101E-3</v>
      </c>
      <c r="L53" s="104">
        <f>IF(ISNUMBER(J53), $B64 * K53, "")</f>
        <v>-943.39622641509106</v>
      </c>
      <c r="M53" s="102">
        <v>10.4</v>
      </c>
      <c r="N53" s="25">
        <f t="shared" si="21"/>
        <v>-1.886792452830182E-2</v>
      </c>
      <c r="O53" s="104">
        <f>IF(ISNUMBER(M53), $B64 * N53, "")</f>
        <v>-1886.7924528301821</v>
      </c>
      <c r="Q53" s="217"/>
      <c r="R53" s="218"/>
      <c r="S53" s="219"/>
    </row>
    <row r="54" spans="1:19" ht="17.25" customHeight="1">
      <c r="A54" s="123" t="s">
        <v>152</v>
      </c>
      <c r="B54" s="124">
        <v>75.3</v>
      </c>
      <c r="C54" s="76">
        <v>-2.6490066E-3</v>
      </c>
      <c r="D54" s="13">
        <v>76.2</v>
      </c>
      <c r="E54" s="14">
        <f>IF(ISNUMBER(D54), (D54 - $B54) / $B54, "")</f>
        <v>1.1952191235059837E-2</v>
      </c>
      <c r="F54" s="16">
        <f>IF(ISNUMBER(D54), $B64 * E54, "")</f>
        <v>1195.2191235059838</v>
      </c>
      <c r="G54" s="29">
        <v>76.3</v>
      </c>
      <c r="H54" s="14">
        <f>IF(ISNUMBER(G54), (G54 - $B54) / $B54, "")</f>
        <v>1.3280212483399735E-2</v>
      </c>
      <c r="I54" s="100">
        <f>IF(ISNUMBER(G54), $B64 * H54, "")</f>
        <v>1328.0212483399735</v>
      </c>
      <c r="J54" s="13">
        <v>76.5</v>
      </c>
      <c r="K54" s="14">
        <f>IF(ISNUMBER(J54), (J54 - $B54) / $B54, "")</f>
        <v>1.5936254980079719E-2</v>
      </c>
      <c r="L54" s="16">
        <f>IF(ISNUMBER(J54), $B64 * K54, "")</f>
        <v>1593.6254980079718</v>
      </c>
      <c r="M54" s="29">
        <v>76.099999999999994</v>
      </c>
      <c r="N54" s="14">
        <f>IF(ISNUMBER(M54), (M54 - $B54) / $B54, "")</f>
        <v>1.062416998671975E-2</v>
      </c>
      <c r="O54" s="16">
        <f>IF(ISNUMBER(M54), $B64 * N54, "")</f>
        <v>1062.4169986719751</v>
      </c>
      <c r="Q54" s="220"/>
      <c r="R54" s="221"/>
      <c r="S54" s="222"/>
    </row>
    <row r="55" spans="1:19" ht="17.25" customHeight="1" thickBot="1">
      <c r="A55" s="125" t="s">
        <v>132</v>
      </c>
      <c r="B55" s="126">
        <v>93</v>
      </c>
      <c r="C55" s="77">
        <v>-3.2154341000000001E-3</v>
      </c>
      <c r="D55" s="15">
        <v>94.8</v>
      </c>
      <c r="E55" s="32">
        <f t="shared" ref="E55:E58" si="22">IF(ISNUMBER(D55), (D55 - $B55) / $B55, "")</f>
        <v>1.9354838709677389E-2</v>
      </c>
      <c r="F55" s="18">
        <f>IF(ISNUMBER(D55), $B64 * E55, "")</f>
        <v>1935.483870967739</v>
      </c>
      <c r="G55" s="31">
        <v>94.7</v>
      </c>
      <c r="H55" s="32">
        <f t="shared" ref="H55:H58" si="23">IF(ISNUMBER(G55), (G55 - $B55) / $B55, "")</f>
        <v>1.827956989247315E-2</v>
      </c>
      <c r="I55" s="101">
        <f>IF(ISNUMBER(G55), $B64 * H55, "")</f>
        <v>1827.9569892473151</v>
      </c>
      <c r="J55" s="15">
        <v>96.2</v>
      </c>
      <c r="K55" s="32">
        <f t="shared" ref="K55:K58" si="24">IF(ISNUMBER(J55), (J55 - $B55) / $B55, "")</f>
        <v>3.4408602150537662E-2</v>
      </c>
      <c r="L55" s="18">
        <f>IF(ISNUMBER(J55), $B64 * K55, "")</f>
        <v>3440.8602150537663</v>
      </c>
      <c r="M55" s="31">
        <v>95.4</v>
      </c>
      <c r="N55" s="32">
        <f t="shared" ref="N55:N58" si="25">IF(ISNUMBER(M55), (M55 - $B55) / $B55, "")</f>
        <v>2.5806451612903288E-2</v>
      </c>
      <c r="O55" s="18">
        <f>IF(ISNUMBER(M55), $B64 * N55, "")</f>
        <v>2580.6451612903288</v>
      </c>
      <c r="Q55" s="223"/>
      <c r="R55" s="224"/>
      <c r="S55" s="225"/>
    </row>
    <row r="56" spans="1:19" ht="17.25" customHeight="1" thickBot="1">
      <c r="A56" s="125" t="s">
        <v>122</v>
      </c>
      <c r="B56" s="126">
        <v>23.9</v>
      </c>
      <c r="C56" s="77">
        <v>-4.1666667000000001E-3</v>
      </c>
      <c r="D56" s="15">
        <v>23.7</v>
      </c>
      <c r="E56" s="32">
        <f t="shared" si="22"/>
        <v>-8.3682008368200552E-3</v>
      </c>
      <c r="F56" s="18">
        <f>IF(ISNUMBER(D56), $B64 * E56, "")</f>
        <v>-836.82008368200547</v>
      </c>
      <c r="G56" s="31">
        <v>24.3</v>
      </c>
      <c r="H56" s="32">
        <f t="shared" si="23"/>
        <v>1.6736401673640256E-2</v>
      </c>
      <c r="I56" s="101">
        <f>IF(ISNUMBER(G56), $B64 * H56, "")</f>
        <v>1673.6401673640255</v>
      </c>
      <c r="J56" s="15">
        <v>24.6</v>
      </c>
      <c r="K56" s="32">
        <f t="shared" si="24"/>
        <v>2.9288702928870414E-2</v>
      </c>
      <c r="L56" s="18">
        <f>IF(ISNUMBER(J56), $B64 * K56, "")</f>
        <v>2928.8702928870416</v>
      </c>
      <c r="M56" s="31">
        <v>24.1</v>
      </c>
      <c r="N56" s="32">
        <f t="shared" si="25"/>
        <v>8.3682008368202027E-3</v>
      </c>
      <c r="O56" s="18">
        <f>IF(ISNUMBER(M56), $B64 * N56, "")</f>
        <v>836.82008368202025</v>
      </c>
      <c r="Q56" s="216"/>
      <c r="R56" s="216"/>
      <c r="S56" s="216"/>
    </row>
    <row r="57" spans="1:19" ht="17.25" customHeight="1" thickBot="1">
      <c r="A57" s="125" t="s">
        <v>144</v>
      </c>
      <c r="B57" s="126">
        <v>86.3</v>
      </c>
      <c r="C57" s="77">
        <v>-4.6136101000000002E-3</v>
      </c>
      <c r="D57" s="15">
        <v>87.6</v>
      </c>
      <c r="E57" s="32">
        <f t="shared" si="22"/>
        <v>1.5063731170336004E-2</v>
      </c>
      <c r="F57" s="18">
        <f>IF(ISNUMBER(D57), $B64 * E57, "")</f>
        <v>1506.3731170336005</v>
      </c>
      <c r="G57" s="31">
        <v>91</v>
      </c>
      <c r="H57" s="32">
        <f t="shared" si="23"/>
        <v>5.4461181923522631E-2</v>
      </c>
      <c r="I57" s="101">
        <f>IF(ISNUMBER(G57), $B64 * H57, "")</f>
        <v>5446.1181923522627</v>
      </c>
      <c r="J57" s="15">
        <v>91.7</v>
      </c>
      <c r="K57" s="32">
        <f t="shared" si="24"/>
        <v>6.2572421784472837E-2</v>
      </c>
      <c r="L57" s="18">
        <f>IF(ISNUMBER(J57), $B64 * K57, "")</f>
        <v>6257.2421784472835</v>
      </c>
      <c r="M57" s="31">
        <v>91.9</v>
      </c>
      <c r="N57" s="32">
        <f t="shared" si="25"/>
        <v>6.4889918887601497E-2</v>
      </c>
      <c r="O57" s="18">
        <f>IF(ISNUMBER(M57), $B64 * N57, "")</f>
        <v>6488.9918887601498</v>
      </c>
      <c r="Q57" s="226"/>
      <c r="R57" s="226"/>
      <c r="S57" s="226"/>
    </row>
    <row r="58" spans="1:19" ht="17.25" customHeight="1" thickBot="1">
      <c r="A58" s="127" t="s">
        <v>251</v>
      </c>
      <c r="B58" s="128">
        <v>60.3</v>
      </c>
      <c r="C58" s="78">
        <v>-4.9504950000000001E-3</v>
      </c>
      <c r="D58" s="20">
        <v>61.6</v>
      </c>
      <c r="E58" s="21">
        <f t="shared" si="22"/>
        <v>2.1558872305141034E-2</v>
      </c>
      <c r="F58" s="22">
        <f>IF(ISNUMBER(D58), $B64 * E58, "")</f>
        <v>2155.8872305141035</v>
      </c>
      <c r="G58" s="30">
        <v>64.8</v>
      </c>
      <c r="H58" s="21">
        <f t="shared" si="23"/>
        <v>7.4626865671641798E-2</v>
      </c>
      <c r="I58" s="105">
        <f>IF(ISNUMBER(G58), $B64 * H58, "")</f>
        <v>7462.6865671641799</v>
      </c>
      <c r="J58" s="20">
        <v>65.099999999999994</v>
      </c>
      <c r="K58" s="21">
        <f t="shared" si="24"/>
        <v>7.9601990049751201E-2</v>
      </c>
      <c r="L58" s="22">
        <f>IF(ISNUMBER(J58), $B64 * K58, "")</f>
        <v>7960.1990049751203</v>
      </c>
      <c r="M58" s="30">
        <v>65.2</v>
      </c>
      <c r="N58" s="21">
        <f t="shared" si="25"/>
        <v>8.1260364842454497E-2</v>
      </c>
      <c r="O58" s="22">
        <f>IF(ISNUMBER(M58), $B64 * N58, "")</f>
        <v>8126.0364842454501</v>
      </c>
      <c r="Q58" s="226"/>
      <c r="R58" s="226"/>
      <c r="S58" s="226"/>
    </row>
    <row r="59" spans="1:19" ht="17.25" customHeight="1" thickBot="1">
      <c r="A59" s="125" t="s">
        <v>148</v>
      </c>
      <c r="B59" s="129">
        <v>15.8</v>
      </c>
      <c r="C59" s="80">
        <v>-6.2893081999999996E-3</v>
      </c>
      <c r="D59" s="106">
        <v>16.100000000000001</v>
      </c>
      <c r="E59" s="107">
        <f>IF(ISNUMBER(D59), (D59 - $B59) / $B59, "")</f>
        <v>1.8987341772151944E-2</v>
      </c>
      <c r="F59" s="108">
        <f>IF(ISNUMBER(D59), $B64 * E59, "")</f>
        <v>1898.7341772151944</v>
      </c>
      <c r="G59" s="109">
        <v>16.399999999999999</v>
      </c>
      <c r="H59" s="107">
        <f>IF(ISNUMBER(G59), (G59 - $B59) / $B59, "")</f>
        <v>3.797468354430366E-2</v>
      </c>
      <c r="I59" s="110">
        <f>IF(ISNUMBER(G59), $B64 * H59, "")</f>
        <v>3797.4683544303662</v>
      </c>
      <c r="J59" s="106">
        <v>16.5</v>
      </c>
      <c r="K59" s="107">
        <f>IF(ISNUMBER(J59), (J59 - $B59) / $B59, "")</f>
        <v>4.4303797468354382E-2</v>
      </c>
      <c r="L59" s="108">
        <f>IF(ISNUMBER(J59), $B64 * K59, "")</f>
        <v>4430.3797468354378</v>
      </c>
      <c r="M59" s="109">
        <v>16.8</v>
      </c>
      <c r="N59" s="107">
        <f>IF(ISNUMBER(M59), (M59 - $B59) / $B59, "")</f>
        <v>6.3291139240506319E-2</v>
      </c>
      <c r="O59" s="108">
        <f>IF(ISNUMBER(M59), $B64 * N59, "")</f>
        <v>6329.1139240506318</v>
      </c>
      <c r="Q59" s="216"/>
      <c r="R59" s="216"/>
      <c r="S59" s="216"/>
    </row>
    <row r="60" spans="1:19" ht="17.25" customHeight="1" thickBot="1">
      <c r="A60" s="125" t="s">
        <v>162</v>
      </c>
      <c r="B60" s="126">
        <v>82.5</v>
      </c>
      <c r="C60" s="77">
        <v>-7.2202166E-3</v>
      </c>
      <c r="D60" s="15">
        <v>82.5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82.2</v>
      </c>
      <c r="H60" s="32">
        <f t="shared" ref="H60:H63" si="27">IF(ISNUMBER(G60), (G60 - $B60) / $B60, "")</f>
        <v>-3.6363636363636021E-3</v>
      </c>
      <c r="I60" s="101">
        <f>IF(ISNUMBER(G60), $B64 * H60, "")</f>
        <v>-363.63636363636022</v>
      </c>
      <c r="J60" s="15">
        <v>82.6</v>
      </c>
      <c r="K60" s="32">
        <f t="shared" ref="K60:K63" si="28">IF(ISNUMBER(J60), (J60 - $B60) / $B60, "")</f>
        <v>1.2121212121211432E-3</v>
      </c>
      <c r="L60" s="18">
        <f>IF(ISNUMBER(J60), $B64 * K60, "")</f>
        <v>121.21212121211431</v>
      </c>
      <c r="M60" s="31">
        <v>83.9</v>
      </c>
      <c r="N60" s="32">
        <f t="shared" ref="N60:N63" si="29">IF(ISNUMBER(M60), (M60 - $B60) / $B60, "")</f>
        <v>1.6969696969697037E-2</v>
      </c>
      <c r="O60" s="18">
        <f>IF(ISNUMBER(M60), $B64 * N60, "")</f>
        <v>1696.9696969697038</v>
      </c>
      <c r="Q60" s="216"/>
      <c r="R60" s="216"/>
      <c r="S60" s="216"/>
    </row>
    <row r="61" spans="1:19" ht="17.25" customHeight="1" thickBot="1">
      <c r="A61" s="125" t="s">
        <v>202</v>
      </c>
      <c r="B61" s="126">
        <v>62</v>
      </c>
      <c r="C61" s="77">
        <v>-1.7432646600000001E-2</v>
      </c>
      <c r="D61" s="15">
        <v>62.2</v>
      </c>
      <c r="E61" s="32">
        <f t="shared" si="26"/>
        <v>3.2258064516129492E-3</v>
      </c>
      <c r="F61" s="18">
        <f>IF(ISNUMBER(D61), $B64 * E61, "")</f>
        <v>322.58064516129491</v>
      </c>
      <c r="G61" s="31">
        <v>61.9</v>
      </c>
      <c r="H61" s="32">
        <f t="shared" si="27"/>
        <v>-1.6129032258064746E-3</v>
      </c>
      <c r="I61" s="101">
        <f>IF(ISNUMBER(G61), $B64 * H61, "")</f>
        <v>-161.29032258064746</v>
      </c>
      <c r="J61" s="15">
        <v>62.6</v>
      </c>
      <c r="K61" s="32">
        <f t="shared" si="28"/>
        <v>9.6774193548387327E-3</v>
      </c>
      <c r="L61" s="18">
        <f>IF(ISNUMBER(J61), $B64 * K61, "")</f>
        <v>967.74193548387325</v>
      </c>
      <c r="M61" s="31">
        <v>62.3</v>
      </c>
      <c r="N61" s="32">
        <f t="shared" si="29"/>
        <v>4.8387096774193091E-3</v>
      </c>
      <c r="O61" s="18">
        <f>IF(ISNUMBER(M61), $B64 * N61, "")</f>
        <v>483.87096774193088</v>
      </c>
      <c r="Q61" s="216"/>
      <c r="R61" s="216"/>
      <c r="S61" s="216"/>
    </row>
    <row r="62" spans="1:19" ht="17.25" customHeight="1">
      <c r="A62" s="125" t="s">
        <v>241</v>
      </c>
      <c r="B62" s="126">
        <v>54.6</v>
      </c>
      <c r="C62" s="77">
        <v>-2.15053763E-2</v>
      </c>
      <c r="D62" s="15">
        <v>55.9</v>
      </c>
      <c r="E62" s="32">
        <f t="shared" si="26"/>
        <v>2.3809523809523756E-2</v>
      </c>
      <c r="F62" s="18">
        <f>IF(ISNUMBER(D62), $B64 * E62, "")</f>
        <v>2380.9523809523757</v>
      </c>
      <c r="G62" s="31">
        <v>55.6</v>
      </c>
      <c r="H62" s="32">
        <f t="shared" si="27"/>
        <v>1.8315018315018316E-2</v>
      </c>
      <c r="I62" s="101">
        <f>IF(ISNUMBER(G62), $B64 * H62, "")</f>
        <v>1831.5018315018315</v>
      </c>
      <c r="J62" s="15">
        <v>56.1</v>
      </c>
      <c r="K62" s="32">
        <f t="shared" si="28"/>
        <v>2.7472527472527472E-2</v>
      </c>
      <c r="L62" s="18">
        <f>IF(ISNUMBER(J62), $B64 * K62, "")</f>
        <v>2747.2527472527472</v>
      </c>
      <c r="M62" s="31">
        <v>56.4</v>
      </c>
      <c r="N62" s="32">
        <f t="shared" si="29"/>
        <v>3.2967032967032912E-2</v>
      </c>
      <c r="O62" s="18">
        <f>IF(ISNUMBER(M62), $B64 * N62, "")</f>
        <v>3296.703296703291</v>
      </c>
      <c r="Q62" s="205"/>
      <c r="R62" s="206"/>
      <c r="S62" s="207"/>
    </row>
    <row r="63" spans="1:19" ht="17.25" customHeight="1" thickBot="1">
      <c r="A63" s="130" t="s">
        <v>65</v>
      </c>
      <c r="B63" s="131">
        <v>27.7</v>
      </c>
      <c r="C63" s="79">
        <v>-2.4647887300000001E-2</v>
      </c>
      <c r="D63" s="24">
        <v>28</v>
      </c>
      <c r="E63" s="25">
        <f t="shared" si="26"/>
        <v>1.0830324909747318E-2</v>
      </c>
      <c r="F63" s="104">
        <f>IF(ISNUMBER(D63), $B64 * E63, "")</f>
        <v>1083.0324909747319</v>
      </c>
      <c r="G63" s="102">
        <v>27.9</v>
      </c>
      <c r="H63" s="25">
        <f t="shared" si="27"/>
        <v>7.2202166064981692E-3</v>
      </c>
      <c r="I63" s="103">
        <f>IF(ISNUMBER(G63), $B64 * H63, "")</f>
        <v>722.02166064981691</v>
      </c>
      <c r="J63" s="24">
        <v>28.3</v>
      </c>
      <c r="K63" s="25">
        <f t="shared" si="28"/>
        <v>2.1660649819494636E-2</v>
      </c>
      <c r="L63" s="104">
        <f>IF(ISNUMBER(J63), $B64 * K63, "")</f>
        <v>2166.0649819494638</v>
      </c>
      <c r="M63" s="102">
        <v>28.1</v>
      </c>
      <c r="N63" s="25">
        <f t="shared" si="29"/>
        <v>1.4440433212996467E-2</v>
      </c>
      <c r="O63" s="104">
        <f>IF(ISNUMBER(M63), $B64 * N63, "")</f>
        <v>1444.0433212996468</v>
      </c>
      <c r="Q63" s="208"/>
      <c r="R63" s="209"/>
      <c r="S63" s="210"/>
    </row>
    <row r="64" spans="1:19" ht="17.25" customHeight="1" thickBot="1">
      <c r="A64" s="132" t="s">
        <v>271</v>
      </c>
      <c r="B64" s="269">
        <f>$B$37</f>
        <v>100000</v>
      </c>
      <c r="C64" s="270"/>
      <c r="D64" s="26" t="s">
        <v>272</v>
      </c>
      <c r="E64" s="27">
        <f>IF(COUNT(E44:E63), SUM(E44:E63) / COUNT(E44:E63), 0)</f>
        <v>8.2634952620898178E-3</v>
      </c>
      <c r="F64" s="28">
        <f>SUM(F44:F63)</f>
        <v>16526.99052417964</v>
      </c>
      <c r="G64" s="26" t="s">
        <v>272</v>
      </c>
      <c r="H64" s="27">
        <f>IF(COUNT(H44:H63), SUM(H44:H63) / COUNT(H44:H63), 0)</f>
        <v>1.3969216549343206E-2</v>
      </c>
      <c r="I64" s="28">
        <f>SUM(I44:I63)</f>
        <v>27938.433098686404</v>
      </c>
      <c r="J64" s="26" t="s">
        <v>272</v>
      </c>
      <c r="K64" s="27">
        <f>IF(COUNT(K44:K63), SUM(K44:K63) / COUNT(K44:K63), 0)</f>
        <v>2.3466189840730893E-2</v>
      </c>
      <c r="L64" s="28">
        <f>SUM(L44:L63)</f>
        <v>46932.379681461774</v>
      </c>
      <c r="M64" s="26" t="s">
        <v>272</v>
      </c>
      <c r="N64" s="27">
        <f>IF(COUNT(N44:N63), SUM(N44:N63) / COUNT(N44:N63), 0)</f>
        <v>1.8695368363970219E-2</v>
      </c>
      <c r="O64" s="28">
        <f>SUM(O44:O63)</f>
        <v>37390.736727940443</v>
      </c>
      <c r="Q64" s="211"/>
      <c r="R64" s="212"/>
      <c r="S64" s="213"/>
    </row>
    <row r="65" spans="1:19" ht="17.25" customHeight="1"/>
    <row r="66" spans="1:19" ht="17.25" customHeight="1" thickBot="1"/>
    <row r="67" spans="1:19" ht="17.25" thickBot="1">
      <c r="A67" s="227" t="s">
        <v>45</v>
      </c>
      <c r="B67" s="228"/>
      <c r="C67" s="228"/>
      <c r="D67" s="228"/>
      <c r="E67" s="228"/>
      <c r="F67" s="228"/>
      <c r="G67" s="228"/>
      <c r="H67" s="228"/>
      <c r="I67" s="228"/>
      <c r="J67" s="228"/>
      <c r="K67" s="228"/>
      <c r="L67" s="228"/>
      <c r="M67" s="228"/>
      <c r="N67" s="228"/>
      <c r="O67" s="229"/>
      <c r="Q67" s="226"/>
      <c r="R67" s="226"/>
      <c r="S67" s="226"/>
    </row>
    <row r="68" spans="1:19" ht="17.25" thickBot="1">
      <c r="A68" s="181" t="s">
        <v>268</v>
      </c>
      <c r="B68" s="227" t="s">
        <v>49</v>
      </c>
      <c r="C68" s="229"/>
      <c r="D68" s="227" t="s">
        <v>58</v>
      </c>
      <c r="E68" s="228"/>
      <c r="F68" s="229"/>
      <c r="G68" s="230">
        <f>_xlfn.IFNA(VLOOKUP(B68, 현재가테이블!$B$2:$D$200, 2, FALSE), "-")</f>
        <v>39916000</v>
      </c>
      <c r="H68" s="231"/>
      <c r="I68" s="232"/>
      <c r="J68" s="227" t="s">
        <v>59</v>
      </c>
      <c r="K68" s="228"/>
      <c r="L68" s="229"/>
      <c r="M68" s="233">
        <f>_xlfn.IFNA(VLOOKUP(B68, 현재가테이블!$B$2:$D$200, 3, FALSE), "-")</f>
        <v>7.3184273000000003E-3</v>
      </c>
      <c r="N68" s="234"/>
      <c r="O68" s="235"/>
      <c r="Q68" s="226"/>
      <c r="R68" s="226"/>
      <c r="S68" s="226"/>
    </row>
    <row r="69" spans="1:19" ht="17.25" thickBot="1">
      <c r="A69" s="271" t="s">
        <v>55</v>
      </c>
      <c r="B69" s="267" t="str">
        <f>TEXT($G$1, "[$-ko-KR]yyyy-mm-dd(ddd) ") &amp; "오전 00:00"</f>
        <v>2021-07-07(수) 오전 00:00</v>
      </c>
      <c r="C69" s="268"/>
      <c r="D69" s="240" t="str">
        <f>TEXT($G$1, "[$-ko-KR]yyyy-mm-dd(ddd) ") &amp; "오후 14:00"</f>
        <v>2021-07-07(수) 오후 14:00</v>
      </c>
      <c r="E69" s="241"/>
      <c r="F69" s="242"/>
      <c r="G69" s="240" t="str">
        <f>TEXT($G$1, "[$-ko-KR]yyyy-mm-dd(ddd) ") &amp; "오후 19:00"</f>
        <v>2021-07-07(수) 오후 19:00</v>
      </c>
      <c r="H69" s="241"/>
      <c r="I69" s="242"/>
      <c r="J69" s="240" t="str">
        <f>TEXT($G$1, "[$-ko-KR]yyyy-mm-dd(ddd) ") &amp; "오후 21:00"</f>
        <v>2021-07-07(수) 오후 21:00</v>
      </c>
      <c r="K69" s="241"/>
      <c r="L69" s="242"/>
      <c r="M69" s="240" t="str">
        <f>TEXT($G$1+1, "[$-ko-KR]yyyy-mm-dd(ddd) ") &amp; "오전 00:00"</f>
        <v>2021-07-08(목) 오전 00:00</v>
      </c>
      <c r="N69" s="241"/>
      <c r="O69" s="242"/>
      <c r="Q69" s="226"/>
      <c r="R69" s="226"/>
      <c r="S69" s="226"/>
    </row>
    <row r="70" spans="1:19" ht="17.25" thickBot="1">
      <c r="A70" s="27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2" t="s">
        <v>58</v>
      </c>
      <c r="H70" s="183" t="s">
        <v>269</v>
      </c>
      <c r="I70" s="18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6"/>
      <c r="R70" s="216"/>
      <c r="S70" s="216"/>
    </row>
    <row r="71" spans="1:19" ht="17.25" thickBot="1">
      <c r="A71" s="123" t="s">
        <v>114</v>
      </c>
      <c r="B71" s="124">
        <v>366</v>
      </c>
      <c r="C71" s="76">
        <v>0.16560509549999999</v>
      </c>
      <c r="D71" s="13">
        <v>476</v>
      </c>
      <c r="E71" s="14">
        <f>IF(ISNUMBER(D71), (D71 - $B71) / $B71, "")</f>
        <v>0.30054644808743169</v>
      </c>
      <c r="F71" s="16">
        <f>IF(ISNUMBER(D71), $B91 * E71, "")</f>
        <v>30054.644808743171</v>
      </c>
      <c r="G71" s="29">
        <v>492</v>
      </c>
      <c r="H71" s="14">
        <f>IF(ISNUMBER(G71), (G71 - $B71) / $B71, "")</f>
        <v>0.34426229508196721</v>
      </c>
      <c r="I71" s="100">
        <f>IF(ISNUMBER(G71), $B91 * H71, "")</f>
        <v>34426.229508196724</v>
      </c>
      <c r="J71" s="13">
        <v>473</v>
      </c>
      <c r="K71" s="14">
        <f>IF(ISNUMBER(J71), (J71 - $B71) / $B71, "")</f>
        <v>0.29234972677595628</v>
      </c>
      <c r="L71" s="16">
        <f>IF(ISNUMBER(J71), $B91 * K71, "")</f>
        <v>29234.972677595626</v>
      </c>
      <c r="M71" s="29">
        <v>480</v>
      </c>
      <c r="N71" s="14">
        <f>IF(ISNUMBER(M71), (M71 - $B71) / $B71, "")</f>
        <v>0.31147540983606559</v>
      </c>
      <c r="O71" s="16">
        <f>IF(ISNUMBER(M71), $B91 * N71, "")</f>
        <v>31147.540983606559</v>
      </c>
      <c r="Q71" s="226"/>
      <c r="R71" s="226"/>
      <c r="S71" s="226"/>
    </row>
    <row r="72" spans="1:19" ht="17.25" thickBot="1">
      <c r="A72" s="125" t="s">
        <v>61</v>
      </c>
      <c r="B72" s="126">
        <v>707</v>
      </c>
      <c r="C72" s="77">
        <v>0.1046875</v>
      </c>
      <c r="D72" s="15">
        <v>852</v>
      </c>
      <c r="E72" s="32">
        <f t="shared" ref="E72:E75" si="30">IF(ISNUMBER(D72), (D72 - $B72) / $B72, "")</f>
        <v>0.2050919377652051</v>
      </c>
      <c r="F72" s="18">
        <f>IF(ISNUMBER(D72), $B91 * E72, "")</f>
        <v>20509.193776520511</v>
      </c>
      <c r="G72" s="31">
        <v>833</v>
      </c>
      <c r="H72" s="32">
        <f t="shared" ref="H72:H75" si="31">IF(ISNUMBER(G72), (G72 - $B72) / $B72, "")</f>
        <v>0.17821782178217821</v>
      </c>
      <c r="I72" s="101">
        <f>IF(ISNUMBER(G72), $B91 * H72, "")</f>
        <v>17821.782178217822</v>
      </c>
      <c r="J72" s="15">
        <v>824</v>
      </c>
      <c r="K72" s="32">
        <f t="shared" ref="K72:K75" si="32">IF(ISNUMBER(J72), (J72 - $B72) / $B72, "")</f>
        <v>0.16548797736916548</v>
      </c>
      <c r="L72" s="18">
        <f>IF(ISNUMBER(J72), $B91 * K72, "")</f>
        <v>16548.797736916549</v>
      </c>
      <c r="M72" s="31">
        <v>844</v>
      </c>
      <c r="N72" s="32">
        <f t="shared" ref="N72:N75" si="33">IF(ISNUMBER(M72), (M72 - $B72) / $B72, "")</f>
        <v>0.19377652050919378</v>
      </c>
      <c r="O72" s="18">
        <f>IF(ISNUMBER(M72), $B91 * N72, "")</f>
        <v>19377.652050919376</v>
      </c>
      <c r="Q72" s="226"/>
      <c r="R72" s="226"/>
      <c r="S72" s="226"/>
    </row>
    <row r="73" spans="1:19" ht="17.25" thickBot="1">
      <c r="A73" s="125" t="s">
        <v>164</v>
      </c>
      <c r="B73" s="126">
        <v>257</v>
      </c>
      <c r="C73" s="77">
        <v>4.4715447200000001E-2</v>
      </c>
      <c r="D73" s="15">
        <v>262</v>
      </c>
      <c r="E73" s="32">
        <f t="shared" si="30"/>
        <v>1.9455252918287938E-2</v>
      </c>
      <c r="F73" s="18">
        <f>IF(ISNUMBER(D73), $B91 * E73, "")</f>
        <v>1945.5252918287938</v>
      </c>
      <c r="G73" s="31">
        <v>258</v>
      </c>
      <c r="H73" s="32">
        <f t="shared" si="31"/>
        <v>3.8910505836575876E-3</v>
      </c>
      <c r="I73" s="101">
        <f>IF(ISNUMBER(G73), $B91 * H73, "")</f>
        <v>389.10505836575874</v>
      </c>
      <c r="J73" s="15">
        <v>259</v>
      </c>
      <c r="K73" s="32">
        <f t="shared" si="32"/>
        <v>7.7821011673151752E-3</v>
      </c>
      <c r="L73" s="18">
        <f>IF(ISNUMBER(J73), $B91 * K73, "")</f>
        <v>778.21011673151747</v>
      </c>
      <c r="M73" s="31">
        <v>256</v>
      </c>
      <c r="N73" s="32">
        <f t="shared" si="33"/>
        <v>-3.8910505836575876E-3</v>
      </c>
      <c r="O73" s="18">
        <f>IF(ISNUMBER(M73), $B91 * N73, "")</f>
        <v>-389.10505836575874</v>
      </c>
      <c r="Q73" s="216"/>
      <c r="R73" s="216"/>
      <c r="S73" s="216"/>
    </row>
    <row r="74" spans="1:19" ht="17.25" thickBot="1">
      <c r="A74" s="125" t="s">
        <v>104</v>
      </c>
      <c r="B74" s="126">
        <v>842</v>
      </c>
      <c r="C74" s="77">
        <v>3.4398034399999999E-2</v>
      </c>
      <c r="D74" s="15">
        <v>873</v>
      </c>
      <c r="E74" s="32">
        <f t="shared" si="30"/>
        <v>3.6817102137767219E-2</v>
      </c>
      <c r="F74" s="18">
        <f>IF(ISNUMBER(D74), $B91 * E74, "")</f>
        <v>3681.710213776722</v>
      </c>
      <c r="G74" s="31">
        <v>916</v>
      </c>
      <c r="H74" s="32">
        <f t="shared" si="31"/>
        <v>8.7885985748218529E-2</v>
      </c>
      <c r="I74" s="101">
        <f>IF(ISNUMBER(G74), $B91 * H74, "")</f>
        <v>8788.5985748218536</v>
      </c>
      <c r="J74" s="15">
        <v>907</v>
      </c>
      <c r="K74" s="32">
        <f t="shared" si="32"/>
        <v>7.7197149643705457E-2</v>
      </c>
      <c r="L74" s="18">
        <f>IF(ISNUMBER(J74), $B91 * K74, "")</f>
        <v>7719.7149643705461</v>
      </c>
      <c r="M74" s="31">
        <v>923</v>
      </c>
      <c r="N74" s="32">
        <f t="shared" si="33"/>
        <v>9.6199524940617578E-2</v>
      </c>
      <c r="O74" s="18">
        <f>IF(ISNUMBER(M74), $B91 * N74, "")</f>
        <v>9619.9524940617575</v>
      </c>
      <c r="Q74" s="216"/>
      <c r="R74" s="216"/>
      <c r="S74" s="216"/>
    </row>
    <row r="75" spans="1:19" ht="17.25" thickBot="1">
      <c r="A75" s="127" t="s">
        <v>80</v>
      </c>
      <c r="B75" s="128">
        <v>687</v>
      </c>
      <c r="C75" s="78">
        <v>3.30827068E-2</v>
      </c>
      <c r="D75" s="20">
        <v>733</v>
      </c>
      <c r="E75" s="21">
        <f t="shared" si="30"/>
        <v>6.6957787481804948E-2</v>
      </c>
      <c r="F75" s="22">
        <f>IF(ISNUMBER(D75), $B91 * E75, "")</f>
        <v>6695.7787481804944</v>
      </c>
      <c r="G75" s="30">
        <v>737</v>
      </c>
      <c r="H75" s="21">
        <f t="shared" si="31"/>
        <v>7.2780203784570591E-2</v>
      </c>
      <c r="I75" s="105">
        <f>IF(ISNUMBER(G75), $B91 * H75, "")</f>
        <v>7278.0203784570595</v>
      </c>
      <c r="J75" s="20">
        <v>742</v>
      </c>
      <c r="K75" s="21">
        <f t="shared" si="32"/>
        <v>8.0058224163027658E-2</v>
      </c>
      <c r="L75" s="22">
        <f>IF(ISNUMBER(J75), $B91 * K75, "")</f>
        <v>8005.8224163027662</v>
      </c>
      <c r="M75" s="30">
        <v>733</v>
      </c>
      <c r="N75" s="21">
        <f t="shared" si="33"/>
        <v>6.6957787481804948E-2</v>
      </c>
      <c r="O75" s="22">
        <f>IF(ISNUMBER(M75), $B91 * N75, "")</f>
        <v>6695.7787481804944</v>
      </c>
      <c r="Q75" s="216"/>
      <c r="R75" s="216"/>
      <c r="S75" s="216"/>
    </row>
    <row r="76" spans="1:19" ht="17.25" thickBot="1">
      <c r="A76" s="125" t="s">
        <v>118</v>
      </c>
      <c r="B76" s="129">
        <v>140</v>
      </c>
      <c r="C76" s="80">
        <v>2.9411764699999999E-2</v>
      </c>
      <c r="D76" s="106">
        <v>138</v>
      </c>
      <c r="E76" s="107">
        <f>IF(ISNUMBER(D76), (D76 - $B76) / $B76, "")</f>
        <v>-1.4285714285714285E-2</v>
      </c>
      <c r="F76" s="108">
        <f>IF(ISNUMBER(D76), $B91 * E76, "")</f>
        <v>-1428.5714285714284</v>
      </c>
      <c r="G76" s="109">
        <v>139</v>
      </c>
      <c r="H76" s="107">
        <f>IF(ISNUMBER(G76), (G76 - $B76) / $B76, "")</f>
        <v>-7.1428571428571426E-3</v>
      </c>
      <c r="I76" s="110">
        <f>IF(ISNUMBER(G76), $B91 * H76, "")</f>
        <v>-714.28571428571422</v>
      </c>
      <c r="J76" s="106">
        <v>143</v>
      </c>
      <c r="K76" s="107">
        <f>IF(ISNUMBER(J76), (J76 - $B76) / $B76, "")</f>
        <v>2.1428571428571429E-2</v>
      </c>
      <c r="L76" s="108">
        <f>IF(ISNUMBER(J76), $B91 * K76, "")</f>
        <v>2142.8571428571427</v>
      </c>
      <c r="M76" s="109">
        <v>140</v>
      </c>
      <c r="N76" s="107">
        <f>IF(ISNUMBER(M76), (M76 - $B76) / $B76, "")</f>
        <v>0</v>
      </c>
      <c r="O76" s="108">
        <f>IF(ISNUMBER(M76), $B91 * N76, "")</f>
        <v>0</v>
      </c>
      <c r="Q76" s="216"/>
      <c r="R76" s="216"/>
      <c r="S76" s="216"/>
    </row>
    <row r="77" spans="1:19" ht="17.25" thickBot="1">
      <c r="A77" s="125" t="s">
        <v>243</v>
      </c>
      <c r="B77" s="126">
        <v>379</v>
      </c>
      <c r="C77" s="77">
        <v>2.7100270999999999E-2</v>
      </c>
      <c r="D77" s="15">
        <v>387</v>
      </c>
      <c r="E77" s="32">
        <f t="shared" ref="E77:E80" si="34">IF(ISNUMBER(D77), (D77 - $B77) / $B77, "")</f>
        <v>2.1108179419525065E-2</v>
      </c>
      <c r="F77" s="18">
        <f>IF(ISNUMBER(D77), $B91 * E77, "")</f>
        <v>2110.8179419525063</v>
      </c>
      <c r="G77" s="31">
        <v>386</v>
      </c>
      <c r="H77" s="32">
        <f t="shared" ref="H77:H80" si="35">IF(ISNUMBER(G77), (G77 - $B77) / $B77, "")</f>
        <v>1.8469656992084433E-2</v>
      </c>
      <c r="I77" s="101">
        <f>IF(ISNUMBER(G77), $B91 * H77, "")</f>
        <v>1846.9656992084433</v>
      </c>
      <c r="J77" s="15">
        <v>393</v>
      </c>
      <c r="K77" s="32">
        <f t="shared" ref="K77:K80" si="36">IF(ISNUMBER(J77), (J77 - $B77) / $B77, "")</f>
        <v>3.6939313984168866E-2</v>
      </c>
      <c r="L77" s="18">
        <f>IF(ISNUMBER(J77), $B91 * K77, "")</f>
        <v>3693.9313984168866</v>
      </c>
      <c r="M77" s="31">
        <v>391</v>
      </c>
      <c r="N77" s="32">
        <f t="shared" ref="N77:N80" si="37">IF(ISNUMBER(M77), (M77 - $B77) / $B77, "")</f>
        <v>3.1662269129287601E-2</v>
      </c>
      <c r="O77" s="18">
        <f>IF(ISNUMBER(M77), $B91 * N77, "")</f>
        <v>3166.2269129287602</v>
      </c>
      <c r="Q77" s="216"/>
      <c r="R77" s="216"/>
      <c r="S77" s="216"/>
    </row>
    <row r="78" spans="1:19" ht="17.25" thickBot="1">
      <c r="A78" s="125" t="s">
        <v>86</v>
      </c>
      <c r="B78" s="126">
        <v>280</v>
      </c>
      <c r="C78" s="77">
        <v>2.5641025599999999E-2</v>
      </c>
      <c r="D78" s="15">
        <v>307</v>
      </c>
      <c r="E78" s="32">
        <f t="shared" si="34"/>
        <v>9.6428571428571433E-2</v>
      </c>
      <c r="F78" s="18">
        <f>IF(ISNUMBER(D78), $B91 * E78, "")</f>
        <v>9642.8571428571431</v>
      </c>
      <c r="G78" s="31">
        <v>311</v>
      </c>
      <c r="H78" s="32">
        <f t="shared" si="35"/>
        <v>0.11071428571428571</v>
      </c>
      <c r="I78" s="101">
        <f>IF(ISNUMBER(G78), $B91 * H78, "")</f>
        <v>11071.428571428571</v>
      </c>
      <c r="J78" s="15">
        <v>313</v>
      </c>
      <c r="K78" s="32">
        <f t="shared" si="36"/>
        <v>0.11785714285714285</v>
      </c>
      <c r="L78" s="18">
        <f>IF(ISNUMBER(J78), $B91 * K78, "")</f>
        <v>11785.714285714286</v>
      </c>
      <c r="M78" s="31">
        <v>314</v>
      </c>
      <c r="N78" s="32">
        <f t="shared" si="37"/>
        <v>0.12142857142857143</v>
      </c>
      <c r="O78" s="18">
        <f>IF(ISNUMBER(M78), $B91 * N78, "")</f>
        <v>12142.857142857143</v>
      </c>
      <c r="Q78" s="216"/>
      <c r="R78" s="216"/>
      <c r="S78" s="216"/>
    </row>
    <row r="79" spans="1:19" ht="17.25" thickBot="1">
      <c r="A79" s="125" t="s">
        <v>110</v>
      </c>
      <c r="B79" s="126">
        <v>132</v>
      </c>
      <c r="C79" s="77">
        <v>1.5384615399999999E-2</v>
      </c>
      <c r="D79" s="15">
        <v>130</v>
      </c>
      <c r="E79" s="32">
        <f t="shared" si="34"/>
        <v>-1.5151515151515152E-2</v>
      </c>
      <c r="F79" s="18">
        <f>IF(ISNUMBER(D79), $B91 * E79, "")</f>
        <v>-1515.1515151515152</v>
      </c>
      <c r="G79" s="31">
        <v>128</v>
      </c>
      <c r="H79" s="32">
        <f t="shared" si="35"/>
        <v>-3.0303030303030304E-2</v>
      </c>
      <c r="I79" s="101">
        <f>IF(ISNUMBER(G79), $B91 * H79, "")</f>
        <v>-3030.3030303030305</v>
      </c>
      <c r="J79" s="15">
        <v>129</v>
      </c>
      <c r="K79" s="32">
        <f t="shared" si="36"/>
        <v>-2.2727272727272728E-2</v>
      </c>
      <c r="L79" s="18">
        <f>IF(ISNUMBER(J79), $B91 * K79, "")</f>
        <v>-2272.727272727273</v>
      </c>
      <c r="M79" s="31">
        <v>130</v>
      </c>
      <c r="N79" s="32">
        <f t="shared" si="37"/>
        <v>-1.5151515151515152E-2</v>
      </c>
      <c r="O79" s="18">
        <f>IF(ISNUMBER(M79), $B91 * N79, "")</f>
        <v>-1515.1515151515152</v>
      </c>
      <c r="Q79" s="33"/>
      <c r="R79" s="33"/>
    </row>
    <row r="80" spans="1:19" ht="17.25" thickBot="1">
      <c r="A80" s="130" t="s">
        <v>57</v>
      </c>
      <c r="B80" s="131">
        <v>154</v>
      </c>
      <c r="C80" s="79">
        <v>1.3157894700000001E-2</v>
      </c>
      <c r="D80" s="24">
        <v>156</v>
      </c>
      <c r="E80" s="25">
        <f t="shared" si="34"/>
        <v>1.2987012987012988E-2</v>
      </c>
      <c r="F80" s="104">
        <f>IF(ISNUMBER(D80), $B91 * E80, "")</f>
        <v>1298.7012987012988</v>
      </c>
      <c r="G80" s="102">
        <v>156</v>
      </c>
      <c r="H80" s="25">
        <f t="shared" si="35"/>
        <v>1.2987012987012988E-2</v>
      </c>
      <c r="I80" s="103">
        <f>IF(ISNUMBER(G80), $B91 * H80, "")</f>
        <v>1298.7012987012988</v>
      </c>
      <c r="J80" s="24">
        <v>157</v>
      </c>
      <c r="K80" s="25">
        <f t="shared" si="36"/>
        <v>1.948051948051948E-2</v>
      </c>
      <c r="L80" s="104">
        <f>IF(ISNUMBER(J80), $B91 * K80, "")</f>
        <v>1948.0519480519481</v>
      </c>
      <c r="M80" s="102">
        <v>155</v>
      </c>
      <c r="N80" s="25">
        <f t="shared" si="37"/>
        <v>6.4935064935064939E-3</v>
      </c>
      <c r="O80" s="104">
        <f>IF(ISNUMBER(M80), $B91 * N80, "")</f>
        <v>649.35064935064941</v>
      </c>
      <c r="Q80" s="217"/>
      <c r="R80" s="218"/>
      <c r="S80" s="219"/>
    </row>
    <row r="81" spans="1:19">
      <c r="A81" s="123" t="s">
        <v>51</v>
      </c>
      <c r="B81" s="124">
        <v>300</v>
      </c>
      <c r="C81" s="76">
        <v>1.01010101E-2</v>
      </c>
      <c r="D81" s="13">
        <v>305</v>
      </c>
      <c r="E81" s="14">
        <f>IF(ISNUMBER(D81), (D81 - $B81) / $B81, "")</f>
        <v>1.6666666666666666E-2</v>
      </c>
      <c r="F81" s="16">
        <f>IF(ISNUMBER(D81), $B91 * E81, "")</f>
        <v>1666.6666666666667</v>
      </c>
      <c r="G81" s="29">
        <v>306</v>
      </c>
      <c r="H81" s="14">
        <f>IF(ISNUMBER(G81), (G81 - $B81) / $B81, "")</f>
        <v>0.02</v>
      </c>
      <c r="I81" s="100">
        <f>IF(ISNUMBER(G81), $B91 * H81, "")</f>
        <v>2000</v>
      </c>
      <c r="J81" s="13">
        <v>307</v>
      </c>
      <c r="K81" s="14">
        <f>IF(ISNUMBER(J81), (J81 - $B81) / $B81, "")</f>
        <v>2.3333333333333334E-2</v>
      </c>
      <c r="L81" s="16">
        <f>IF(ISNUMBER(J81), $B91 * K81, "")</f>
        <v>2333.3333333333335</v>
      </c>
      <c r="M81" s="29">
        <v>304</v>
      </c>
      <c r="N81" s="14">
        <f>IF(ISNUMBER(M81), (M81 - $B81) / $B81, "")</f>
        <v>1.3333333333333334E-2</v>
      </c>
      <c r="O81" s="16">
        <f>IF(ISNUMBER(M81), $B91 * N81, "")</f>
        <v>1333.3333333333335</v>
      </c>
      <c r="Q81" s="220"/>
      <c r="R81" s="221"/>
      <c r="S81" s="222"/>
    </row>
    <row r="82" spans="1:19" ht="17.25" thickBot="1">
      <c r="A82" s="125" t="s">
        <v>90</v>
      </c>
      <c r="B82" s="126">
        <v>771</v>
      </c>
      <c r="C82" s="77">
        <v>6.5274151000000004E-3</v>
      </c>
      <c r="D82" s="15">
        <v>779</v>
      </c>
      <c r="E82" s="32">
        <f t="shared" ref="E82:E85" si="38">IF(ISNUMBER(D82), (D82 - $B82) / $B82, "")</f>
        <v>1.0376134889753566E-2</v>
      </c>
      <c r="F82" s="18">
        <f>IF(ISNUMBER(D82), $B91 * E82, "")</f>
        <v>1037.6134889753566</v>
      </c>
      <c r="G82" s="31">
        <v>777</v>
      </c>
      <c r="H82" s="32">
        <f t="shared" ref="H82:H85" si="39">IF(ISNUMBER(G82), (G82 - $B82) / $B82, "")</f>
        <v>7.7821011673151752E-3</v>
      </c>
      <c r="I82" s="101">
        <f>IF(ISNUMBER(G82), $B91 * H82, "")</f>
        <v>778.21011673151747</v>
      </c>
      <c r="J82" s="15">
        <v>783</v>
      </c>
      <c r="K82" s="32">
        <f t="shared" ref="K82:K85" si="40">IF(ISNUMBER(J82), (J82 - $B82) / $B82, "")</f>
        <v>1.556420233463035E-2</v>
      </c>
      <c r="L82" s="18">
        <f>IF(ISNUMBER(J82), $B91 * K82, "")</f>
        <v>1556.4202334630349</v>
      </c>
      <c r="M82" s="31">
        <v>774</v>
      </c>
      <c r="N82" s="32">
        <f t="shared" ref="N82:N85" si="41">IF(ISNUMBER(M82), (M82 - $B82) / $B82, "")</f>
        <v>3.8910505836575876E-3</v>
      </c>
      <c r="O82" s="18">
        <f>IF(ISNUMBER(M82), $B91 * N82, "")</f>
        <v>389.10505836575874</v>
      </c>
      <c r="Q82" s="223"/>
      <c r="R82" s="224"/>
      <c r="S82" s="225"/>
    </row>
    <row r="83" spans="1:19" ht="17.25" thickBot="1">
      <c r="A83" s="125" t="s">
        <v>206</v>
      </c>
      <c r="B83" s="126">
        <v>236</v>
      </c>
      <c r="C83" s="77">
        <v>4.2553191000000001E-3</v>
      </c>
      <c r="D83" s="15">
        <v>239</v>
      </c>
      <c r="E83" s="32">
        <f t="shared" si="38"/>
        <v>1.2711864406779662E-2</v>
      </c>
      <c r="F83" s="18">
        <f>IF(ISNUMBER(D83), $B91 * E83, "")</f>
        <v>1271.1864406779662</v>
      </c>
      <c r="G83" s="31">
        <v>242</v>
      </c>
      <c r="H83" s="32">
        <f t="shared" si="39"/>
        <v>2.5423728813559324E-2</v>
      </c>
      <c r="I83" s="101">
        <f>IF(ISNUMBER(G83), $B91 * H83, "")</f>
        <v>2542.3728813559323</v>
      </c>
      <c r="J83" s="15">
        <v>246</v>
      </c>
      <c r="K83" s="32">
        <f t="shared" si="40"/>
        <v>4.2372881355932202E-2</v>
      </c>
      <c r="L83" s="18">
        <f>IF(ISNUMBER(J83), $B91 * K83, "")</f>
        <v>4237.2881355932204</v>
      </c>
      <c r="M83" s="31">
        <v>244</v>
      </c>
      <c r="N83" s="32">
        <f t="shared" si="41"/>
        <v>3.3898305084745763E-2</v>
      </c>
      <c r="O83" s="18">
        <f>IF(ISNUMBER(M83), $B91 * N83, "")</f>
        <v>3389.8305084745762</v>
      </c>
      <c r="Q83" s="216"/>
      <c r="R83" s="216"/>
      <c r="S83" s="216"/>
    </row>
    <row r="84" spans="1:19" ht="17.25" thickBot="1">
      <c r="A84" s="125" t="s">
        <v>267</v>
      </c>
      <c r="B84" s="126">
        <v>272</v>
      </c>
      <c r="C84" s="77">
        <v>3.6900369000000001E-3</v>
      </c>
      <c r="D84" s="15">
        <v>275</v>
      </c>
      <c r="E84" s="32">
        <f t="shared" si="38"/>
        <v>1.1029411764705883E-2</v>
      </c>
      <c r="F84" s="18">
        <f>IF(ISNUMBER(D84), $B91 * E84, "")</f>
        <v>1102.9411764705883</v>
      </c>
      <c r="G84" s="31">
        <v>273</v>
      </c>
      <c r="H84" s="32">
        <f t="shared" si="39"/>
        <v>3.6764705882352941E-3</v>
      </c>
      <c r="I84" s="101">
        <f>IF(ISNUMBER(G84), $B91 * H84, "")</f>
        <v>367.64705882352939</v>
      </c>
      <c r="J84" s="15">
        <v>274</v>
      </c>
      <c r="K84" s="32">
        <f t="shared" si="40"/>
        <v>7.3529411764705881E-3</v>
      </c>
      <c r="L84" s="18">
        <f>IF(ISNUMBER(J84), $B91 * K84, "")</f>
        <v>735.29411764705878</v>
      </c>
      <c r="M84" s="31">
        <v>270</v>
      </c>
      <c r="N84" s="32">
        <f t="shared" si="41"/>
        <v>-7.3529411764705881E-3</v>
      </c>
      <c r="O84" s="18">
        <f>IF(ISNUMBER(M84), $B91 * N84, "")</f>
        <v>-735.29411764705878</v>
      </c>
      <c r="Q84" s="226"/>
      <c r="R84" s="226"/>
      <c r="S84" s="226"/>
    </row>
    <row r="85" spans="1:19" ht="17.25" thickBot="1">
      <c r="A85" s="127" t="s">
        <v>102</v>
      </c>
      <c r="B85" s="128">
        <v>841</v>
      </c>
      <c r="C85" s="78">
        <v>2.3837901999999998E-3</v>
      </c>
      <c r="D85" s="20">
        <v>895</v>
      </c>
      <c r="E85" s="21">
        <f t="shared" si="38"/>
        <v>6.4209274673008326E-2</v>
      </c>
      <c r="F85" s="22">
        <f>IF(ISNUMBER(D85), $B91 * E85, "")</f>
        <v>6420.9274673008331</v>
      </c>
      <c r="G85" s="30">
        <v>885</v>
      </c>
      <c r="H85" s="21">
        <f t="shared" si="39"/>
        <v>5.2318668252080855E-2</v>
      </c>
      <c r="I85" s="105">
        <f>IF(ISNUMBER(G85), $B91 * H85, "")</f>
        <v>5231.8668252080852</v>
      </c>
      <c r="J85" s="20">
        <v>890</v>
      </c>
      <c r="K85" s="21">
        <f t="shared" si="40"/>
        <v>5.8263971462544591E-2</v>
      </c>
      <c r="L85" s="22">
        <f>IF(ISNUMBER(J85), $B91 * K85, "")</f>
        <v>5826.3971462544587</v>
      </c>
      <c r="M85" s="30">
        <v>904</v>
      </c>
      <c r="N85" s="21">
        <f t="shared" si="41"/>
        <v>7.4910820451843038E-2</v>
      </c>
      <c r="O85" s="22">
        <f>IF(ISNUMBER(M85), $B91 * N85, "")</f>
        <v>7491.0820451843038</v>
      </c>
      <c r="Q85" s="226"/>
      <c r="R85" s="226"/>
      <c r="S85" s="226"/>
    </row>
    <row r="86" spans="1:19" ht="17.25" thickBot="1">
      <c r="A86" s="125" t="s">
        <v>138</v>
      </c>
      <c r="B86" s="129">
        <v>413</v>
      </c>
      <c r="C86" s="80">
        <v>-4.8192770999999999E-3</v>
      </c>
      <c r="D86" s="106">
        <v>413</v>
      </c>
      <c r="E86" s="107">
        <f>IF(ISNUMBER(D86), (D86 - $B86) / $B86, "")</f>
        <v>0</v>
      </c>
      <c r="F86" s="108">
        <f>IF(ISNUMBER(D86), $B91 * E86, "")</f>
        <v>0</v>
      </c>
      <c r="G86" s="109">
        <v>411</v>
      </c>
      <c r="H86" s="107">
        <f>IF(ISNUMBER(G86), (G86 - $B86) / $B86, "")</f>
        <v>-4.8426150121065378E-3</v>
      </c>
      <c r="I86" s="110">
        <f>IF(ISNUMBER(G86), $B91 * H86, "")</f>
        <v>-484.26150121065376</v>
      </c>
      <c r="J86" s="106">
        <v>416</v>
      </c>
      <c r="K86" s="107">
        <f>IF(ISNUMBER(J86), (J86 - $B86) / $B86, "")</f>
        <v>7.2639225181598066E-3</v>
      </c>
      <c r="L86" s="108">
        <f>IF(ISNUMBER(J86), $B91 * K86, "")</f>
        <v>726.39225181598067</v>
      </c>
      <c r="M86" s="109">
        <v>414</v>
      </c>
      <c r="N86" s="107">
        <f>IF(ISNUMBER(M86), (M86 - $B86) / $B86, "")</f>
        <v>2.4213075060532689E-3</v>
      </c>
      <c r="O86" s="108">
        <f>IF(ISNUMBER(M86), $B91 * N86, "")</f>
        <v>242.13075060532688</v>
      </c>
      <c r="Q86" s="216"/>
      <c r="R86" s="216"/>
      <c r="S86" s="216"/>
    </row>
    <row r="87" spans="1:19" ht="17.25" thickBot="1">
      <c r="A87" s="125" t="s">
        <v>194</v>
      </c>
      <c r="B87" s="126">
        <v>131</v>
      </c>
      <c r="C87" s="77">
        <v>-7.5757576E-3</v>
      </c>
      <c r="D87" s="15">
        <v>130</v>
      </c>
      <c r="E87" s="32">
        <f t="shared" ref="E87:E90" si="42">IF(ISNUMBER(D87), (D87 - $B87) / $B87, "")</f>
        <v>-7.6335877862595417E-3</v>
      </c>
      <c r="F87" s="18">
        <f>IF(ISNUMBER(D87), $B91 * E87, "")</f>
        <v>-763.35877862595419</v>
      </c>
      <c r="G87" s="31">
        <v>128</v>
      </c>
      <c r="H87" s="32">
        <f t="shared" ref="H87:H90" si="43">IF(ISNUMBER(G87), (G87 - $B87) / $B87, "")</f>
        <v>-2.2900763358778626E-2</v>
      </c>
      <c r="I87" s="101">
        <f>IF(ISNUMBER(G87), $B91 * H87, "")</f>
        <v>-2290.0763358778627</v>
      </c>
      <c r="J87" s="15">
        <v>132</v>
      </c>
      <c r="K87" s="32">
        <f t="shared" ref="K87:K90" si="44">IF(ISNUMBER(J87), (J87 - $B87) / $B87, "")</f>
        <v>7.6335877862595417E-3</v>
      </c>
      <c r="L87" s="18">
        <f>IF(ISNUMBER(J87), $B91 * K87, "")</f>
        <v>763.35877862595419</v>
      </c>
      <c r="M87" s="31">
        <v>131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16"/>
      <c r="R87" s="216"/>
      <c r="S87" s="216"/>
    </row>
    <row r="88" spans="1:19" ht="17.25" thickBot="1">
      <c r="A88" s="125" t="s">
        <v>174</v>
      </c>
      <c r="B88" s="126">
        <v>240</v>
      </c>
      <c r="C88" s="77">
        <v>-8.2644628000000005E-3</v>
      </c>
      <c r="D88" s="15">
        <v>244</v>
      </c>
      <c r="E88" s="32">
        <f t="shared" si="42"/>
        <v>1.6666666666666666E-2</v>
      </c>
      <c r="F88" s="18">
        <f>IF(ISNUMBER(D88), $B91 * E88, "")</f>
        <v>1666.6666666666667</v>
      </c>
      <c r="G88" s="31">
        <v>243</v>
      </c>
      <c r="H88" s="32">
        <f t="shared" si="43"/>
        <v>1.2500000000000001E-2</v>
      </c>
      <c r="I88" s="101">
        <f>IF(ISNUMBER(G88), $B91 * H88, "")</f>
        <v>1250</v>
      </c>
      <c r="J88" s="15">
        <v>244</v>
      </c>
      <c r="K88" s="32">
        <f t="shared" si="44"/>
        <v>1.6666666666666666E-2</v>
      </c>
      <c r="L88" s="18">
        <f>IF(ISNUMBER(J88), $B91 * K88, "")</f>
        <v>1666.6666666666667</v>
      </c>
      <c r="M88" s="31">
        <v>242</v>
      </c>
      <c r="N88" s="32">
        <f t="shared" si="45"/>
        <v>8.3333333333333332E-3</v>
      </c>
      <c r="O88" s="18">
        <f>IF(ISNUMBER(M88), $B91 * N88, "")</f>
        <v>833.33333333333337</v>
      </c>
      <c r="Q88" s="216"/>
      <c r="R88" s="216"/>
      <c r="S88" s="216"/>
    </row>
    <row r="89" spans="1:19">
      <c r="A89" s="125" t="s">
        <v>222</v>
      </c>
      <c r="B89" s="126">
        <v>109</v>
      </c>
      <c r="C89" s="77">
        <v>-9.0909091000000008E-3</v>
      </c>
      <c r="D89" s="15">
        <v>110</v>
      </c>
      <c r="E89" s="32">
        <f t="shared" si="42"/>
        <v>9.1743119266055051E-3</v>
      </c>
      <c r="F89" s="18">
        <f>IF(ISNUMBER(D89), $B91 * E89, "")</f>
        <v>917.43119266055055</v>
      </c>
      <c r="G89" s="31">
        <v>108</v>
      </c>
      <c r="H89" s="32">
        <f t="shared" si="43"/>
        <v>-9.1743119266055051E-3</v>
      </c>
      <c r="I89" s="101">
        <f>IF(ISNUMBER(G89), $B91 * H89, "")</f>
        <v>-917.43119266055055</v>
      </c>
      <c r="J89" s="15">
        <v>114</v>
      </c>
      <c r="K89" s="32">
        <f t="shared" si="44"/>
        <v>4.5871559633027525E-2</v>
      </c>
      <c r="L89" s="18">
        <f>IF(ISNUMBER(J89), $B91 * K89, "")</f>
        <v>4587.1559633027528</v>
      </c>
      <c r="M89" s="31">
        <v>115</v>
      </c>
      <c r="N89" s="32">
        <f t="shared" si="45"/>
        <v>5.5045871559633031E-2</v>
      </c>
      <c r="O89" s="18">
        <f>IF(ISNUMBER(M89), $B91 * N89, "")</f>
        <v>5504.5871559633033</v>
      </c>
      <c r="Q89" s="205"/>
      <c r="R89" s="206"/>
      <c r="S89" s="207"/>
    </row>
    <row r="90" spans="1:19" ht="17.25" thickBot="1">
      <c r="A90" s="130" t="s">
        <v>231</v>
      </c>
      <c r="B90" s="131">
        <v>154</v>
      </c>
      <c r="C90" s="79">
        <v>-1.2820512799999999E-2</v>
      </c>
      <c r="D90" s="24">
        <v>161</v>
      </c>
      <c r="E90" s="25">
        <f t="shared" si="42"/>
        <v>4.5454545454545456E-2</v>
      </c>
      <c r="F90" s="104">
        <f>IF(ISNUMBER(D90), $B91 * E90, "")</f>
        <v>4545.454545454546</v>
      </c>
      <c r="G90" s="102">
        <v>164</v>
      </c>
      <c r="H90" s="25">
        <f t="shared" si="43"/>
        <v>6.4935064935064929E-2</v>
      </c>
      <c r="I90" s="103">
        <f>IF(ISNUMBER(G90), $B91 * H90, "")</f>
        <v>6493.5064935064929</v>
      </c>
      <c r="J90" s="24">
        <v>165</v>
      </c>
      <c r="K90" s="25">
        <f t="shared" si="44"/>
        <v>7.1428571428571425E-2</v>
      </c>
      <c r="L90" s="104">
        <f>IF(ISNUMBER(J90), $B91 * K90, "")</f>
        <v>7142.8571428571422</v>
      </c>
      <c r="M90" s="102">
        <v>166</v>
      </c>
      <c r="N90" s="25">
        <f t="shared" si="45"/>
        <v>7.792207792207792E-2</v>
      </c>
      <c r="O90" s="104">
        <f>IF(ISNUMBER(M90), $B91 * N90, "")</f>
        <v>7792.2077922077924</v>
      </c>
      <c r="Q90" s="208"/>
      <c r="R90" s="209"/>
      <c r="S90" s="210"/>
    </row>
    <row r="91" spans="1:19" ht="17.25" thickBot="1">
      <c r="A91" s="132" t="s">
        <v>271</v>
      </c>
      <c r="B91" s="269">
        <f>$B$37</f>
        <v>100000</v>
      </c>
      <c r="C91" s="270"/>
      <c r="D91" s="26" t="s">
        <v>272</v>
      </c>
      <c r="E91" s="27">
        <f>IF(COUNT(E71:E90), SUM(E71:E90) / COUNT(E71:E90), 0)</f>
        <v>4.5430517572542448E-2</v>
      </c>
      <c r="F91" s="28">
        <f>SUM(F71:F90)</f>
        <v>90861.035145084912</v>
      </c>
      <c r="G91" s="26" t="s">
        <v>272</v>
      </c>
      <c r="H91" s="27">
        <f>IF(COUNT(H71:H90), SUM(H71:H90) / COUNT(H71:H90), 0)</f>
        <v>4.707403843434263E-2</v>
      </c>
      <c r="I91" s="28">
        <f>SUM(I71:I90)</f>
        <v>94148.076868685268</v>
      </c>
      <c r="J91" s="26" t="s">
        <v>272</v>
      </c>
      <c r="K91" s="27">
        <f>IF(COUNT(K71:K90), SUM(K71:K90) / COUNT(K71:K90), 0)</f>
        <v>5.4580254591894792E-2</v>
      </c>
      <c r="L91" s="28">
        <f>SUM(L71:L90)</f>
        <v>109160.5091837896</v>
      </c>
      <c r="M91" s="26" t="s">
        <v>272</v>
      </c>
      <c r="N91" s="27">
        <f>IF(COUNT(N71:N90), SUM(N71:N90) / COUNT(N71:N90), 0)</f>
        <v>5.3567709134104066E-2</v>
      </c>
      <c r="O91" s="28">
        <f>SUM(O71:O90)</f>
        <v>107135.41826820812</v>
      </c>
      <c r="Q91" s="211"/>
      <c r="R91" s="212"/>
      <c r="S91" s="213"/>
    </row>
    <row r="93" spans="1:19" ht="17.25" thickBot="1"/>
    <row r="94" spans="1:19" ht="17.25" thickBot="1">
      <c r="A94" s="227" t="s">
        <v>46</v>
      </c>
      <c r="B94" s="228"/>
      <c r="C94" s="228"/>
      <c r="D94" s="228"/>
      <c r="E94" s="228"/>
      <c r="F94" s="228"/>
      <c r="G94" s="228"/>
      <c r="H94" s="228"/>
      <c r="I94" s="228"/>
      <c r="J94" s="228"/>
      <c r="K94" s="228"/>
      <c r="L94" s="228"/>
      <c r="M94" s="228"/>
      <c r="N94" s="228"/>
      <c r="O94" s="229"/>
      <c r="Q94" s="226"/>
      <c r="R94" s="226"/>
      <c r="S94" s="226"/>
    </row>
    <row r="95" spans="1:19" ht="17.25" thickBot="1">
      <c r="A95" s="181" t="s">
        <v>268</v>
      </c>
      <c r="B95" s="227" t="s">
        <v>49</v>
      </c>
      <c r="C95" s="229"/>
      <c r="D95" s="227" t="s">
        <v>58</v>
      </c>
      <c r="E95" s="228"/>
      <c r="F95" s="229"/>
      <c r="G95" s="230">
        <f>_xlfn.IFNA(VLOOKUP(B95, 현재가테이블!$B$2:$D$200, 2, FALSE), "-")</f>
        <v>39916000</v>
      </c>
      <c r="H95" s="231"/>
      <c r="I95" s="232"/>
      <c r="J95" s="227" t="s">
        <v>59</v>
      </c>
      <c r="K95" s="228"/>
      <c r="L95" s="229"/>
      <c r="M95" s="233">
        <f>_xlfn.IFNA(VLOOKUP(B95, 현재가테이블!$B$2:$D$200, 3, FALSE), "-")</f>
        <v>7.3184273000000003E-3</v>
      </c>
      <c r="N95" s="234"/>
      <c r="O95" s="235"/>
      <c r="Q95" s="226"/>
      <c r="R95" s="226"/>
      <c r="S95" s="226"/>
    </row>
    <row r="96" spans="1:19" ht="17.25" thickBot="1">
      <c r="A96" s="271" t="s">
        <v>55</v>
      </c>
      <c r="B96" s="267" t="str">
        <f>TEXT($G$1, "[$-ko-KR]yyyy-mm-dd(ddd) ") &amp; "오전 00:00"</f>
        <v>2021-07-07(수) 오전 00:00</v>
      </c>
      <c r="C96" s="268"/>
      <c r="D96" s="240" t="str">
        <f>TEXT($G$1, "[$-ko-KR]yyyy-mm-dd(ddd) ") &amp; "오후 14:00"</f>
        <v>2021-07-07(수) 오후 14:00</v>
      </c>
      <c r="E96" s="241"/>
      <c r="F96" s="242"/>
      <c r="G96" s="240" t="str">
        <f>TEXT($G$1, "[$-ko-KR]yyyy-mm-dd(ddd) ") &amp; "오후 19:00"</f>
        <v>2021-07-07(수) 오후 19:00</v>
      </c>
      <c r="H96" s="241"/>
      <c r="I96" s="242"/>
      <c r="J96" s="240" t="str">
        <f>TEXT($G$1, "[$-ko-KR]yyyy-mm-dd(ddd) ") &amp; "오후 21:00"</f>
        <v>2021-07-07(수) 오후 21:00</v>
      </c>
      <c r="K96" s="241"/>
      <c r="L96" s="242"/>
      <c r="M96" s="240" t="str">
        <f>TEXT($G$1+1, "[$-ko-KR]yyyy-mm-dd(ddd) ") &amp; "오전 00:00"</f>
        <v>2021-07-08(목) 오전 00:00</v>
      </c>
      <c r="N96" s="241"/>
      <c r="O96" s="242"/>
      <c r="Q96" s="226"/>
      <c r="R96" s="226"/>
      <c r="S96" s="226"/>
    </row>
    <row r="97" spans="1:19" ht="17.25" thickBot="1">
      <c r="A97" s="27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2" t="s">
        <v>58</v>
      </c>
      <c r="H97" s="183" t="s">
        <v>269</v>
      </c>
      <c r="I97" s="18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6"/>
      <c r="R97" s="216"/>
      <c r="S97" s="216"/>
    </row>
    <row r="98" spans="1:19" ht="17.25" thickBot="1">
      <c r="A98" s="123" t="s">
        <v>154</v>
      </c>
      <c r="B98" s="124">
        <v>11920</v>
      </c>
      <c r="C98" s="76">
        <v>0.26271186439999999</v>
      </c>
      <c r="D98" s="13">
        <v>14850</v>
      </c>
      <c r="E98" s="14">
        <f>IF(ISNUMBER(D98), (D98 - $B98) / $B98, "")</f>
        <v>0.24580536912751677</v>
      </c>
      <c r="F98" s="16">
        <f>IF(ISNUMBER(D98), $B118 * E98, "")</f>
        <v>24580.536912751679</v>
      </c>
      <c r="G98" s="29">
        <v>15470</v>
      </c>
      <c r="H98" s="14">
        <f>IF(ISNUMBER(G98), (G98 - $B98) / $B98, "")</f>
        <v>0.29781879194630873</v>
      </c>
      <c r="I98" s="100">
        <f>IF(ISNUMBER(G98), $B118 * H98, "")</f>
        <v>29781.879194630874</v>
      </c>
      <c r="J98" s="13">
        <v>15910</v>
      </c>
      <c r="K98" s="14">
        <f>IF(ISNUMBER(J98), (J98 - $B98) / $B98, "")</f>
        <v>0.33473154362416108</v>
      </c>
      <c r="L98" s="16">
        <f>IF(ISNUMBER(J98), $B118 * K98, "")</f>
        <v>33473.154362416106</v>
      </c>
      <c r="M98" s="29">
        <v>17210</v>
      </c>
      <c r="N98" s="14">
        <f>IF(ISNUMBER(M98), (M98 - $B98) / $B98, "")</f>
        <v>0.44379194630872482</v>
      </c>
      <c r="O98" s="16">
        <f>IF(ISNUMBER(M98), $B118 * N98, "")</f>
        <v>44379.19463087248</v>
      </c>
      <c r="Q98" s="226"/>
      <c r="R98" s="226"/>
      <c r="S98" s="226"/>
    </row>
    <row r="99" spans="1:19" ht="17.25" thickBot="1">
      <c r="A99" s="125" t="s">
        <v>114</v>
      </c>
      <c r="B99" s="126">
        <v>366</v>
      </c>
      <c r="C99" s="77">
        <v>0.16560509549999999</v>
      </c>
      <c r="D99" s="15">
        <v>476</v>
      </c>
      <c r="E99" s="32">
        <f t="shared" ref="E99:E102" si="46">IF(ISNUMBER(D99), (D99 - $B99) / $B99, "")</f>
        <v>0.30054644808743169</v>
      </c>
      <c r="F99" s="18">
        <f>IF(ISNUMBER(D99), $B118 * E99, "")</f>
        <v>30054.644808743171</v>
      </c>
      <c r="G99" s="31">
        <v>492</v>
      </c>
      <c r="H99" s="32">
        <f t="shared" ref="H99:H102" si="47">IF(ISNUMBER(G99), (G99 - $B99) / $B99, "")</f>
        <v>0.34426229508196721</v>
      </c>
      <c r="I99" s="101">
        <f>IF(ISNUMBER(G99), $B118 * H99, "")</f>
        <v>34426.229508196724</v>
      </c>
      <c r="J99" s="15">
        <v>473</v>
      </c>
      <c r="K99" s="32">
        <f t="shared" ref="K99:K102" si="48">IF(ISNUMBER(J99), (J99 - $B99) / $B99, "")</f>
        <v>0.29234972677595628</v>
      </c>
      <c r="L99" s="18">
        <f>IF(ISNUMBER(J99), $B118 * K99, "")</f>
        <v>29234.972677595626</v>
      </c>
      <c r="M99" s="31">
        <v>480</v>
      </c>
      <c r="N99" s="32">
        <f t="shared" ref="N99:N102" si="49">IF(ISNUMBER(M99), (M99 - $B99) / $B99, "")</f>
        <v>0.31147540983606559</v>
      </c>
      <c r="O99" s="18">
        <f>IF(ISNUMBER(M99), $B118 * N99, "")</f>
        <v>31147.540983606559</v>
      </c>
      <c r="Q99" s="226"/>
      <c r="R99" s="226"/>
      <c r="S99" s="226"/>
    </row>
    <row r="100" spans="1:19" ht="17.25" thickBot="1">
      <c r="A100" s="125" t="s">
        <v>198</v>
      </c>
      <c r="B100" s="126">
        <v>13800</v>
      </c>
      <c r="C100" s="77">
        <v>0.136738056</v>
      </c>
      <c r="D100" s="15">
        <v>14770</v>
      </c>
      <c r="E100" s="32">
        <f t="shared" si="46"/>
        <v>7.0289855072463769E-2</v>
      </c>
      <c r="F100" s="18">
        <f>IF(ISNUMBER(D100), $B118 * E100, "")</f>
        <v>7028.985507246377</v>
      </c>
      <c r="G100" s="31">
        <v>15130</v>
      </c>
      <c r="H100" s="32">
        <f t="shared" si="47"/>
        <v>9.6376811594202902E-2</v>
      </c>
      <c r="I100" s="101">
        <f>IF(ISNUMBER(G100), $B118 * H100, "")</f>
        <v>9637.68115942029</v>
      </c>
      <c r="J100" s="15">
        <v>15900</v>
      </c>
      <c r="K100" s="32">
        <f t="shared" si="48"/>
        <v>0.15217391304347827</v>
      </c>
      <c r="L100" s="18">
        <f>IF(ISNUMBER(J100), $B118 * K100, "")</f>
        <v>15217.391304347828</v>
      </c>
      <c r="M100" s="31">
        <v>17570</v>
      </c>
      <c r="N100" s="32">
        <f t="shared" si="49"/>
        <v>0.27318840579710146</v>
      </c>
      <c r="O100" s="18">
        <f>IF(ISNUMBER(M100), $B118 * N100, "")</f>
        <v>27318.840579710148</v>
      </c>
      <c r="Q100" s="216"/>
      <c r="R100" s="216"/>
      <c r="S100" s="216"/>
    </row>
    <row r="101" spans="1:19" ht="17.25" thickBot="1">
      <c r="A101" s="125" t="s">
        <v>61</v>
      </c>
      <c r="B101" s="126">
        <v>707</v>
      </c>
      <c r="C101" s="77">
        <v>0.1046875</v>
      </c>
      <c r="D101" s="15">
        <v>852</v>
      </c>
      <c r="E101" s="32">
        <f t="shared" si="46"/>
        <v>0.2050919377652051</v>
      </c>
      <c r="F101" s="18">
        <f>IF(ISNUMBER(D101), $B118 * E101, "")</f>
        <v>20509.193776520511</v>
      </c>
      <c r="G101" s="31">
        <v>833</v>
      </c>
      <c r="H101" s="32">
        <f t="shared" si="47"/>
        <v>0.17821782178217821</v>
      </c>
      <c r="I101" s="101">
        <f>IF(ISNUMBER(G101), $B118 * H101, "")</f>
        <v>17821.782178217822</v>
      </c>
      <c r="J101" s="15">
        <v>824</v>
      </c>
      <c r="K101" s="32">
        <f t="shared" si="48"/>
        <v>0.16548797736916548</v>
      </c>
      <c r="L101" s="18">
        <f>IF(ISNUMBER(J101), $B118 * K101, "")</f>
        <v>16548.797736916549</v>
      </c>
      <c r="M101" s="31">
        <v>844</v>
      </c>
      <c r="N101" s="32">
        <f t="shared" si="49"/>
        <v>0.19377652050919378</v>
      </c>
      <c r="O101" s="18">
        <f>IF(ISNUMBER(M101), $B118 * N101, "")</f>
        <v>19377.652050919376</v>
      </c>
      <c r="Q101" s="216"/>
      <c r="R101" s="216"/>
      <c r="S101" s="216"/>
    </row>
    <row r="102" spans="1:19" ht="17.25" thickBot="1">
      <c r="A102" s="127" t="s">
        <v>204</v>
      </c>
      <c r="B102" s="128">
        <v>13.2</v>
      </c>
      <c r="C102" s="78">
        <v>7.3170731700000005E-2</v>
      </c>
      <c r="D102" s="20">
        <v>14</v>
      </c>
      <c r="E102" s="21">
        <f t="shared" si="46"/>
        <v>6.0606060606060663E-2</v>
      </c>
      <c r="F102" s="22">
        <f>IF(ISNUMBER(D102), $B118 * E102, "")</f>
        <v>6060.6060606060664</v>
      </c>
      <c r="G102" s="30">
        <v>14</v>
      </c>
      <c r="H102" s="21">
        <f t="shared" si="47"/>
        <v>6.0606060606060663E-2</v>
      </c>
      <c r="I102" s="105">
        <f>IF(ISNUMBER(G102), $B118 * H102, "")</f>
        <v>6060.6060606060664</v>
      </c>
      <c r="J102" s="20">
        <v>14.2</v>
      </c>
      <c r="K102" s="21">
        <f t="shared" si="48"/>
        <v>7.575757575757576E-2</v>
      </c>
      <c r="L102" s="22">
        <f>IF(ISNUMBER(J102), $B118 * K102, "")</f>
        <v>7575.757575757576</v>
      </c>
      <c r="M102" s="30">
        <v>14.1</v>
      </c>
      <c r="N102" s="21">
        <f t="shared" si="49"/>
        <v>6.8181818181818218E-2</v>
      </c>
      <c r="O102" s="22">
        <f>IF(ISNUMBER(M102), $B118 * N102, "")</f>
        <v>6818.1818181818217</v>
      </c>
      <c r="Q102" s="216"/>
      <c r="R102" s="216"/>
      <c r="S102" s="216"/>
    </row>
    <row r="103" spans="1:19" ht="17.25" thickBot="1">
      <c r="A103" s="125" t="s">
        <v>160</v>
      </c>
      <c r="B103" s="129">
        <v>1115</v>
      </c>
      <c r="C103" s="80">
        <v>7.2115384599999999E-2</v>
      </c>
      <c r="D103" s="106">
        <v>1115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1260</v>
      </c>
      <c r="H103" s="107">
        <f>IF(ISNUMBER(G103), (G103 - $B103) / $B103, "")</f>
        <v>0.13004484304932734</v>
      </c>
      <c r="I103" s="110">
        <f>IF(ISNUMBER(G103), $B118 * H103, "")</f>
        <v>13004.484304932734</v>
      </c>
      <c r="J103" s="106">
        <v>1255</v>
      </c>
      <c r="K103" s="107">
        <f>IF(ISNUMBER(J103), (J103 - $B103) / $B103, "")</f>
        <v>0.12556053811659193</v>
      </c>
      <c r="L103" s="108">
        <f>IF(ISNUMBER(J103), $B118 * K103, "")</f>
        <v>12556.053811659192</v>
      </c>
      <c r="M103" s="109">
        <v>1225</v>
      </c>
      <c r="N103" s="107">
        <f>IF(ISNUMBER(M103), (M103 - $B103) / $B103, "")</f>
        <v>9.8654708520179366E-2</v>
      </c>
      <c r="O103" s="108">
        <f>IF(ISNUMBER(M103), $B118 * N103, "")</f>
        <v>9865.4708520179374</v>
      </c>
      <c r="Q103" s="216"/>
      <c r="R103" s="216"/>
      <c r="S103" s="216"/>
    </row>
    <row r="104" spans="1:19" ht="17.25" thickBot="1">
      <c r="A104" s="125" t="s">
        <v>188</v>
      </c>
      <c r="B104" s="126">
        <v>10.9</v>
      </c>
      <c r="C104" s="77">
        <v>6.8627451000000006E-2</v>
      </c>
      <c r="D104" s="15">
        <v>11.3</v>
      </c>
      <c r="E104" s="32">
        <f t="shared" ref="E104:E107" si="50">IF(ISNUMBER(D104), (D104 - $B104) / $B104, "")</f>
        <v>3.6697247706422048E-2</v>
      </c>
      <c r="F104" s="18">
        <f>IF(ISNUMBER(D104), $B118 * E104, "")</f>
        <v>3669.7247706422049</v>
      </c>
      <c r="G104" s="31">
        <v>11.6</v>
      </c>
      <c r="H104" s="32">
        <f t="shared" ref="H104:H107" si="51">IF(ISNUMBER(G104), (G104 - $B104) / $B104, "")</f>
        <v>6.4220183486238466E-2</v>
      </c>
      <c r="I104" s="101">
        <f>IF(ISNUMBER(G104), $B118 * H104, "")</f>
        <v>6422.0183486238466</v>
      </c>
      <c r="J104" s="15">
        <v>11.6</v>
      </c>
      <c r="K104" s="32">
        <f t="shared" ref="K104:K107" si="52">IF(ISNUMBER(J104), (J104 - $B104) / $B104, "")</f>
        <v>6.4220183486238466E-2</v>
      </c>
      <c r="L104" s="18">
        <f>IF(ISNUMBER(J104), $B118 * K104, "")</f>
        <v>6422.0183486238466</v>
      </c>
      <c r="M104" s="31">
        <v>11.3</v>
      </c>
      <c r="N104" s="32">
        <f t="shared" ref="N104:N107" si="53">IF(ISNUMBER(M104), (M104 - $B104) / $B104, "")</f>
        <v>3.6697247706422048E-2</v>
      </c>
      <c r="O104" s="18">
        <f>IF(ISNUMBER(M104), $B118 * N104, "")</f>
        <v>3669.7247706422049</v>
      </c>
      <c r="Q104" s="216"/>
      <c r="R104" s="216"/>
      <c r="S104" s="216"/>
    </row>
    <row r="105" spans="1:19" ht="17.25" thickBot="1">
      <c r="A105" s="125" t="s">
        <v>196</v>
      </c>
      <c r="B105" s="126">
        <v>2970</v>
      </c>
      <c r="C105" s="77">
        <v>6.4516129000000005E-2</v>
      </c>
      <c r="D105" s="15">
        <v>3465</v>
      </c>
      <c r="E105" s="32">
        <f t="shared" si="50"/>
        <v>0.16666666666666666</v>
      </c>
      <c r="F105" s="18">
        <f>IF(ISNUMBER(D105), $B118 * E105, "")</f>
        <v>16666.666666666664</v>
      </c>
      <c r="G105" s="31">
        <v>3490</v>
      </c>
      <c r="H105" s="32">
        <f t="shared" si="51"/>
        <v>0.17508417508417509</v>
      </c>
      <c r="I105" s="101">
        <f>IF(ISNUMBER(G105), $B118 * H105, "")</f>
        <v>17508.417508417508</v>
      </c>
      <c r="J105" s="15">
        <v>3525</v>
      </c>
      <c r="K105" s="32">
        <f t="shared" si="52"/>
        <v>0.18686868686868688</v>
      </c>
      <c r="L105" s="18">
        <f>IF(ISNUMBER(J105), $B118 * K105, "")</f>
        <v>18686.868686868689</v>
      </c>
      <c r="M105" s="31">
        <v>3690</v>
      </c>
      <c r="N105" s="32">
        <f t="shared" si="53"/>
        <v>0.24242424242424243</v>
      </c>
      <c r="O105" s="18">
        <f>IF(ISNUMBER(M105), $B118 * N105, "")</f>
        <v>24242.424242424244</v>
      </c>
      <c r="Q105" s="216"/>
      <c r="R105" s="216"/>
      <c r="S105" s="216"/>
    </row>
    <row r="106" spans="1:19" ht="17.25" thickBot="1">
      <c r="A106" s="125" t="s">
        <v>146</v>
      </c>
      <c r="B106" s="126">
        <v>2430</v>
      </c>
      <c r="C106" s="77">
        <v>6.3457330399999998E-2</v>
      </c>
      <c r="D106" s="15">
        <v>2520</v>
      </c>
      <c r="E106" s="32">
        <f t="shared" si="50"/>
        <v>3.7037037037037035E-2</v>
      </c>
      <c r="F106" s="18">
        <f>IF(ISNUMBER(D106), $B118 * E106, "")</f>
        <v>3703.7037037037035</v>
      </c>
      <c r="G106" s="31">
        <v>2480</v>
      </c>
      <c r="H106" s="32">
        <f t="shared" si="51"/>
        <v>2.0576131687242798E-2</v>
      </c>
      <c r="I106" s="101">
        <f>IF(ISNUMBER(G106), $B118 * H106, "")</f>
        <v>2057.6131687242801</v>
      </c>
      <c r="J106" s="15">
        <v>2510</v>
      </c>
      <c r="K106" s="32">
        <f t="shared" si="52"/>
        <v>3.292181069958848E-2</v>
      </c>
      <c r="L106" s="18">
        <f>IF(ISNUMBER(J106), $B118 * K106, "")</f>
        <v>3292.1810699588482</v>
      </c>
      <c r="M106" s="31">
        <v>2500</v>
      </c>
      <c r="N106" s="32">
        <f t="shared" si="53"/>
        <v>2.8806584362139918E-2</v>
      </c>
      <c r="O106" s="18">
        <f>IF(ISNUMBER(M106), $B118 * N106, "")</f>
        <v>2880.658436213992</v>
      </c>
      <c r="Q106" s="33"/>
      <c r="R106" s="33"/>
    </row>
    <row r="107" spans="1:19" ht="17.25" thickBot="1">
      <c r="A107" s="130" t="s">
        <v>76</v>
      </c>
      <c r="B107" s="131">
        <v>22700</v>
      </c>
      <c r="C107" s="79">
        <v>5.6797020500000003E-2</v>
      </c>
      <c r="D107" s="24">
        <v>24330</v>
      </c>
      <c r="E107" s="25">
        <f t="shared" si="50"/>
        <v>7.1806167400881055E-2</v>
      </c>
      <c r="F107" s="104">
        <f>IF(ISNUMBER(D107), $B118 * E107, "")</f>
        <v>7180.6167400881059</v>
      </c>
      <c r="G107" s="102">
        <v>24160</v>
      </c>
      <c r="H107" s="25">
        <f t="shared" si="51"/>
        <v>6.4317180616740091E-2</v>
      </c>
      <c r="I107" s="103">
        <f>IF(ISNUMBER(G107), $B118 * H107, "")</f>
        <v>6431.7180616740088</v>
      </c>
      <c r="J107" s="24">
        <v>24270</v>
      </c>
      <c r="K107" s="25">
        <f t="shared" si="52"/>
        <v>6.9162995594713658E-2</v>
      </c>
      <c r="L107" s="104">
        <f>IF(ISNUMBER(J107), $B118 * K107, "")</f>
        <v>6916.2995594713657</v>
      </c>
      <c r="M107" s="102">
        <v>23920</v>
      </c>
      <c r="N107" s="25">
        <f t="shared" si="53"/>
        <v>5.3744493392070485E-2</v>
      </c>
      <c r="O107" s="104">
        <f>IF(ISNUMBER(M107), $B118 * N107, "")</f>
        <v>5374.4493392070481</v>
      </c>
      <c r="Q107" s="217"/>
      <c r="R107" s="218"/>
      <c r="S107" s="219"/>
    </row>
    <row r="108" spans="1:19">
      <c r="A108" s="123" t="s">
        <v>239</v>
      </c>
      <c r="B108" s="124">
        <v>82.2</v>
      </c>
      <c r="C108" s="76">
        <v>4.9808429100000003E-2</v>
      </c>
      <c r="D108" s="13">
        <v>81.3</v>
      </c>
      <c r="E108" s="14">
        <f>IF(ISNUMBER(D108), (D108 - $B108) / $B108, "")</f>
        <v>-1.0948905109489119E-2</v>
      </c>
      <c r="F108" s="16">
        <f>IF(ISNUMBER(D108), $B118 * E108, "")</f>
        <v>-1094.8905109489119</v>
      </c>
      <c r="G108" s="29">
        <v>81.5</v>
      </c>
      <c r="H108" s="14">
        <f>IF(ISNUMBER(G108), (G108 - $B108) / $B108, "")</f>
        <v>-8.5158150851581856E-3</v>
      </c>
      <c r="I108" s="100">
        <f>IF(ISNUMBER(G108), $B118 * H108, "")</f>
        <v>-851.58150851581854</v>
      </c>
      <c r="J108" s="13">
        <v>83.1</v>
      </c>
      <c r="K108" s="14">
        <f>IF(ISNUMBER(J108), (J108 - $B108) / $B108, "")</f>
        <v>1.0948905109488948E-2</v>
      </c>
      <c r="L108" s="16">
        <f>IF(ISNUMBER(J108), $B118 * K108, "")</f>
        <v>1094.8905109488946</v>
      </c>
      <c r="M108" s="29">
        <v>82.1</v>
      </c>
      <c r="N108" s="14">
        <f>IF(ISNUMBER(M108), (M108 - $B108) / $B108, "")</f>
        <v>-1.2165450121655538E-3</v>
      </c>
      <c r="O108" s="16">
        <f>IF(ISNUMBER(M108), $B118 * N108, "")</f>
        <v>-121.65450121655537</v>
      </c>
      <c r="Q108" s="220"/>
      <c r="R108" s="221"/>
      <c r="S108" s="222"/>
    </row>
    <row r="109" spans="1:19" ht="17.25" thickBot="1">
      <c r="A109" s="125" t="s">
        <v>168</v>
      </c>
      <c r="B109" s="126">
        <v>1000</v>
      </c>
      <c r="C109" s="77">
        <v>4.8218029400000001E-2</v>
      </c>
      <c r="D109" s="15">
        <v>1115</v>
      </c>
      <c r="E109" s="32">
        <f t="shared" ref="E109:E112" si="54">IF(ISNUMBER(D109), (D109 - $B109) / $B109, "")</f>
        <v>0.115</v>
      </c>
      <c r="F109" s="18">
        <f>IF(ISNUMBER(D109), $B118 * E109, "")</f>
        <v>11500</v>
      </c>
      <c r="G109" s="31">
        <v>1090</v>
      </c>
      <c r="H109" s="32">
        <f t="shared" ref="H109:H112" si="55">IF(ISNUMBER(G109), (G109 - $B109) / $B109, "")</f>
        <v>0.09</v>
      </c>
      <c r="I109" s="101">
        <f>IF(ISNUMBER(G109), $B118 * H109, "")</f>
        <v>9000</v>
      </c>
      <c r="J109" s="15">
        <v>1105</v>
      </c>
      <c r="K109" s="32">
        <f t="shared" ref="K109:K112" si="56">IF(ISNUMBER(J109), (J109 - $B109) / $B109, "")</f>
        <v>0.105</v>
      </c>
      <c r="L109" s="18">
        <f>IF(ISNUMBER(J109), $B118 * K109, "")</f>
        <v>10500</v>
      </c>
      <c r="M109" s="31">
        <v>1160</v>
      </c>
      <c r="N109" s="32">
        <f t="shared" ref="N109:N112" si="57">IF(ISNUMBER(M109), (M109 - $B109) / $B109, "")</f>
        <v>0.16</v>
      </c>
      <c r="O109" s="18">
        <f>IF(ISNUMBER(M109), $B118 * N109, "")</f>
        <v>16000</v>
      </c>
      <c r="Q109" s="223"/>
      <c r="R109" s="224"/>
      <c r="S109" s="225"/>
    </row>
    <row r="110" spans="1:19" ht="17.25" thickBot="1">
      <c r="A110" s="125" t="s">
        <v>164</v>
      </c>
      <c r="B110" s="126">
        <v>257</v>
      </c>
      <c r="C110" s="77">
        <v>4.4715447200000001E-2</v>
      </c>
      <c r="D110" s="15">
        <v>262</v>
      </c>
      <c r="E110" s="32">
        <f t="shared" si="54"/>
        <v>1.9455252918287938E-2</v>
      </c>
      <c r="F110" s="18">
        <f>IF(ISNUMBER(D110), $B118 * E110, "")</f>
        <v>1945.5252918287938</v>
      </c>
      <c r="G110" s="31">
        <v>258</v>
      </c>
      <c r="H110" s="32">
        <f t="shared" si="55"/>
        <v>3.8910505836575876E-3</v>
      </c>
      <c r="I110" s="101">
        <f>IF(ISNUMBER(G110), $B118 * H110, "")</f>
        <v>389.10505836575874</v>
      </c>
      <c r="J110" s="15">
        <v>259</v>
      </c>
      <c r="K110" s="32">
        <f t="shared" si="56"/>
        <v>7.7821011673151752E-3</v>
      </c>
      <c r="L110" s="18">
        <f>IF(ISNUMBER(J110), $B118 * K110, "")</f>
        <v>778.21011673151747</v>
      </c>
      <c r="M110" s="31">
        <v>256</v>
      </c>
      <c r="N110" s="32">
        <f t="shared" si="57"/>
        <v>-3.8910505836575876E-3</v>
      </c>
      <c r="O110" s="18">
        <f>IF(ISNUMBER(M110), $B118 * N110, "")</f>
        <v>-389.10505836575874</v>
      </c>
      <c r="Q110" s="216"/>
      <c r="R110" s="216"/>
      <c r="S110" s="216"/>
    </row>
    <row r="111" spans="1:19" ht="17.25" thickBot="1">
      <c r="A111" s="125" t="s">
        <v>156</v>
      </c>
      <c r="B111" s="126">
        <v>1355</v>
      </c>
      <c r="C111" s="77">
        <v>4.2307692299999998E-2</v>
      </c>
      <c r="D111" s="15">
        <v>1525</v>
      </c>
      <c r="E111" s="32">
        <f t="shared" si="54"/>
        <v>0.12546125461254612</v>
      </c>
      <c r="F111" s="18">
        <f>IF(ISNUMBER(D111), $B118 * E111, "")</f>
        <v>12546.125461254613</v>
      </c>
      <c r="G111" s="31">
        <v>1530</v>
      </c>
      <c r="H111" s="32">
        <f t="shared" si="55"/>
        <v>0.12915129151291513</v>
      </c>
      <c r="I111" s="101">
        <f>IF(ISNUMBER(G111), $B118 * H111, "")</f>
        <v>12915.129151291512</v>
      </c>
      <c r="J111" s="15">
        <v>1545</v>
      </c>
      <c r="K111" s="32">
        <f t="shared" si="56"/>
        <v>0.14022140221402213</v>
      </c>
      <c r="L111" s="18">
        <f>IF(ISNUMBER(J111), $B118 * K111, "")</f>
        <v>14022.140221402213</v>
      </c>
      <c r="M111" s="31">
        <v>1565</v>
      </c>
      <c r="N111" s="32">
        <f t="shared" si="57"/>
        <v>0.15498154981549817</v>
      </c>
      <c r="O111" s="18">
        <f>IF(ISNUMBER(M111), $B118 * N111, "")</f>
        <v>15498.154981549817</v>
      </c>
      <c r="Q111" s="226"/>
      <c r="R111" s="226"/>
      <c r="S111" s="226"/>
    </row>
    <row r="112" spans="1:19" ht="17.25" thickBot="1">
      <c r="A112" s="127" t="s">
        <v>69</v>
      </c>
      <c r="B112" s="128">
        <v>4045</v>
      </c>
      <c r="C112" s="78">
        <v>3.98457584E-2</v>
      </c>
      <c r="D112" s="20">
        <v>4485</v>
      </c>
      <c r="E112" s="21">
        <f t="shared" si="54"/>
        <v>0.10877626699629171</v>
      </c>
      <c r="F112" s="22">
        <f>IF(ISNUMBER(D112), $B118 * E112, "")</f>
        <v>10877.626699629171</v>
      </c>
      <c r="G112" s="30">
        <v>4435</v>
      </c>
      <c r="H112" s="21">
        <f t="shared" si="55"/>
        <v>9.6415327564894932E-2</v>
      </c>
      <c r="I112" s="105">
        <f>IF(ISNUMBER(G112), $B118 * H112, "")</f>
        <v>9641.5327564894924</v>
      </c>
      <c r="J112" s="20">
        <v>4495</v>
      </c>
      <c r="K112" s="21">
        <f t="shared" si="56"/>
        <v>0.11124845488257108</v>
      </c>
      <c r="L112" s="22">
        <f>IF(ISNUMBER(J112), $B118 * K112, "")</f>
        <v>11124.845488257108</v>
      </c>
      <c r="M112" s="30">
        <v>4340</v>
      </c>
      <c r="N112" s="21">
        <f t="shared" si="57"/>
        <v>7.2929542645241041E-2</v>
      </c>
      <c r="O112" s="22">
        <f>IF(ISNUMBER(M112), $B118 * N112, "")</f>
        <v>7292.9542645241045</v>
      </c>
      <c r="Q112" s="226"/>
      <c r="R112" s="226"/>
      <c r="S112" s="226"/>
    </row>
    <row r="113" spans="1:19" ht="17.25" thickBot="1">
      <c r="A113" s="125" t="s">
        <v>136</v>
      </c>
      <c r="B113" s="129">
        <v>1885</v>
      </c>
      <c r="C113" s="80">
        <v>3.8567493100000003E-2</v>
      </c>
      <c r="D113" s="106">
        <v>1950</v>
      </c>
      <c r="E113" s="107">
        <f>IF(ISNUMBER(D113), (D113 - $B113) / $B113, "")</f>
        <v>3.4482758620689655E-2</v>
      </c>
      <c r="F113" s="108">
        <f>IF(ISNUMBER(D113), $B118 * E113, "")</f>
        <v>3448.2758620689656</v>
      </c>
      <c r="G113" s="109">
        <v>1965</v>
      </c>
      <c r="H113" s="107">
        <f>IF(ISNUMBER(G113), (G113 - $B113) / $B113, "")</f>
        <v>4.2440318302387266E-2</v>
      </c>
      <c r="I113" s="110">
        <f>IF(ISNUMBER(G113), $B118 * H113, "")</f>
        <v>4244.0318302387268</v>
      </c>
      <c r="J113" s="106">
        <v>1990</v>
      </c>
      <c r="K113" s="107">
        <f>IF(ISNUMBER(J113), (J113 - $B113) / $B113, "")</f>
        <v>5.5702917771883291E-2</v>
      </c>
      <c r="L113" s="108">
        <f>IF(ISNUMBER(J113), $B118 * K113, "")</f>
        <v>5570.2917771883294</v>
      </c>
      <c r="M113" s="109">
        <v>2010</v>
      </c>
      <c r="N113" s="107">
        <f>IF(ISNUMBER(M113), (M113 - $B113) / $B113, "")</f>
        <v>6.6312997347480113E-2</v>
      </c>
      <c r="O113" s="108">
        <f>IF(ISNUMBER(M113), $B118 * N113, "")</f>
        <v>6631.2997347480114</v>
      </c>
      <c r="Q113" s="216"/>
      <c r="R113" s="216"/>
      <c r="S113" s="216"/>
    </row>
    <row r="114" spans="1:19" ht="17.25" thickBot="1">
      <c r="A114" s="125" t="s">
        <v>94</v>
      </c>
      <c r="B114" s="126">
        <v>2668000</v>
      </c>
      <c r="C114" s="77">
        <v>3.6519036499999998E-2</v>
      </c>
      <c r="D114" s="15">
        <v>2770000</v>
      </c>
      <c r="E114" s="32">
        <f t="shared" ref="E114:E117" si="58">IF(ISNUMBER(D114), (D114 - $B114) / $B114, "")</f>
        <v>3.823088455772114E-2</v>
      </c>
      <c r="F114" s="18">
        <f>IF(ISNUMBER(D114), $B118 * E114, "")</f>
        <v>3823.0884557721138</v>
      </c>
      <c r="G114" s="31">
        <v>2763000</v>
      </c>
      <c r="H114" s="32">
        <f t="shared" ref="H114:H117" si="59">IF(ISNUMBER(G114), (G114 - $B114) / $B114, "")</f>
        <v>3.5607196401799102E-2</v>
      </c>
      <c r="I114" s="101">
        <f>IF(ISNUMBER(G114), $B118 * H114, "")</f>
        <v>3560.7196401799101</v>
      </c>
      <c r="J114" s="15">
        <v>2790000</v>
      </c>
      <c r="K114" s="32">
        <f t="shared" ref="K114:K117" si="60">IF(ISNUMBER(J114), (J114 - $B114) / $B114, "")</f>
        <v>4.572713643178411E-2</v>
      </c>
      <c r="L114" s="18">
        <f>IF(ISNUMBER(J114), $B118 * K114, "")</f>
        <v>4572.7136431784111</v>
      </c>
      <c r="M114" s="31">
        <v>2740000</v>
      </c>
      <c r="N114" s="32">
        <f t="shared" ref="N114:N117" si="61">IF(ISNUMBER(M114), (M114 - $B114) / $B114, "")</f>
        <v>2.6986506746626688E-2</v>
      </c>
      <c r="O114" s="18">
        <f>IF(ISNUMBER(M114), $B118 * N114, "")</f>
        <v>2698.6506746626687</v>
      </c>
      <c r="Q114" s="216"/>
      <c r="R114" s="216"/>
      <c r="S114" s="216"/>
    </row>
    <row r="115" spans="1:19" ht="17.25" thickBot="1">
      <c r="A115" s="125" t="s">
        <v>104</v>
      </c>
      <c r="B115" s="126">
        <v>842</v>
      </c>
      <c r="C115" s="77">
        <v>3.4398034399999999E-2</v>
      </c>
      <c r="D115" s="15">
        <v>873</v>
      </c>
      <c r="E115" s="32">
        <f t="shared" si="58"/>
        <v>3.6817102137767219E-2</v>
      </c>
      <c r="F115" s="18">
        <f>IF(ISNUMBER(D115), $B118 * E115, "")</f>
        <v>3681.710213776722</v>
      </c>
      <c r="G115" s="31">
        <v>916</v>
      </c>
      <c r="H115" s="32">
        <f t="shared" si="59"/>
        <v>8.7885985748218529E-2</v>
      </c>
      <c r="I115" s="101">
        <f>IF(ISNUMBER(G115), $B118 * H115, "")</f>
        <v>8788.5985748218536</v>
      </c>
      <c r="J115" s="15">
        <v>907</v>
      </c>
      <c r="K115" s="32">
        <f t="shared" si="60"/>
        <v>7.7197149643705457E-2</v>
      </c>
      <c r="L115" s="18">
        <f>IF(ISNUMBER(J115), $B118 * K115, "")</f>
        <v>7719.7149643705461</v>
      </c>
      <c r="M115" s="31">
        <v>923</v>
      </c>
      <c r="N115" s="32">
        <f t="shared" si="61"/>
        <v>9.6199524940617578E-2</v>
      </c>
      <c r="O115" s="18">
        <f>IF(ISNUMBER(M115), $B118 * N115, "")</f>
        <v>9619.9524940617575</v>
      </c>
      <c r="Q115" s="216"/>
      <c r="R115" s="216"/>
      <c r="S115" s="216"/>
    </row>
    <row r="116" spans="1:19">
      <c r="A116" s="125" t="s">
        <v>80</v>
      </c>
      <c r="B116" s="126">
        <v>687</v>
      </c>
      <c r="C116" s="77">
        <v>3.30827068E-2</v>
      </c>
      <c r="D116" s="15">
        <v>733</v>
      </c>
      <c r="E116" s="32">
        <f t="shared" si="58"/>
        <v>6.6957787481804948E-2</v>
      </c>
      <c r="F116" s="18">
        <f>IF(ISNUMBER(D116), $B118 * E116, "")</f>
        <v>6695.7787481804944</v>
      </c>
      <c r="G116" s="31">
        <v>737</v>
      </c>
      <c r="H116" s="32">
        <f t="shared" si="59"/>
        <v>7.2780203784570591E-2</v>
      </c>
      <c r="I116" s="101">
        <f>IF(ISNUMBER(G116), $B118 * H116, "")</f>
        <v>7278.0203784570595</v>
      </c>
      <c r="J116" s="15">
        <v>742</v>
      </c>
      <c r="K116" s="32">
        <f t="shared" si="60"/>
        <v>8.0058224163027658E-2</v>
      </c>
      <c r="L116" s="18">
        <f>IF(ISNUMBER(J116), $B118 * K116, "")</f>
        <v>8005.8224163027662</v>
      </c>
      <c r="M116" s="31">
        <v>733</v>
      </c>
      <c r="N116" s="32">
        <f t="shared" si="61"/>
        <v>6.6957787481804948E-2</v>
      </c>
      <c r="O116" s="18">
        <f>IF(ISNUMBER(M116), $B118 * N116, "")</f>
        <v>6695.7787481804944</v>
      </c>
      <c r="Q116" s="205"/>
      <c r="R116" s="206"/>
      <c r="S116" s="207"/>
    </row>
    <row r="117" spans="1:19" ht="17.25" thickBot="1">
      <c r="A117" s="130" t="s">
        <v>116</v>
      </c>
      <c r="B117" s="131">
        <v>5415</v>
      </c>
      <c r="C117" s="79">
        <v>3.2411820799999998E-2</v>
      </c>
      <c r="D117" s="24">
        <v>5445</v>
      </c>
      <c r="E117" s="25">
        <f t="shared" si="58"/>
        <v>5.5401662049861496E-3</v>
      </c>
      <c r="F117" s="104">
        <f>IF(ISNUMBER(D117), $B118 * E117, "")</f>
        <v>554.016620498615</v>
      </c>
      <c r="G117" s="102">
        <v>5350</v>
      </c>
      <c r="H117" s="25">
        <f t="shared" si="59"/>
        <v>-1.2003693444136657E-2</v>
      </c>
      <c r="I117" s="103">
        <f>IF(ISNUMBER(G117), $B118 * H117, "")</f>
        <v>-1200.3693444136657</v>
      </c>
      <c r="J117" s="24">
        <v>5470</v>
      </c>
      <c r="K117" s="25">
        <f t="shared" si="60"/>
        <v>1.0156971375807941E-2</v>
      </c>
      <c r="L117" s="104">
        <f>IF(ISNUMBER(J117), $B118 * K117, "")</f>
        <v>1015.6971375807941</v>
      </c>
      <c r="M117" s="102">
        <v>5560</v>
      </c>
      <c r="N117" s="25">
        <f t="shared" si="61"/>
        <v>2.6777469990766391E-2</v>
      </c>
      <c r="O117" s="104">
        <f>IF(ISNUMBER(M117), $B118 * N117, "")</f>
        <v>2677.746999076639</v>
      </c>
      <c r="Q117" s="208"/>
      <c r="R117" s="209"/>
      <c r="S117" s="210"/>
    </row>
    <row r="118" spans="1:19" ht="17.25" thickBot="1">
      <c r="A118" s="132" t="s">
        <v>271</v>
      </c>
      <c r="B118" s="269">
        <f>$B$37</f>
        <v>100000</v>
      </c>
      <c r="C118" s="270"/>
      <c r="D118" s="26" t="s">
        <v>272</v>
      </c>
      <c r="E118" s="27">
        <f>IF(COUNT(E98:E117), SUM(E98:E117) / COUNT(E98:E117), 0)</f>
        <v>8.6715967894514523E-2</v>
      </c>
      <c r="F118" s="28">
        <f>SUM(F98:F117)</f>
        <v>173431.93578902908</v>
      </c>
      <c r="G118" s="26" t="s">
        <v>272</v>
      </c>
      <c r="H118" s="27">
        <f>IF(COUNT(H98:H117), SUM(H98:H117) / COUNT(H98:H117), 0)</f>
        <v>9.8458808015179505E-2</v>
      </c>
      <c r="I118" s="28">
        <f>SUM(I98:I117)</f>
        <v>196917.61603035903</v>
      </c>
      <c r="J118" s="26" t="s">
        <v>272</v>
      </c>
      <c r="K118" s="27">
        <f>IF(COUNT(K98:K117), SUM(K98:K117) / COUNT(K98:K117), 0)</f>
        <v>0.10716391070478812</v>
      </c>
      <c r="L118" s="28">
        <f>SUM(L98:L117)</f>
        <v>214327.82140957622</v>
      </c>
      <c r="M118" s="26" t="s">
        <v>272</v>
      </c>
      <c r="N118" s="27">
        <f>IF(COUNT(N98:N117), SUM(N98:N117) / COUNT(N98:N117), 0)</f>
        <v>0.12083895802050851</v>
      </c>
      <c r="O118" s="28">
        <f>SUM(O98:O117)</f>
        <v>241677.91604101699</v>
      </c>
      <c r="Q118" s="211"/>
      <c r="R118" s="212"/>
      <c r="S118" s="213"/>
    </row>
    <row r="120" spans="1:19" ht="17.25" thickBot="1"/>
    <row r="121" spans="1:19" ht="17.25" thickBot="1">
      <c r="A121" s="227" t="s">
        <v>259</v>
      </c>
      <c r="B121" s="228"/>
      <c r="C121" s="228"/>
      <c r="D121" s="228"/>
      <c r="E121" s="228"/>
      <c r="F121" s="228"/>
      <c r="G121" s="228"/>
      <c r="H121" s="228"/>
      <c r="I121" s="228"/>
      <c r="J121" s="228"/>
      <c r="K121" s="228"/>
      <c r="L121" s="228"/>
      <c r="M121" s="228"/>
      <c r="N121" s="228"/>
      <c r="O121" s="229"/>
      <c r="Q121" s="226"/>
      <c r="R121" s="226"/>
      <c r="S121" s="226"/>
    </row>
    <row r="122" spans="1:19" ht="17.25" thickBot="1">
      <c r="A122" s="181" t="s">
        <v>268</v>
      </c>
      <c r="B122" s="227" t="s">
        <v>49</v>
      </c>
      <c r="C122" s="229"/>
      <c r="D122" s="227" t="s">
        <v>58</v>
      </c>
      <c r="E122" s="228"/>
      <c r="F122" s="229"/>
      <c r="G122" s="230">
        <f>_xlfn.IFNA(VLOOKUP(B122, 현재가테이블!$B$2:$D$200, 2, FALSE), "-")</f>
        <v>39916000</v>
      </c>
      <c r="H122" s="231"/>
      <c r="I122" s="232"/>
      <c r="J122" s="227" t="s">
        <v>59</v>
      </c>
      <c r="K122" s="228"/>
      <c r="L122" s="229"/>
      <c r="M122" s="233">
        <f>_xlfn.IFNA(VLOOKUP(B122, 현재가테이블!$B$2:$D$200, 3, FALSE), "-")</f>
        <v>7.3184273000000003E-3</v>
      </c>
      <c r="N122" s="234"/>
      <c r="O122" s="235"/>
      <c r="Q122" s="226"/>
      <c r="R122" s="226"/>
      <c r="S122" s="226"/>
    </row>
    <row r="123" spans="1:19" ht="17.25" thickBot="1">
      <c r="A123" s="271" t="s">
        <v>55</v>
      </c>
      <c r="B123" s="267" t="str">
        <f>TEXT($G$1, "[$-ko-KR]yyyy-mm-dd(ddd) ") &amp; "오전 00:00"</f>
        <v>2021-07-07(수) 오전 00:00</v>
      </c>
      <c r="C123" s="268"/>
      <c r="D123" s="240" t="str">
        <f>TEXT($G$1, "[$-ko-KR]yyyy-mm-dd(ddd) ") &amp; "오후 14:00"</f>
        <v>2021-07-07(수) 오후 14:00</v>
      </c>
      <c r="E123" s="241"/>
      <c r="F123" s="242"/>
      <c r="G123" s="240" t="str">
        <f>TEXT($G$1, "[$-ko-KR]yyyy-mm-dd(ddd) ") &amp; "오후 19:00"</f>
        <v>2021-07-07(수) 오후 19:00</v>
      </c>
      <c r="H123" s="241"/>
      <c r="I123" s="242"/>
      <c r="J123" s="240" t="str">
        <f>TEXT($G$1, "[$-ko-KR]yyyy-mm-dd(ddd) ") &amp; "오후 21:00"</f>
        <v>2021-07-07(수) 오후 21:00</v>
      </c>
      <c r="K123" s="241"/>
      <c r="L123" s="242"/>
      <c r="M123" s="240" t="str">
        <f>TEXT($G$1+1, "[$-ko-KR]yyyy-mm-dd(ddd) ") &amp; "오전 00:00"</f>
        <v>2021-07-08(목) 오전 00:00</v>
      </c>
      <c r="N123" s="241"/>
      <c r="O123" s="242"/>
      <c r="Q123" s="226"/>
      <c r="R123" s="226"/>
      <c r="S123" s="226"/>
    </row>
    <row r="124" spans="1:19" ht="17.25" thickBot="1">
      <c r="A124" s="27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2" t="s">
        <v>58</v>
      </c>
      <c r="H124" s="183" t="s">
        <v>269</v>
      </c>
      <c r="I124" s="18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6"/>
      <c r="R124" s="216"/>
      <c r="S124" s="216"/>
    </row>
    <row r="125" spans="1:19" ht="17.25" thickBot="1">
      <c r="A125" s="123" t="s">
        <v>235</v>
      </c>
      <c r="B125" s="124">
        <v>61.8</v>
      </c>
      <c r="C125" s="76">
        <v>6.5146580000000004E-3</v>
      </c>
      <c r="D125" s="13">
        <v>60.6</v>
      </c>
      <c r="E125" s="14">
        <f>IF(ISNUMBER(D125), (D125 - $B125) / $B125, "")</f>
        <v>-1.9417475728155272E-2</v>
      </c>
      <c r="F125" s="16">
        <f>IF(ISNUMBER(D125), $B145 * E125, "")</f>
        <v>-1941.7475728155273</v>
      </c>
      <c r="G125" s="29">
        <v>60.6</v>
      </c>
      <c r="H125" s="14">
        <f>IF(ISNUMBER(G125), (G125 - $B125) / $B125, "")</f>
        <v>-1.9417475728155272E-2</v>
      </c>
      <c r="I125" s="100">
        <f>IF(ISNUMBER(G125), $B145 * H125, "")</f>
        <v>-1941.7475728155273</v>
      </c>
      <c r="J125" s="13">
        <v>61.1</v>
      </c>
      <c r="K125" s="14">
        <f>IF(ISNUMBER(J125), (J125 - $B125) / $B125, "")</f>
        <v>-1.132686084142388E-2</v>
      </c>
      <c r="L125" s="16">
        <f>IF(ISNUMBER(J125), $B145 * K125, "")</f>
        <v>-1132.6860841423879</v>
      </c>
      <c r="M125" s="29">
        <v>60.6</v>
      </c>
      <c r="N125" s="14">
        <f>IF(ISNUMBER(M125), (M125 - $B125) / $B125, "")</f>
        <v>-1.9417475728155272E-2</v>
      </c>
      <c r="O125" s="16">
        <f>IF(ISNUMBER(M125), $B145 * N125, "")</f>
        <v>-1941.7475728155273</v>
      </c>
      <c r="Q125" s="226"/>
      <c r="R125" s="226"/>
      <c r="S125" s="226"/>
    </row>
    <row r="126" spans="1:19" ht="17.25" thickBot="1">
      <c r="A126" s="125" t="s">
        <v>178</v>
      </c>
      <c r="B126" s="126">
        <v>16</v>
      </c>
      <c r="C126" s="77">
        <v>6.2893081999999996E-3</v>
      </c>
      <c r="D126" s="15">
        <v>15.8</v>
      </c>
      <c r="E126" s="32">
        <f t="shared" ref="E126:E129" si="62">IF(ISNUMBER(D126), (D126 - $B126) / $B126, "")</f>
        <v>-1.2499999999999956E-2</v>
      </c>
      <c r="F126" s="18">
        <f>IF(ISNUMBER(D126), $B145 * E126, "")</f>
        <v>-1249.9999999999955</v>
      </c>
      <c r="G126" s="31">
        <v>15.7</v>
      </c>
      <c r="H126" s="32">
        <f t="shared" ref="H126:H129" si="63">IF(ISNUMBER(G126), (G126 - $B126) / $B126, "")</f>
        <v>-1.8750000000000044E-2</v>
      </c>
      <c r="I126" s="101">
        <f>IF(ISNUMBER(G126), $B145 * H126, "")</f>
        <v>-1875.0000000000045</v>
      </c>
      <c r="J126" s="15">
        <v>15.9</v>
      </c>
      <c r="K126" s="32">
        <f t="shared" ref="K126:K129" si="64">IF(ISNUMBER(J126), (J126 - $B126) / $B126, "")</f>
        <v>-6.2499999999999778E-3</v>
      </c>
      <c r="L126" s="18">
        <f>IF(ISNUMBER(J126), $B145 * K126, "")</f>
        <v>-624.99999999999773</v>
      </c>
      <c r="M126" s="31">
        <v>15.6</v>
      </c>
      <c r="N126" s="32">
        <f t="shared" ref="N126:N129" si="65">IF(ISNUMBER(M126), (M126 - $B126) / $B126, "")</f>
        <v>-2.5000000000000022E-2</v>
      </c>
      <c r="O126" s="18">
        <f>IF(ISNUMBER(M126), $B145 * N126, "")</f>
        <v>-2500.0000000000023</v>
      </c>
      <c r="Q126" s="226"/>
      <c r="R126" s="226"/>
      <c r="S126" s="226"/>
    </row>
    <row r="127" spans="1:19" ht="17.25" thickBot="1">
      <c r="A127" s="125" t="s">
        <v>98</v>
      </c>
      <c r="B127" s="126">
        <v>3.11</v>
      </c>
      <c r="C127" s="77">
        <v>3.2258065000000001E-3</v>
      </c>
      <c r="D127" s="15">
        <v>3.15</v>
      </c>
      <c r="E127" s="32">
        <f t="shared" si="62"/>
        <v>1.2861736334405157E-2</v>
      </c>
      <c r="F127" s="18">
        <f>IF(ISNUMBER(D127), $B145 * E127, "")</f>
        <v>1286.1736334405157</v>
      </c>
      <c r="G127" s="31">
        <v>3.14</v>
      </c>
      <c r="H127" s="32">
        <f t="shared" si="63"/>
        <v>9.6463022508039391E-3</v>
      </c>
      <c r="I127" s="101">
        <f>IF(ISNUMBER(G127), $B145 * H127, "")</f>
        <v>964.63022508039387</v>
      </c>
      <c r="J127" s="15">
        <v>3.16</v>
      </c>
      <c r="K127" s="32">
        <f t="shared" si="64"/>
        <v>1.6077170418006517E-2</v>
      </c>
      <c r="L127" s="18">
        <f>IF(ISNUMBER(J127), $B145 * K127, "")</f>
        <v>1607.7170418006517</v>
      </c>
      <c r="M127" s="31">
        <v>3.16</v>
      </c>
      <c r="N127" s="32">
        <f t="shared" si="65"/>
        <v>1.6077170418006517E-2</v>
      </c>
      <c r="O127" s="18">
        <f>IF(ISNUMBER(M127), $B145 * N127, "")</f>
        <v>1607.7170418006517</v>
      </c>
      <c r="Q127" s="216"/>
      <c r="R127" s="216"/>
      <c r="S127" s="216"/>
    </row>
    <row r="128" spans="1:19" ht="17.25" thickBot="1">
      <c r="A128" s="125" t="s">
        <v>130</v>
      </c>
      <c r="B128" s="126">
        <v>90.1</v>
      </c>
      <c r="C128" s="77">
        <v>2.2246941000000002E-3</v>
      </c>
      <c r="D128" s="15">
        <v>89.2</v>
      </c>
      <c r="E128" s="32">
        <f t="shared" si="62"/>
        <v>-9.9889012208656102E-3</v>
      </c>
      <c r="F128" s="18">
        <f>IF(ISNUMBER(D128), $B145 * E128, "")</f>
        <v>-998.89012208656106</v>
      </c>
      <c r="G128" s="31">
        <v>89.4</v>
      </c>
      <c r="H128" s="32">
        <f t="shared" si="63"/>
        <v>-7.7691453940065339E-3</v>
      </c>
      <c r="I128" s="101">
        <f>IF(ISNUMBER(G128), $B145 * H128, "")</f>
        <v>-776.91453940065344</v>
      </c>
      <c r="J128" s="15">
        <v>90.3</v>
      </c>
      <c r="K128" s="32">
        <f t="shared" si="64"/>
        <v>2.2197558268590772E-3</v>
      </c>
      <c r="L128" s="18">
        <f>IF(ISNUMBER(J128), $B145 * K128, "")</f>
        <v>221.97558268590771</v>
      </c>
      <c r="M128" s="31">
        <v>90.3</v>
      </c>
      <c r="N128" s="32">
        <f t="shared" si="65"/>
        <v>2.2197558268590772E-3</v>
      </c>
      <c r="O128" s="18">
        <f>IF(ISNUMBER(M128), $B145 * N128, "")</f>
        <v>221.97558268590771</v>
      </c>
      <c r="Q128" s="216"/>
      <c r="R128" s="216"/>
      <c r="S128" s="216"/>
    </row>
    <row r="129" spans="1:19" ht="17.25" thickBot="1">
      <c r="A129" s="127" t="s">
        <v>128</v>
      </c>
      <c r="B129" s="128">
        <v>98</v>
      </c>
      <c r="C129" s="78">
        <v>2.0449897999999999E-3</v>
      </c>
      <c r="D129" s="20">
        <v>99.4</v>
      </c>
      <c r="E129" s="21">
        <f t="shared" si="62"/>
        <v>1.4285714285714344E-2</v>
      </c>
      <c r="F129" s="22">
        <f>IF(ISNUMBER(D129), $B145 * E129, "")</f>
        <v>1428.5714285714344</v>
      </c>
      <c r="G129" s="30">
        <v>98.4</v>
      </c>
      <c r="H129" s="21">
        <f t="shared" si="63"/>
        <v>4.0816326530612821E-3</v>
      </c>
      <c r="I129" s="105">
        <f>IF(ISNUMBER(G129), $B145 * H129, "")</f>
        <v>408.16326530612821</v>
      </c>
      <c r="J129" s="20">
        <v>99.5</v>
      </c>
      <c r="K129" s="21">
        <f t="shared" si="64"/>
        <v>1.5306122448979591E-2</v>
      </c>
      <c r="L129" s="22">
        <f>IF(ISNUMBER(J129), $B145 * K129, "")</f>
        <v>1530.612244897959</v>
      </c>
      <c r="M129" s="30">
        <v>99.1</v>
      </c>
      <c r="N129" s="21">
        <f t="shared" si="65"/>
        <v>1.1224489795918309E-2</v>
      </c>
      <c r="O129" s="22">
        <f>IF(ISNUMBER(M129), $B145 * N129, "")</f>
        <v>1122.4489795918309</v>
      </c>
      <c r="Q129" s="216"/>
      <c r="R129" s="216"/>
      <c r="S129" s="216"/>
    </row>
    <row r="130" spans="1:19" ht="17.25" thickBot="1">
      <c r="A130" s="125" t="s">
        <v>150</v>
      </c>
      <c r="B130" s="129">
        <v>10.6</v>
      </c>
      <c r="C130" s="80">
        <v>0</v>
      </c>
      <c r="D130" s="106">
        <v>10.5</v>
      </c>
      <c r="E130" s="107">
        <f>IF(ISNUMBER(D130), (D130 - $B130) / $B130, "")</f>
        <v>-9.4339622641509101E-3</v>
      </c>
      <c r="F130" s="108">
        <f>IF(ISNUMBER(D130), $B145 * E130, "")</f>
        <v>-943.39622641509106</v>
      </c>
      <c r="G130" s="109">
        <v>10.4</v>
      </c>
      <c r="H130" s="107">
        <f>IF(ISNUMBER(G130), (G130 - $B130) / $B130, "")</f>
        <v>-1.886792452830182E-2</v>
      </c>
      <c r="I130" s="110">
        <f>IF(ISNUMBER(G130), $B145 * H130, "")</f>
        <v>-1886.7924528301821</v>
      </c>
      <c r="J130" s="106">
        <v>10.5</v>
      </c>
      <c r="K130" s="107">
        <f>IF(ISNUMBER(J130), (J130 - $B130) / $B130, "")</f>
        <v>-9.4339622641509101E-3</v>
      </c>
      <c r="L130" s="108">
        <f>IF(ISNUMBER(J130), $B145 * K130, "")</f>
        <v>-943.39622641509106</v>
      </c>
      <c r="M130" s="109">
        <v>10.4</v>
      </c>
      <c r="N130" s="107">
        <f>IF(ISNUMBER(M130), (M130 - $B130) / $B130, "")</f>
        <v>-1.886792452830182E-2</v>
      </c>
      <c r="O130" s="108">
        <f>IF(ISNUMBER(M130), $B145 * N130, "")</f>
        <v>-1886.7924528301821</v>
      </c>
      <c r="Q130" s="216"/>
      <c r="R130" s="216"/>
      <c r="S130" s="216"/>
    </row>
    <row r="131" spans="1:19" ht="17.25" thickBot="1">
      <c r="A131" s="125" t="s">
        <v>152</v>
      </c>
      <c r="B131" s="126">
        <v>75.3</v>
      </c>
      <c r="C131" s="77">
        <v>-2.6490066E-3</v>
      </c>
      <c r="D131" s="15">
        <v>76.2</v>
      </c>
      <c r="E131" s="32">
        <f t="shared" ref="E131:E134" si="66">IF(ISNUMBER(D131), (D131 - $B131) / $B131, "")</f>
        <v>1.1952191235059837E-2</v>
      </c>
      <c r="F131" s="18">
        <f>IF(ISNUMBER(D131), $B145 * E131, "")</f>
        <v>1195.2191235059838</v>
      </c>
      <c r="G131" s="31">
        <v>76.3</v>
      </c>
      <c r="H131" s="32">
        <f t="shared" ref="H131:H134" si="67">IF(ISNUMBER(G131), (G131 - $B131) / $B131, "")</f>
        <v>1.3280212483399735E-2</v>
      </c>
      <c r="I131" s="101">
        <f>IF(ISNUMBER(G131), $B145 * H131, "")</f>
        <v>1328.0212483399735</v>
      </c>
      <c r="J131" s="15">
        <v>76.5</v>
      </c>
      <c r="K131" s="32">
        <f t="shared" ref="K131:K134" si="68">IF(ISNUMBER(J131), (J131 - $B131) / $B131, "")</f>
        <v>1.5936254980079719E-2</v>
      </c>
      <c r="L131" s="18">
        <f>IF(ISNUMBER(J131), $B145 * K131, "")</f>
        <v>1593.6254980079718</v>
      </c>
      <c r="M131" s="31">
        <v>76.099999999999994</v>
      </c>
      <c r="N131" s="32">
        <f t="shared" ref="N131:N134" si="69">IF(ISNUMBER(M131), (M131 - $B131) / $B131, "")</f>
        <v>1.062416998671975E-2</v>
      </c>
      <c r="O131" s="18">
        <f>IF(ISNUMBER(M131), $B145 * N131, "")</f>
        <v>1062.4169986719751</v>
      </c>
      <c r="Q131" s="216"/>
      <c r="R131" s="216"/>
      <c r="S131" s="216"/>
    </row>
    <row r="132" spans="1:19" ht="17.25" thickBot="1">
      <c r="A132" s="125" t="s">
        <v>132</v>
      </c>
      <c r="B132" s="126">
        <v>93</v>
      </c>
      <c r="C132" s="77">
        <v>-3.2154341000000001E-3</v>
      </c>
      <c r="D132" s="15">
        <v>94.8</v>
      </c>
      <c r="E132" s="32">
        <f t="shared" si="66"/>
        <v>1.9354838709677389E-2</v>
      </c>
      <c r="F132" s="18">
        <f>IF(ISNUMBER(D132), $B145 * E132, "")</f>
        <v>1935.483870967739</v>
      </c>
      <c r="G132" s="31">
        <v>94.7</v>
      </c>
      <c r="H132" s="32">
        <f t="shared" si="67"/>
        <v>1.827956989247315E-2</v>
      </c>
      <c r="I132" s="101">
        <f>IF(ISNUMBER(G132), $B145 * H132, "")</f>
        <v>1827.9569892473151</v>
      </c>
      <c r="J132" s="15">
        <v>96.2</v>
      </c>
      <c r="K132" s="32">
        <f t="shared" si="68"/>
        <v>3.4408602150537662E-2</v>
      </c>
      <c r="L132" s="18">
        <f>IF(ISNUMBER(J132), $B145 * K132, "")</f>
        <v>3440.8602150537663</v>
      </c>
      <c r="M132" s="31">
        <v>95.4</v>
      </c>
      <c r="N132" s="32">
        <f t="shared" si="69"/>
        <v>2.5806451612903288E-2</v>
      </c>
      <c r="O132" s="18">
        <f>IF(ISNUMBER(M132), $B145 * N132, "")</f>
        <v>2580.6451612903288</v>
      </c>
      <c r="Q132" s="216"/>
      <c r="R132" s="216"/>
      <c r="S132" s="216"/>
    </row>
    <row r="133" spans="1:19" ht="17.25" thickBot="1">
      <c r="A133" s="125" t="s">
        <v>122</v>
      </c>
      <c r="B133" s="126">
        <v>23.9</v>
      </c>
      <c r="C133" s="77">
        <v>-4.1666667000000001E-3</v>
      </c>
      <c r="D133" s="15">
        <v>23.7</v>
      </c>
      <c r="E133" s="32">
        <f t="shared" si="66"/>
        <v>-8.3682008368200552E-3</v>
      </c>
      <c r="F133" s="18">
        <f>IF(ISNUMBER(D133), $B145 * E133, "")</f>
        <v>-836.82008368200547</v>
      </c>
      <c r="G133" s="31">
        <v>24.3</v>
      </c>
      <c r="H133" s="32">
        <f t="shared" si="67"/>
        <v>1.6736401673640256E-2</v>
      </c>
      <c r="I133" s="101">
        <f>IF(ISNUMBER(G133), $B145 * H133, "")</f>
        <v>1673.6401673640255</v>
      </c>
      <c r="J133" s="15">
        <v>24.6</v>
      </c>
      <c r="K133" s="32">
        <f t="shared" si="68"/>
        <v>2.9288702928870414E-2</v>
      </c>
      <c r="L133" s="18">
        <f>IF(ISNUMBER(J133), $B145 * K133, "")</f>
        <v>2928.8702928870416</v>
      </c>
      <c r="M133" s="31">
        <v>24.1</v>
      </c>
      <c r="N133" s="32">
        <f t="shared" si="69"/>
        <v>8.3682008368202027E-3</v>
      </c>
      <c r="O133" s="18">
        <f>IF(ISNUMBER(M133), $B145 * N133, "")</f>
        <v>836.82008368202025</v>
      </c>
      <c r="Q133" s="33"/>
      <c r="R133" s="33"/>
    </row>
    <row r="134" spans="1:19" ht="17.25" thickBot="1">
      <c r="A134" s="130" t="s">
        <v>144</v>
      </c>
      <c r="B134" s="131">
        <v>86.3</v>
      </c>
      <c r="C134" s="79">
        <v>-4.6136101000000002E-3</v>
      </c>
      <c r="D134" s="24">
        <v>87.6</v>
      </c>
      <c r="E134" s="25">
        <f t="shared" si="66"/>
        <v>1.5063731170336004E-2</v>
      </c>
      <c r="F134" s="104">
        <f>IF(ISNUMBER(D134), $B145 * E134, "")</f>
        <v>1506.3731170336005</v>
      </c>
      <c r="G134" s="102">
        <v>91</v>
      </c>
      <c r="H134" s="25">
        <f t="shared" si="67"/>
        <v>5.4461181923522631E-2</v>
      </c>
      <c r="I134" s="103">
        <f>IF(ISNUMBER(G134), $B145 * H134, "")</f>
        <v>5446.1181923522627</v>
      </c>
      <c r="J134" s="24">
        <v>91.7</v>
      </c>
      <c r="K134" s="25">
        <f t="shared" si="68"/>
        <v>6.2572421784472837E-2</v>
      </c>
      <c r="L134" s="104">
        <f>IF(ISNUMBER(J134), $B145 * K134, "")</f>
        <v>6257.2421784472835</v>
      </c>
      <c r="M134" s="102">
        <v>91.9</v>
      </c>
      <c r="N134" s="25">
        <f t="shared" si="69"/>
        <v>6.4889918887601497E-2</v>
      </c>
      <c r="O134" s="104">
        <f>IF(ISNUMBER(M134), $B145 * N134, "")</f>
        <v>6488.9918887601498</v>
      </c>
      <c r="Q134" s="217"/>
      <c r="R134" s="218"/>
      <c r="S134" s="219"/>
    </row>
    <row r="135" spans="1:19">
      <c r="A135" s="123" t="s">
        <v>251</v>
      </c>
      <c r="B135" s="124">
        <v>60.3</v>
      </c>
      <c r="C135" s="76">
        <v>-4.9504950000000001E-3</v>
      </c>
      <c r="D135" s="13">
        <v>61.6</v>
      </c>
      <c r="E135" s="14">
        <f>IF(ISNUMBER(D135), (D135 - $B135) / $B135, "")</f>
        <v>2.1558872305141034E-2</v>
      </c>
      <c r="F135" s="16">
        <f>IF(ISNUMBER(D135), $B145 * E135, "")</f>
        <v>2155.8872305141035</v>
      </c>
      <c r="G135" s="29">
        <v>64.8</v>
      </c>
      <c r="H135" s="14">
        <f>IF(ISNUMBER(G135), (G135 - $B135) / $B135, "")</f>
        <v>7.4626865671641798E-2</v>
      </c>
      <c r="I135" s="100">
        <f>IF(ISNUMBER(G135), $B145 * H135, "")</f>
        <v>7462.6865671641799</v>
      </c>
      <c r="J135" s="13">
        <v>65.099999999999994</v>
      </c>
      <c r="K135" s="14">
        <f>IF(ISNUMBER(J135), (J135 - $B135) / $B135, "")</f>
        <v>7.9601990049751201E-2</v>
      </c>
      <c r="L135" s="16">
        <f>IF(ISNUMBER(J135), $B145 * K135, "")</f>
        <v>7960.1990049751203</v>
      </c>
      <c r="M135" s="29">
        <v>65.2</v>
      </c>
      <c r="N135" s="14">
        <f>IF(ISNUMBER(M135), (M135 - $B135) / $B135, "")</f>
        <v>8.1260364842454497E-2</v>
      </c>
      <c r="O135" s="16">
        <f>IF(ISNUMBER(M135), $B145 * N135, "")</f>
        <v>8126.0364842454501</v>
      </c>
      <c r="Q135" s="220"/>
      <c r="R135" s="221"/>
      <c r="S135" s="222"/>
    </row>
    <row r="136" spans="1:19" ht="17.25" thickBot="1">
      <c r="A136" s="125" t="s">
        <v>148</v>
      </c>
      <c r="B136" s="126">
        <v>15.8</v>
      </c>
      <c r="C136" s="77">
        <v>-6.2893081999999996E-3</v>
      </c>
      <c r="D136" s="15">
        <v>16.100000000000001</v>
      </c>
      <c r="E136" s="32">
        <f t="shared" ref="E136:E139" si="70">IF(ISNUMBER(D136), (D136 - $B136) / $B136, "")</f>
        <v>1.8987341772151944E-2</v>
      </c>
      <c r="F136" s="18">
        <f>IF(ISNUMBER(D136), $B145 * E136, "")</f>
        <v>1898.7341772151944</v>
      </c>
      <c r="G136" s="31">
        <v>16.399999999999999</v>
      </c>
      <c r="H136" s="32">
        <f t="shared" ref="H136:H139" si="71">IF(ISNUMBER(G136), (G136 - $B136) / $B136, "")</f>
        <v>3.797468354430366E-2</v>
      </c>
      <c r="I136" s="101">
        <f>IF(ISNUMBER(G136), $B145 * H136, "")</f>
        <v>3797.4683544303662</v>
      </c>
      <c r="J136" s="15">
        <v>16.5</v>
      </c>
      <c r="K136" s="32">
        <f t="shared" ref="K136:K139" si="72">IF(ISNUMBER(J136), (J136 - $B136) / $B136, "")</f>
        <v>4.4303797468354382E-2</v>
      </c>
      <c r="L136" s="18">
        <f>IF(ISNUMBER(J136), $B145 * K136, "")</f>
        <v>4430.3797468354378</v>
      </c>
      <c r="M136" s="31">
        <v>16.8</v>
      </c>
      <c r="N136" s="32">
        <f t="shared" ref="N136:N139" si="73">IF(ISNUMBER(M136), (M136 - $B136) / $B136, "")</f>
        <v>6.3291139240506319E-2</v>
      </c>
      <c r="O136" s="18">
        <f>IF(ISNUMBER(M136), $B145 * N136, "")</f>
        <v>6329.1139240506318</v>
      </c>
      <c r="Q136" s="223"/>
      <c r="R136" s="224"/>
      <c r="S136" s="225"/>
    </row>
    <row r="137" spans="1:19" ht="17.25" thickBot="1">
      <c r="A137" s="125" t="s">
        <v>162</v>
      </c>
      <c r="B137" s="126">
        <v>82.5</v>
      </c>
      <c r="C137" s="77">
        <v>-7.2202166E-3</v>
      </c>
      <c r="D137" s="15">
        <v>82.5</v>
      </c>
      <c r="E137" s="32">
        <f t="shared" si="70"/>
        <v>0</v>
      </c>
      <c r="F137" s="18">
        <f>IF(ISNUMBER(D137), $B145 * E137, "")</f>
        <v>0</v>
      </c>
      <c r="G137" s="31">
        <v>82.2</v>
      </c>
      <c r="H137" s="32">
        <f t="shared" si="71"/>
        <v>-3.6363636363636021E-3</v>
      </c>
      <c r="I137" s="101">
        <f>IF(ISNUMBER(G137), $B145 * H137, "")</f>
        <v>-363.63636363636022</v>
      </c>
      <c r="J137" s="15">
        <v>82.6</v>
      </c>
      <c r="K137" s="32">
        <f t="shared" si="72"/>
        <v>1.2121212121211432E-3</v>
      </c>
      <c r="L137" s="18">
        <f>IF(ISNUMBER(J137), $B145 * K137, "")</f>
        <v>121.21212121211431</v>
      </c>
      <c r="M137" s="31">
        <v>83.9</v>
      </c>
      <c r="N137" s="32">
        <f t="shared" si="73"/>
        <v>1.6969696969697037E-2</v>
      </c>
      <c r="O137" s="18">
        <f>IF(ISNUMBER(M137), $B145 * N137, "")</f>
        <v>1696.9696969697038</v>
      </c>
      <c r="Q137" s="216"/>
      <c r="R137" s="216"/>
      <c r="S137" s="216"/>
    </row>
    <row r="138" spans="1:19" ht="17.25" thickBot="1">
      <c r="A138" s="125" t="s">
        <v>202</v>
      </c>
      <c r="B138" s="126">
        <v>62</v>
      </c>
      <c r="C138" s="77">
        <v>-1.7432646600000001E-2</v>
      </c>
      <c r="D138" s="15">
        <v>62.2</v>
      </c>
      <c r="E138" s="32">
        <f t="shared" si="70"/>
        <v>3.2258064516129492E-3</v>
      </c>
      <c r="F138" s="18">
        <f>IF(ISNUMBER(D138), $B145 * E138, "")</f>
        <v>322.58064516129491</v>
      </c>
      <c r="G138" s="31">
        <v>61.9</v>
      </c>
      <c r="H138" s="32">
        <f t="shared" si="71"/>
        <v>-1.6129032258064746E-3</v>
      </c>
      <c r="I138" s="101">
        <f>IF(ISNUMBER(G138), $B145 * H138, "")</f>
        <v>-161.29032258064746</v>
      </c>
      <c r="J138" s="15">
        <v>62.6</v>
      </c>
      <c r="K138" s="32">
        <f t="shared" si="72"/>
        <v>9.6774193548387327E-3</v>
      </c>
      <c r="L138" s="18">
        <f>IF(ISNUMBER(J138), $B145 * K138, "")</f>
        <v>967.74193548387325</v>
      </c>
      <c r="M138" s="31">
        <v>62.3</v>
      </c>
      <c r="N138" s="32">
        <f t="shared" si="73"/>
        <v>4.8387096774193091E-3</v>
      </c>
      <c r="O138" s="18">
        <f>IF(ISNUMBER(M138), $B145 * N138, "")</f>
        <v>483.87096774193088</v>
      </c>
      <c r="Q138" s="226"/>
      <c r="R138" s="226"/>
      <c r="S138" s="226"/>
    </row>
    <row r="139" spans="1:19" ht="17.25" thickBot="1">
      <c r="A139" s="127" t="s">
        <v>241</v>
      </c>
      <c r="B139" s="128">
        <v>54.6</v>
      </c>
      <c r="C139" s="78">
        <v>-2.15053763E-2</v>
      </c>
      <c r="D139" s="20">
        <v>55.9</v>
      </c>
      <c r="E139" s="21">
        <f t="shared" si="70"/>
        <v>2.3809523809523756E-2</v>
      </c>
      <c r="F139" s="22">
        <f>IF(ISNUMBER(D139), $B145 * E139, "")</f>
        <v>2380.9523809523757</v>
      </c>
      <c r="G139" s="30">
        <v>55.6</v>
      </c>
      <c r="H139" s="21">
        <f t="shared" si="71"/>
        <v>1.8315018315018316E-2</v>
      </c>
      <c r="I139" s="105">
        <f>IF(ISNUMBER(G139), $B145 * H139, "")</f>
        <v>1831.5018315018315</v>
      </c>
      <c r="J139" s="20">
        <v>56.1</v>
      </c>
      <c r="K139" s="21">
        <f t="shared" si="72"/>
        <v>2.7472527472527472E-2</v>
      </c>
      <c r="L139" s="22">
        <f>IF(ISNUMBER(J139), $B145 * K139, "")</f>
        <v>2747.2527472527472</v>
      </c>
      <c r="M139" s="30">
        <v>56.4</v>
      </c>
      <c r="N139" s="21">
        <f t="shared" si="73"/>
        <v>3.2967032967032912E-2</v>
      </c>
      <c r="O139" s="22">
        <f>IF(ISNUMBER(M139), $B145 * N139, "")</f>
        <v>3296.703296703291</v>
      </c>
      <c r="Q139" s="226"/>
      <c r="R139" s="226"/>
      <c r="S139" s="226"/>
    </row>
    <row r="140" spans="1:19" ht="17.25" thickBot="1">
      <c r="A140" s="125" t="s">
        <v>65</v>
      </c>
      <c r="B140" s="129">
        <v>27.7</v>
      </c>
      <c r="C140" s="80">
        <v>-2.4647887300000001E-2</v>
      </c>
      <c r="D140" s="106">
        <v>28</v>
      </c>
      <c r="E140" s="107">
        <f>IF(ISNUMBER(D140), (D140 - $B140) / $B140, "")</f>
        <v>1.0830324909747318E-2</v>
      </c>
      <c r="F140" s="108">
        <f>IF(ISNUMBER(D140), $B145 * E140, "")</f>
        <v>1083.0324909747319</v>
      </c>
      <c r="G140" s="109">
        <v>27.9</v>
      </c>
      <c r="H140" s="107">
        <f>IF(ISNUMBER(G140), (G140 - $B140) / $B140, "")</f>
        <v>7.2202166064981692E-3</v>
      </c>
      <c r="I140" s="110">
        <f>IF(ISNUMBER(G140), $B145 * H140, "")</f>
        <v>722.02166064981691</v>
      </c>
      <c r="J140" s="106">
        <v>28.3</v>
      </c>
      <c r="K140" s="107">
        <f>IF(ISNUMBER(J140), (J140 - $B140) / $B140, "")</f>
        <v>2.1660649819494636E-2</v>
      </c>
      <c r="L140" s="108">
        <f>IF(ISNUMBER(J140), $B145 * K140, "")</f>
        <v>2166.0649819494638</v>
      </c>
      <c r="M140" s="109">
        <v>28.1</v>
      </c>
      <c r="N140" s="107">
        <f>IF(ISNUMBER(M140), (M140 - $B140) / $B140, "")</f>
        <v>1.4440433212996467E-2</v>
      </c>
      <c r="O140" s="108">
        <f>IF(ISNUMBER(M140), $B145 * N140, "")</f>
        <v>1444.0433212996468</v>
      </c>
      <c r="Q140" s="216"/>
      <c r="R140" s="216"/>
      <c r="S140" s="216"/>
    </row>
    <row r="141" spans="1:19" ht="17.25" thickBot="1">
      <c r="A141" s="125" t="s">
        <v>72</v>
      </c>
      <c r="B141" s="126">
        <v>18.8</v>
      </c>
      <c r="C141" s="77">
        <v>-2.59067358E-2</v>
      </c>
      <c r="D141" s="15">
        <v>19</v>
      </c>
      <c r="E141" s="32">
        <f t="shared" ref="E141:E144" si="74">IF(ISNUMBER(D141), (D141 - $B141) / $B141, "")</f>
        <v>1.0638297872340387E-2</v>
      </c>
      <c r="F141" s="18">
        <f>IF(ISNUMBER(D141), $B145 * E141, "")</f>
        <v>1063.8297872340388</v>
      </c>
      <c r="G141" s="31">
        <v>18.8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19</v>
      </c>
      <c r="K141" s="32">
        <f t="shared" ref="K141:K144" si="76">IF(ISNUMBER(J141), (J141 - $B141) / $B141, "")</f>
        <v>1.0638297872340387E-2</v>
      </c>
      <c r="L141" s="18">
        <f>IF(ISNUMBER(J141), $B145 * K141, "")</f>
        <v>1063.8297872340388</v>
      </c>
      <c r="M141" s="31">
        <v>19.2</v>
      </c>
      <c r="N141" s="32">
        <f t="shared" ref="N141:N144" si="77">IF(ISNUMBER(M141), (M141 - $B141) / $B141, "")</f>
        <v>2.1276595744680774E-2</v>
      </c>
      <c r="O141" s="18">
        <f>IF(ISNUMBER(M141), $B145 * N141, "")</f>
        <v>2127.6595744680776</v>
      </c>
      <c r="Q141" s="216"/>
      <c r="R141" s="216"/>
      <c r="S141" s="216"/>
    </row>
    <row r="142" spans="1:19" ht="17.25" thickBot="1">
      <c r="A142" s="125" t="s">
        <v>208</v>
      </c>
      <c r="B142" s="126">
        <v>10.5</v>
      </c>
      <c r="C142" s="77">
        <v>-2.77777778E-2</v>
      </c>
      <c r="D142" s="15">
        <v>10.4</v>
      </c>
      <c r="E142" s="32">
        <f t="shared" si="74"/>
        <v>-9.52380952380949E-3</v>
      </c>
      <c r="F142" s="18">
        <f>IF(ISNUMBER(D142), $B145 * E142, "")</f>
        <v>-952.380952380949</v>
      </c>
      <c r="G142" s="31">
        <v>10.199999999999999</v>
      </c>
      <c r="H142" s="32">
        <f t="shared" si="75"/>
        <v>-2.857142857142864E-2</v>
      </c>
      <c r="I142" s="101">
        <f>IF(ISNUMBER(G142), $B145 * H142, "")</f>
        <v>-2857.1428571428642</v>
      </c>
      <c r="J142" s="15">
        <v>10.3</v>
      </c>
      <c r="K142" s="32">
        <f t="shared" si="76"/>
        <v>-1.904761904761898E-2</v>
      </c>
      <c r="L142" s="18">
        <f>IF(ISNUMBER(J142), $B145 * K142, "")</f>
        <v>-1904.761904761898</v>
      </c>
      <c r="M142" s="31">
        <v>10.3</v>
      </c>
      <c r="N142" s="32">
        <f t="shared" si="77"/>
        <v>-1.904761904761898E-2</v>
      </c>
      <c r="O142" s="18">
        <f>IF(ISNUMBER(M142), $B145 * N142, "")</f>
        <v>-1904.761904761898</v>
      </c>
      <c r="Q142" s="216"/>
      <c r="R142" s="216"/>
      <c r="S142" s="216"/>
    </row>
    <row r="143" spans="1:19">
      <c r="A143" s="125" t="s">
        <v>210</v>
      </c>
      <c r="B143" s="126">
        <v>10.3</v>
      </c>
      <c r="C143" s="77">
        <v>-3.7383177599999998E-2</v>
      </c>
      <c r="D143" s="15">
        <v>10.8</v>
      </c>
      <c r="E143" s="32">
        <f t="shared" si="74"/>
        <v>4.8543689320388349E-2</v>
      </c>
      <c r="F143" s="18">
        <f>IF(ISNUMBER(D143), $B145 * E143, "")</f>
        <v>4854.3689320388348</v>
      </c>
      <c r="G143" s="31">
        <v>10.4</v>
      </c>
      <c r="H143" s="32">
        <f t="shared" si="75"/>
        <v>9.7087378640776344E-3</v>
      </c>
      <c r="I143" s="101">
        <f>IF(ISNUMBER(G143), $B145 * H143, "")</f>
        <v>970.87378640776342</v>
      </c>
      <c r="J143" s="15">
        <v>10.5</v>
      </c>
      <c r="K143" s="32">
        <f t="shared" si="76"/>
        <v>1.9417475728155269E-2</v>
      </c>
      <c r="L143" s="18">
        <f>IF(ISNUMBER(J143), $B145 * K143, "")</f>
        <v>1941.7475728155268</v>
      </c>
      <c r="M143" s="31">
        <v>10.4</v>
      </c>
      <c r="N143" s="32">
        <f t="shared" si="77"/>
        <v>9.7087378640776344E-3</v>
      </c>
      <c r="O143" s="18">
        <f>IF(ISNUMBER(M143), $B145 * N143, "")</f>
        <v>970.87378640776342</v>
      </c>
      <c r="Q143" s="205"/>
      <c r="R143" s="206"/>
      <c r="S143" s="207"/>
    </row>
    <row r="144" spans="1:19" ht="17.25" thickBot="1">
      <c r="A144" s="130" t="s">
        <v>190</v>
      </c>
      <c r="B144" s="131">
        <v>16.3</v>
      </c>
      <c r="C144" s="79">
        <v>-4.1176470600000001E-2</v>
      </c>
      <c r="D144" s="24">
        <v>16.5</v>
      </c>
      <c r="E144" s="25">
        <f t="shared" si="74"/>
        <v>1.2269938650306704E-2</v>
      </c>
      <c r="F144" s="104">
        <f>IF(ISNUMBER(D144), $B145 * E144, "")</f>
        <v>1226.9938650306703</v>
      </c>
      <c r="G144" s="102">
        <v>16.3</v>
      </c>
      <c r="H144" s="25">
        <f t="shared" si="75"/>
        <v>0</v>
      </c>
      <c r="I144" s="103">
        <f>IF(ISNUMBER(G144), $B145 * H144, "")</f>
        <v>0</v>
      </c>
      <c r="J144" s="24">
        <v>16.399999999999999</v>
      </c>
      <c r="K144" s="25">
        <f t="shared" si="76"/>
        <v>6.1349693251532434E-3</v>
      </c>
      <c r="L144" s="104">
        <f>IF(ISNUMBER(J144), $B145 * K144, "")</f>
        <v>613.49693251532437</v>
      </c>
      <c r="M144" s="102">
        <v>16.899999999999999</v>
      </c>
      <c r="N144" s="25">
        <f t="shared" si="77"/>
        <v>3.6809815950920116E-2</v>
      </c>
      <c r="O144" s="104">
        <f>IF(ISNUMBER(M144), $B145 * N144, "")</f>
        <v>3680.9815950920115</v>
      </c>
      <c r="Q144" s="208"/>
      <c r="R144" s="209"/>
      <c r="S144" s="210"/>
    </row>
    <row r="145" spans="1:19" ht="17.25" thickBot="1">
      <c r="A145" s="132" t="s">
        <v>271</v>
      </c>
      <c r="B145" s="269">
        <f>$B$37</f>
        <v>100000</v>
      </c>
      <c r="C145" s="270"/>
      <c r="D145" s="26" t="s">
        <v>272</v>
      </c>
      <c r="E145" s="27">
        <f>IF(COUNT(E125:E144), SUM(E125:E144) / COUNT(E125:E144), 0)</f>
        <v>7.7074828626301937E-3</v>
      </c>
      <c r="F145" s="28">
        <f>SUM(F125:F144)</f>
        <v>15414.96572526039</v>
      </c>
      <c r="G145" s="26" t="s">
        <v>272</v>
      </c>
      <c r="H145" s="27">
        <f>IF(COUNT(H125:H144), SUM(H125:H144) / COUNT(H125:H144), 0)</f>
        <v>8.2852790897189089E-3</v>
      </c>
      <c r="I145" s="28">
        <f>SUM(I125:I144)</f>
        <v>16570.558179437819</v>
      </c>
      <c r="J145" s="26" t="s">
        <v>272</v>
      </c>
      <c r="K145" s="27">
        <f>IF(COUNT(K125:K144), SUM(K125:K144) / COUNT(K125:K144), 0)</f>
        <v>1.7493491834367429E-2</v>
      </c>
      <c r="L145" s="28">
        <f>SUM(L125:L144)</f>
        <v>34986.983668734858</v>
      </c>
      <c r="M145" s="26" t="s">
        <v>272</v>
      </c>
      <c r="N145" s="27">
        <f>IF(COUNT(N125:N144), SUM(N125:N144) / COUNT(N125:N144), 0)</f>
        <v>1.6921983226526882E-2</v>
      </c>
      <c r="O145" s="28">
        <f>SUM(O125:O144)</f>
        <v>33843.966453053763</v>
      </c>
      <c r="Q145" s="211"/>
      <c r="R145" s="212"/>
      <c r="S145" s="213"/>
    </row>
    <row r="147" spans="1:19" ht="17.25" thickBot="1"/>
    <row r="148" spans="1:19" ht="17.25" thickBot="1">
      <c r="A148" s="227" t="s">
        <v>260</v>
      </c>
      <c r="B148" s="228"/>
      <c r="C148" s="228"/>
      <c r="D148" s="228"/>
      <c r="E148" s="228"/>
      <c r="F148" s="228"/>
      <c r="G148" s="228"/>
      <c r="H148" s="228"/>
      <c r="I148" s="228"/>
      <c r="J148" s="228"/>
      <c r="K148" s="228"/>
      <c r="L148" s="228"/>
      <c r="M148" s="228"/>
      <c r="N148" s="228"/>
      <c r="O148" s="229"/>
      <c r="Q148" s="226"/>
      <c r="R148" s="226"/>
      <c r="S148" s="226"/>
    </row>
    <row r="149" spans="1:19" ht="17.25" thickBot="1">
      <c r="A149" s="181" t="s">
        <v>268</v>
      </c>
      <c r="B149" s="227" t="s">
        <v>49</v>
      </c>
      <c r="C149" s="229"/>
      <c r="D149" s="227" t="s">
        <v>58</v>
      </c>
      <c r="E149" s="228"/>
      <c r="F149" s="229"/>
      <c r="G149" s="230">
        <f>_xlfn.IFNA(VLOOKUP(B149, 현재가테이블!$B$2:$D$200, 2, FALSE), "-")</f>
        <v>39916000</v>
      </c>
      <c r="H149" s="231"/>
      <c r="I149" s="232"/>
      <c r="J149" s="227" t="s">
        <v>59</v>
      </c>
      <c r="K149" s="228"/>
      <c r="L149" s="229"/>
      <c r="M149" s="233">
        <f>_xlfn.IFNA(VLOOKUP(B149, 현재가테이블!$B$2:$D$200, 3, FALSE), "-")</f>
        <v>7.3184273000000003E-3</v>
      </c>
      <c r="N149" s="234"/>
      <c r="O149" s="235"/>
      <c r="Q149" s="226"/>
      <c r="R149" s="226"/>
      <c r="S149" s="226"/>
    </row>
    <row r="150" spans="1:19" ht="17.25" thickBot="1">
      <c r="A150" s="271" t="s">
        <v>55</v>
      </c>
      <c r="B150" s="267" t="str">
        <f>TEXT($G$1, "[$-ko-KR]yyyy-mm-dd(ddd) ") &amp; "오전 00:00"</f>
        <v>2021-07-07(수) 오전 00:00</v>
      </c>
      <c r="C150" s="268"/>
      <c r="D150" s="240" t="str">
        <f>TEXT($G$1, "[$-ko-KR]yyyy-mm-dd(ddd) ") &amp; "오후 14:00"</f>
        <v>2021-07-07(수) 오후 14:00</v>
      </c>
      <c r="E150" s="241"/>
      <c r="F150" s="242"/>
      <c r="G150" s="240" t="str">
        <f>TEXT($G$1, "[$-ko-KR]yyyy-mm-dd(ddd) ") &amp; "오후 19:00"</f>
        <v>2021-07-07(수) 오후 19:00</v>
      </c>
      <c r="H150" s="241"/>
      <c r="I150" s="242"/>
      <c r="J150" s="240" t="str">
        <f>TEXT($G$1, "[$-ko-KR]yyyy-mm-dd(ddd) ") &amp; "오후 21:00"</f>
        <v>2021-07-07(수) 오후 21:00</v>
      </c>
      <c r="K150" s="241"/>
      <c r="L150" s="242"/>
      <c r="M150" s="240" t="str">
        <f>TEXT($G$1+1, "[$-ko-KR]yyyy-mm-dd(ddd) ") &amp; "오전 00:00"</f>
        <v>2021-07-08(목) 오전 00:00</v>
      </c>
      <c r="N150" s="241"/>
      <c r="O150" s="242"/>
      <c r="Q150" s="226"/>
      <c r="R150" s="226"/>
      <c r="S150" s="226"/>
    </row>
    <row r="151" spans="1:19" ht="17.25" thickBot="1">
      <c r="A151" s="27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2" t="s">
        <v>58</v>
      </c>
      <c r="H151" s="183" t="s">
        <v>269</v>
      </c>
      <c r="I151" s="18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6"/>
      <c r="R151" s="216"/>
      <c r="S151" s="216"/>
    </row>
    <row r="152" spans="1:19" ht="17.25" thickBot="1">
      <c r="A152" s="123" t="s">
        <v>102</v>
      </c>
      <c r="B152" s="124">
        <v>841</v>
      </c>
      <c r="C152" s="76">
        <v>2.3837901999999998E-3</v>
      </c>
      <c r="D152" s="13">
        <v>895</v>
      </c>
      <c r="E152" s="14">
        <f>IF(ISNUMBER(D152), (D152 - $B152) / $B152, "")</f>
        <v>6.4209274673008326E-2</v>
      </c>
      <c r="F152" s="16">
        <f>IF(ISNUMBER(D152), $B172 * E152, "")</f>
        <v>6420.9274673008331</v>
      </c>
      <c r="G152" s="29">
        <v>885</v>
      </c>
      <c r="H152" s="14">
        <f>IF(ISNUMBER(G152), (G152 - $B152) / $B152, "")</f>
        <v>5.2318668252080855E-2</v>
      </c>
      <c r="I152" s="100">
        <f>IF(ISNUMBER(G152), $B172 * H152, "")</f>
        <v>5231.8668252080852</v>
      </c>
      <c r="J152" s="13">
        <v>890</v>
      </c>
      <c r="K152" s="14">
        <f>IF(ISNUMBER(J152), (J152 - $B152) / $B152, "")</f>
        <v>5.8263971462544591E-2</v>
      </c>
      <c r="L152" s="16">
        <f>IF(ISNUMBER(J152), $B172 * K152, "")</f>
        <v>5826.3971462544587</v>
      </c>
      <c r="M152" s="29">
        <v>904</v>
      </c>
      <c r="N152" s="14">
        <f>IF(ISNUMBER(M152), (M152 - $B152) / $B152, "")</f>
        <v>7.4910820451843038E-2</v>
      </c>
      <c r="O152" s="16">
        <f>IF(ISNUMBER(M152), $B172 * N152, "")</f>
        <v>7491.0820451843038</v>
      </c>
      <c r="Q152" s="226"/>
      <c r="R152" s="226"/>
      <c r="S152" s="226"/>
    </row>
    <row r="153" spans="1:19" ht="17.25" thickBot="1">
      <c r="A153" s="125" t="s">
        <v>138</v>
      </c>
      <c r="B153" s="126">
        <v>413</v>
      </c>
      <c r="C153" s="77">
        <v>-4.8192770999999999E-3</v>
      </c>
      <c r="D153" s="15">
        <v>413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411</v>
      </c>
      <c r="H153" s="32">
        <f t="shared" ref="H153:H156" si="79">IF(ISNUMBER(G153), (G153 - $B153) / $B153, "")</f>
        <v>-4.8426150121065378E-3</v>
      </c>
      <c r="I153" s="101">
        <f>IF(ISNUMBER(G153), $B172 * H153, "")</f>
        <v>-484.26150121065376</v>
      </c>
      <c r="J153" s="15">
        <v>416</v>
      </c>
      <c r="K153" s="32">
        <f t="shared" ref="K153:K156" si="80">IF(ISNUMBER(J153), (J153 - $B153) / $B153, "")</f>
        <v>7.2639225181598066E-3</v>
      </c>
      <c r="L153" s="18">
        <f>IF(ISNUMBER(J153), $B172 * K153, "")</f>
        <v>726.39225181598067</v>
      </c>
      <c r="M153" s="31">
        <v>414</v>
      </c>
      <c r="N153" s="32">
        <f t="shared" ref="N153:N156" si="81">IF(ISNUMBER(M153), (M153 - $B153) / $B153, "")</f>
        <v>2.4213075060532689E-3</v>
      </c>
      <c r="O153" s="18">
        <f>IF(ISNUMBER(M153), $B172 * N153, "")</f>
        <v>242.13075060532688</v>
      </c>
      <c r="Q153" s="226"/>
      <c r="R153" s="226"/>
      <c r="S153" s="226"/>
    </row>
    <row r="154" spans="1:19" ht="17.25" thickBot="1">
      <c r="A154" s="125" t="s">
        <v>194</v>
      </c>
      <c r="B154" s="126">
        <v>131</v>
      </c>
      <c r="C154" s="77">
        <v>-7.5757576E-3</v>
      </c>
      <c r="D154" s="15">
        <v>130</v>
      </c>
      <c r="E154" s="32">
        <f t="shared" si="78"/>
        <v>-7.6335877862595417E-3</v>
      </c>
      <c r="F154" s="18">
        <f>IF(ISNUMBER(D154), $B172 * E154, "")</f>
        <v>-763.35877862595419</v>
      </c>
      <c r="G154" s="31">
        <v>128</v>
      </c>
      <c r="H154" s="32">
        <f t="shared" si="79"/>
        <v>-2.2900763358778626E-2</v>
      </c>
      <c r="I154" s="101">
        <f>IF(ISNUMBER(G154), $B172 * H154, "")</f>
        <v>-2290.0763358778627</v>
      </c>
      <c r="J154" s="15">
        <v>132</v>
      </c>
      <c r="K154" s="32">
        <f t="shared" si="80"/>
        <v>7.6335877862595417E-3</v>
      </c>
      <c r="L154" s="18">
        <f>IF(ISNUMBER(J154), $B172 * K154, "")</f>
        <v>763.35877862595419</v>
      </c>
      <c r="M154" s="31">
        <v>131</v>
      </c>
      <c r="N154" s="32">
        <f t="shared" si="81"/>
        <v>0</v>
      </c>
      <c r="O154" s="18">
        <f>IF(ISNUMBER(M154), $B172 * N154, "")</f>
        <v>0</v>
      </c>
      <c r="Q154" s="216"/>
      <c r="R154" s="216"/>
      <c r="S154" s="216"/>
    </row>
    <row r="155" spans="1:19" ht="17.25" thickBot="1">
      <c r="A155" s="125" t="s">
        <v>174</v>
      </c>
      <c r="B155" s="126">
        <v>240</v>
      </c>
      <c r="C155" s="77">
        <v>-8.2644628000000005E-3</v>
      </c>
      <c r="D155" s="15">
        <v>244</v>
      </c>
      <c r="E155" s="32">
        <f t="shared" si="78"/>
        <v>1.6666666666666666E-2</v>
      </c>
      <c r="F155" s="18">
        <f>IF(ISNUMBER(D155), $B172 * E155, "")</f>
        <v>1666.6666666666667</v>
      </c>
      <c r="G155" s="31">
        <v>243</v>
      </c>
      <c r="H155" s="32">
        <f t="shared" si="79"/>
        <v>1.2500000000000001E-2</v>
      </c>
      <c r="I155" s="101">
        <f>IF(ISNUMBER(G155), $B172 * H155, "")</f>
        <v>1250</v>
      </c>
      <c r="J155" s="15">
        <v>244</v>
      </c>
      <c r="K155" s="32">
        <f t="shared" si="80"/>
        <v>1.6666666666666666E-2</v>
      </c>
      <c r="L155" s="18">
        <f>IF(ISNUMBER(J155), $B172 * K155, "")</f>
        <v>1666.6666666666667</v>
      </c>
      <c r="M155" s="31">
        <v>242</v>
      </c>
      <c r="N155" s="32">
        <f t="shared" si="81"/>
        <v>8.3333333333333332E-3</v>
      </c>
      <c r="O155" s="18">
        <f>IF(ISNUMBER(M155), $B172 * N155, "")</f>
        <v>833.33333333333337</v>
      </c>
      <c r="Q155" s="216"/>
      <c r="R155" s="216"/>
      <c r="S155" s="216"/>
    </row>
    <row r="156" spans="1:19" ht="17.25" thickBot="1">
      <c r="A156" s="127" t="s">
        <v>222</v>
      </c>
      <c r="B156" s="128">
        <v>109</v>
      </c>
      <c r="C156" s="78">
        <v>-9.0909091000000008E-3</v>
      </c>
      <c r="D156" s="20">
        <v>110</v>
      </c>
      <c r="E156" s="21">
        <f t="shared" si="78"/>
        <v>9.1743119266055051E-3</v>
      </c>
      <c r="F156" s="22">
        <f>IF(ISNUMBER(D156), $B172 * E156, "")</f>
        <v>917.43119266055055</v>
      </c>
      <c r="G156" s="30">
        <v>108</v>
      </c>
      <c r="H156" s="21">
        <f t="shared" si="79"/>
        <v>-9.1743119266055051E-3</v>
      </c>
      <c r="I156" s="105">
        <f>IF(ISNUMBER(G156), $B172 * H156, "")</f>
        <v>-917.43119266055055</v>
      </c>
      <c r="J156" s="20">
        <v>114</v>
      </c>
      <c r="K156" s="21">
        <f t="shared" si="80"/>
        <v>4.5871559633027525E-2</v>
      </c>
      <c r="L156" s="22">
        <f>IF(ISNUMBER(J156), $B172 * K156, "")</f>
        <v>4587.1559633027528</v>
      </c>
      <c r="M156" s="30">
        <v>115</v>
      </c>
      <c r="N156" s="21">
        <f t="shared" si="81"/>
        <v>5.5045871559633031E-2</v>
      </c>
      <c r="O156" s="22">
        <f>IF(ISNUMBER(M156), $B172 * N156, "")</f>
        <v>5504.5871559633033</v>
      </c>
      <c r="Q156" s="216"/>
      <c r="R156" s="216"/>
      <c r="S156" s="216"/>
    </row>
    <row r="157" spans="1:19" ht="17.25" thickBot="1">
      <c r="A157" s="125" t="s">
        <v>231</v>
      </c>
      <c r="B157" s="129">
        <v>154</v>
      </c>
      <c r="C157" s="80">
        <v>-1.2820512799999999E-2</v>
      </c>
      <c r="D157" s="106">
        <v>161</v>
      </c>
      <c r="E157" s="107">
        <f>IF(ISNUMBER(D157), (D157 - $B157) / $B157, "")</f>
        <v>4.5454545454545456E-2</v>
      </c>
      <c r="F157" s="108">
        <f>IF(ISNUMBER(D157), $B172 * E157, "")</f>
        <v>4545.454545454546</v>
      </c>
      <c r="G157" s="109">
        <v>164</v>
      </c>
      <c r="H157" s="107">
        <f>IF(ISNUMBER(G157), (G157 - $B157) / $B157, "")</f>
        <v>6.4935064935064929E-2</v>
      </c>
      <c r="I157" s="110">
        <f>IF(ISNUMBER(G157), $B172 * H157, "")</f>
        <v>6493.5064935064929</v>
      </c>
      <c r="J157" s="106">
        <v>165</v>
      </c>
      <c r="K157" s="107">
        <f>IF(ISNUMBER(J157), (J157 - $B157) / $B157, "")</f>
        <v>7.1428571428571425E-2</v>
      </c>
      <c r="L157" s="108">
        <f>IF(ISNUMBER(J157), $B172 * K157, "")</f>
        <v>7142.8571428571422</v>
      </c>
      <c r="M157" s="109">
        <v>166</v>
      </c>
      <c r="N157" s="107">
        <f>IF(ISNUMBER(M157), (M157 - $B157) / $B157, "")</f>
        <v>7.792207792207792E-2</v>
      </c>
      <c r="O157" s="108">
        <f>IF(ISNUMBER(M157), $B172 * N157, "")</f>
        <v>7792.2077922077924</v>
      </c>
      <c r="Q157" s="216"/>
      <c r="R157" s="216"/>
      <c r="S157" s="216"/>
    </row>
    <row r="158" spans="1:19" ht="17.25" thickBot="1">
      <c r="A158" s="125" t="s">
        <v>237</v>
      </c>
      <c r="B158" s="126">
        <v>441</v>
      </c>
      <c r="C158" s="77">
        <v>-1.34228188E-2</v>
      </c>
      <c r="D158" s="15">
        <v>501</v>
      </c>
      <c r="E158" s="32">
        <f t="shared" ref="E158:E161" si="82">IF(ISNUMBER(D158), (D158 - $B158) / $B158, "")</f>
        <v>0.1360544217687075</v>
      </c>
      <c r="F158" s="18">
        <f>IF(ISNUMBER(D158), $B172 * E158, "")</f>
        <v>13605.442176870749</v>
      </c>
      <c r="G158" s="31">
        <v>503</v>
      </c>
      <c r="H158" s="32">
        <f t="shared" ref="H158:H161" si="83">IF(ISNUMBER(G158), (G158 - $B158) / $B158, "")</f>
        <v>0.14058956916099774</v>
      </c>
      <c r="I158" s="101">
        <f>IF(ISNUMBER(G158), $B172 * H158, "")</f>
        <v>14058.956916099774</v>
      </c>
      <c r="J158" s="15">
        <v>501</v>
      </c>
      <c r="K158" s="32">
        <f t="shared" ref="K158:K161" si="84">IF(ISNUMBER(J158), (J158 - $B158) / $B158, "")</f>
        <v>0.1360544217687075</v>
      </c>
      <c r="L158" s="18">
        <f>IF(ISNUMBER(J158), $B172 * K158, "")</f>
        <v>13605.442176870749</v>
      </c>
      <c r="M158" s="31">
        <v>493</v>
      </c>
      <c r="N158" s="32">
        <f t="shared" ref="N158:N161" si="85">IF(ISNUMBER(M158), (M158 - $B158) / $B158, "")</f>
        <v>0.11791383219954649</v>
      </c>
      <c r="O158" s="18">
        <f>IF(ISNUMBER(M158), $B172 * N158, "")</f>
        <v>11791.383219954649</v>
      </c>
      <c r="Q158" s="216"/>
      <c r="R158" s="216"/>
      <c r="S158" s="216"/>
    </row>
    <row r="159" spans="1:19" ht="17.25" thickBot="1">
      <c r="A159" s="125" t="s">
        <v>54</v>
      </c>
      <c r="B159" s="126">
        <v>214</v>
      </c>
      <c r="C159" s="77">
        <v>-1.3824884799999999E-2</v>
      </c>
      <c r="D159" s="15">
        <v>217</v>
      </c>
      <c r="E159" s="32">
        <f t="shared" si="82"/>
        <v>1.4018691588785047E-2</v>
      </c>
      <c r="F159" s="18">
        <f>IF(ISNUMBER(D159), $B172 * E159, "")</f>
        <v>1401.8691588785045</v>
      </c>
      <c r="G159" s="31">
        <v>216</v>
      </c>
      <c r="H159" s="32">
        <f t="shared" si="83"/>
        <v>9.3457943925233638E-3</v>
      </c>
      <c r="I159" s="101">
        <f>IF(ISNUMBER(G159), $B172 * H159, "")</f>
        <v>934.57943925233633</v>
      </c>
      <c r="J159" s="15">
        <v>218</v>
      </c>
      <c r="K159" s="32">
        <f t="shared" si="84"/>
        <v>1.8691588785046728E-2</v>
      </c>
      <c r="L159" s="18">
        <f>IF(ISNUMBER(J159), $B172 * K159, "")</f>
        <v>1869.1588785046727</v>
      </c>
      <c r="M159" s="31">
        <v>219</v>
      </c>
      <c r="N159" s="32">
        <f t="shared" si="85"/>
        <v>2.336448598130841E-2</v>
      </c>
      <c r="O159" s="18">
        <f>IF(ISNUMBER(M159), $B172 * N159, "")</f>
        <v>2336.4485981308412</v>
      </c>
      <c r="Q159" s="216"/>
      <c r="R159" s="216"/>
      <c r="S159" s="216"/>
    </row>
    <row r="160" spans="1:19" ht="17.25" thickBot="1">
      <c r="A160" s="125" t="s">
        <v>233</v>
      </c>
      <c r="B160" s="126">
        <v>380</v>
      </c>
      <c r="C160" s="77">
        <v>-1.5544041499999999E-2</v>
      </c>
      <c r="D160" s="15">
        <v>408</v>
      </c>
      <c r="E160" s="32">
        <f t="shared" si="82"/>
        <v>7.3684210526315783E-2</v>
      </c>
      <c r="F160" s="18">
        <f>IF(ISNUMBER(D160), $B172 * E160, "")</f>
        <v>7368.4210526315783</v>
      </c>
      <c r="G160" s="31">
        <v>400</v>
      </c>
      <c r="H160" s="32">
        <f t="shared" si="83"/>
        <v>5.2631578947368418E-2</v>
      </c>
      <c r="I160" s="101">
        <f>IF(ISNUMBER(G160), $B172 * H160, "")</f>
        <v>5263.1578947368416</v>
      </c>
      <c r="J160" s="15">
        <v>409</v>
      </c>
      <c r="K160" s="32">
        <f t="shared" si="84"/>
        <v>7.6315789473684212E-2</v>
      </c>
      <c r="L160" s="18">
        <f>IF(ISNUMBER(J160), $B172 * K160, "")</f>
        <v>7631.5789473684208</v>
      </c>
      <c r="M160" s="31">
        <v>404</v>
      </c>
      <c r="N160" s="32">
        <f t="shared" si="85"/>
        <v>6.3157894736842107E-2</v>
      </c>
      <c r="O160" s="18">
        <f>IF(ISNUMBER(M160), $B172 * N160, "")</f>
        <v>6315.7894736842109</v>
      </c>
      <c r="Q160" s="33"/>
      <c r="R160" s="33"/>
    </row>
    <row r="161" spans="1:19" ht="17.25" thickBot="1">
      <c r="A161" s="130" t="s">
        <v>218</v>
      </c>
      <c r="B161" s="131">
        <v>111</v>
      </c>
      <c r="C161" s="79">
        <v>-1.7699115000000001E-2</v>
      </c>
      <c r="D161" s="24">
        <v>111</v>
      </c>
      <c r="E161" s="25">
        <f t="shared" si="82"/>
        <v>0</v>
      </c>
      <c r="F161" s="104">
        <f>IF(ISNUMBER(D161), $B172 * E161, "")</f>
        <v>0</v>
      </c>
      <c r="G161" s="102">
        <v>109</v>
      </c>
      <c r="H161" s="25">
        <f t="shared" si="83"/>
        <v>-1.8018018018018018E-2</v>
      </c>
      <c r="I161" s="103">
        <f>IF(ISNUMBER(G161), $B172 * H161, "")</f>
        <v>-1801.8018018018017</v>
      </c>
      <c r="J161" s="24">
        <v>111</v>
      </c>
      <c r="K161" s="25">
        <f t="shared" si="84"/>
        <v>0</v>
      </c>
      <c r="L161" s="104">
        <f>IF(ISNUMBER(J161), $B172 * K161, "")</f>
        <v>0</v>
      </c>
      <c r="M161" s="102">
        <v>110</v>
      </c>
      <c r="N161" s="25">
        <f t="shared" si="85"/>
        <v>-9.0090090090090089E-3</v>
      </c>
      <c r="O161" s="104">
        <f>IF(ISNUMBER(M161), $B172 * N161, "")</f>
        <v>-900.90090090090087</v>
      </c>
      <c r="Q161" s="217"/>
      <c r="R161" s="218"/>
      <c r="S161" s="219"/>
    </row>
    <row r="162" spans="1:19">
      <c r="A162" s="123" t="s">
        <v>255</v>
      </c>
      <c r="B162" s="124">
        <v>203</v>
      </c>
      <c r="C162" s="76">
        <v>-1.93236715E-2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204</v>
      </c>
      <c r="H162" s="14">
        <f>IF(ISNUMBER(G162), (G162 - $B162) / $B162, "")</f>
        <v>4.9261083743842365E-3</v>
      </c>
      <c r="I162" s="100">
        <f>IF(ISNUMBER(G162), $B172 * H162, "")</f>
        <v>492.61083743842363</v>
      </c>
      <c r="J162" s="13">
        <v>206</v>
      </c>
      <c r="K162" s="14">
        <f>IF(ISNUMBER(J162), (J162 - $B162) / $B162, "")</f>
        <v>1.4778325123152709E-2</v>
      </c>
      <c r="L162" s="16">
        <f>IF(ISNUMBER(J162), $B172 * K162, "")</f>
        <v>1477.8325123152708</v>
      </c>
      <c r="M162" s="29">
        <v>207</v>
      </c>
      <c r="N162" s="14">
        <f>IF(ISNUMBER(M162), (M162 - $B162) / $B162, "")</f>
        <v>1.9704433497536946E-2</v>
      </c>
      <c r="O162" s="16">
        <f>IF(ISNUMBER(M162), $B172 * N162, "")</f>
        <v>1970.4433497536945</v>
      </c>
      <c r="Q162" s="220"/>
      <c r="R162" s="221"/>
      <c r="S162" s="222"/>
    </row>
    <row r="163" spans="1:19" ht="17.25" thickBot="1">
      <c r="A163" s="125" t="s">
        <v>214</v>
      </c>
      <c r="B163" s="126">
        <v>240</v>
      </c>
      <c r="C163" s="77">
        <v>-2.4390243900000001E-2</v>
      </c>
      <c r="D163" s="15">
        <v>246</v>
      </c>
      <c r="E163" s="32">
        <f t="shared" ref="E163:E166" si="86">IF(ISNUMBER(D163), (D163 - $B163) / $B163, "")</f>
        <v>2.5000000000000001E-2</v>
      </c>
      <c r="F163" s="18">
        <f>IF(ISNUMBER(D163), $B172 * E163, "")</f>
        <v>2500</v>
      </c>
      <c r="G163" s="31">
        <v>259</v>
      </c>
      <c r="H163" s="32">
        <f t="shared" ref="H163:H166" si="87">IF(ISNUMBER(G163), (G163 - $B163) / $B163, "")</f>
        <v>7.9166666666666663E-2</v>
      </c>
      <c r="I163" s="101">
        <f>IF(ISNUMBER(G163), $B172 * H163, "")</f>
        <v>7916.6666666666661</v>
      </c>
      <c r="J163" s="15">
        <v>259</v>
      </c>
      <c r="K163" s="32">
        <f t="shared" ref="K163:K166" si="88">IF(ISNUMBER(J163), (J163 - $B163) / $B163, "")</f>
        <v>7.9166666666666663E-2</v>
      </c>
      <c r="L163" s="18">
        <f>IF(ISNUMBER(J163), $B172 * K163, "")</f>
        <v>7916.6666666666661</v>
      </c>
      <c r="M163" s="31">
        <v>259</v>
      </c>
      <c r="N163" s="32">
        <f t="shared" ref="N163:N166" si="89">IF(ISNUMBER(M163), (M163 - $B163) / $B163, "")</f>
        <v>7.9166666666666663E-2</v>
      </c>
      <c r="O163" s="18">
        <f>IF(ISNUMBER(M163), $B172 * N163, "")</f>
        <v>7916.6666666666661</v>
      </c>
      <c r="Q163" s="223"/>
      <c r="R163" s="224"/>
      <c r="S163" s="225"/>
    </row>
    <row r="164" spans="1:19" ht="17.25" thickBot="1">
      <c r="A164" s="125" t="s">
        <v>124</v>
      </c>
      <c r="B164" s="126">
        <v>324</v>
      </c>
      <c r="C164" s="77">
        <v>-2.7027026999999999E-2</v>
      </c>
      <c r="D164" s="15">
        <v>322</v>
      </c>
      <c r="E164" s="32">
        <f t="shared" si="86"/>
        <v>-6.1728395061728392E-3</v>
      </c>
      <c r="F164" s="18">
        <f>IF(ISNUMBER(D164), $B172 * E164, "")</f>
        <v>-617.28395061728395</v>
      </c>
      <c r="G164" s="31">
        <v>319</v>
      </c>
      <c r="H164" s="32">
        <f t="shared" si="87"/>
        <v>-1.5432098765432098E-2</v>
      </c>
      <c r="I164" s="101">
        <f>IF(ISNUMBER(G164), $B172 * H164, "")</f>
        <v>-1543.2098765432097</v>
      </c>
      <c r="J164" s="15">
        <v>321</v>
      </c>
      <c r="K164" s="32">
        <f t="shared" si="88"/>
        <v>-9.2592592592592587E-3</v>
      </c>
      <c r="L164" s="18">
        <f>IF(ISNUMBER(J164), $B172 * K164, "")</f>
        <v>-925.92592592592587</v>
      </c>
      <c r="M164" s="31">
        <v>317</v>
      </c>
      <c r="N164" s="32">
        <f t="shared" si="89"/>
        <v>-2.1604938271604937E-2</v>
      </c>
      <c r="O164" s="18">
        <f>IF(ISNUMBER(M164), $B172 * N164, "")</f>
        <v>-2160.4938271604938</v>
      </c>
      <c r="Q164" s="216"/>
      <c r="R164" s="216"/>
      <c r="S164" s="216"/>
    </row>
    <row r="165" spans="1:19" ht="17.25" thickBot="1">
      <c r="A165" s="125" t="s">
        <v>166</v>
      </c>
      <c r="B165" s="126">
        <v>135</v>
      </c>
      <c r="C165" s="77">
        <v>-2.87769784E-2</v>
      </c>
      <c r="D165" s="15">
        <v>135</v>
      </c>
      <c r="E165" s="32">
        <f t="shared" si="86"/>
        <v>0</v>
      </c>
      <c r="F165" s="18">
        <f>IF(ISNUMBER(D165), $B172 * E165, "")</f>
        <v>0</v>
      </c>
      <c r="G165" s="31">
        <v>134</v>
      </c>
      <c r="H165" s="32">
        <f t="shared" si="87"/>
        <v>-7.4074074074074077E-3</v>
      </c>
      <c r="I165" s="101">
        <f>IF(ISNUMBER(G165), $B172 * H165, "")</f>
        <v>-740.74074074074076</v>
      </c>
      <c r="J165" s="15">
        <v>137</v>
      </c>
      <c r="K165" s="32">
        <f t="shared" si="88"/>
        <v>1.4814814814814815E-2</v>
      </c>
      <c r="L165" s="18">
        <f>IF(ISNUMBER(J165), $B172 * K165, "")</f>
        <v>1481.4814814814815</v>
      </c>
      <c r="M165" s="31">
        <v>136</v>
      </c>
      <c r="N165" s="32">
        <f t="shared" si="89"/>
        <v>7.4074074074074077E-3</v>
      </c>
      <c r="O165" s="18">
        <f>IF(ISNUMBER(M165), $B172 * N165, "")</f>
        <v>740.74074074074076</v>
      </c>
      <c r="Q165" s="226"/>
      <c r="R165" s="226"/>
      <c r="S165" s="226"/>
    </row>
    <row r="166" spans="1:19" ht="17.25" thickBot="1">
      <c r="A166" s="127" t="s">
        <v>228</v>
      </c>
      <c r="B166" s="128">
        <v>315</v>
      </c>
      <c r="C166" s="78">
        <v>-3.6697247699999998E-2</v>
      </c>
      <c r="D166" s="20">
        <v>315</v>
      </c>
      <c r="E166" s="21">
        <f t="shared" si="86"/>
        <v>0</v>
      </c>
      <c r="F166" s="22">
        <f>IF(ISNUMBER(D166), $B172 * E166, "")</f>
        <v>0</v>
      </c>
      <c r="G166" s="30">
        <v>315</v>
      </c>
      <c r="H166" s="21">
        <f t="shared" si="87"/>
        <v>0</v>
      </c>
      <c r="I166" s="105">
        <f>IF(ISNUMBER(G166), $B172 * H166, "")</f>
        <v>0</v>
      </c>
      <c r="J166" s="20">
        <v>319</v>
      </c>
      <c r="K166" s="21">
        <f t="shared" si="88"/>
        <v>1.2698412698412698E-2</v>
      </c>
      <c r="L166" s="22">
        <f>IF(ISNUMBER(J166), $B172 * K166, "")</f>
        <v>1269.8412698412699</v>
      </c>
      <c r="M166" s="30">
        <v>316</v>
      </c>
      <c r="N166" s="21">
        <f t="shared" si="89"/>
        <v>3.1746031746031746E-3</v>
      </c>
      <c r="O166" s="22">
        <f>IF(ISNUMBER(M166), $B172 * N166, "")</f>
        <v>317.46031746031747</v>
      </c>
      <c r="Q166" s="226"/>
      <c r="R166" s="226"/>
      <c r="S166" s="226"/>
    </row>
    <row r="167" spans="1:19" ht="17.25" thickBot="1">
      <c r="A167" s="125" t="s">
        <v>200</v>
      </c>
      <c r="B167" s="129">
        <v>124</v>
      </c>
      <c r="C167" s="80">
        <v>-3.8759689899999998E-2</v>
      </c>
      <c r="D167" s="106">
        <v>122</v>
      </c>
      <c r="E167" s="107">
        <f>IF(ISNUMBER(D167), (D167 - $B167) / $B167, "")</f>
        <v>-1.6129032258064516E-2</v>
      </c>
      <c r="F167" s="108">
        <f>IF(ISNUMBER(D167), $B172 * E167, "")</f>
        <v>-1612.9032258064515</v>
      </c>
      <c r="G167" s="109">
        <v>121</v>
      </c>
      <c r="H167" s="107">
        <f>IF(ISNUMBER(G167), (G167 - $B167) / $B167, "")</f>
        <v>-2.4193548387096774E-2</v>
      </c>
      <c r="I167" s="110">
        <f>IF(ISNUMBER(G167), $B172 * H167, "")</f>
        <v>-2419.3548387096776</v>
      </c>
      <c r="J167" s="106">
        <v>124</v>
      </c>
      <c r="K167" s="107">
        <f>IF(ISNUMBER(J167), (J167 - $B167) / $B167, "")</f>
        <v>0</v>
      </c>
      <c r="L167" s="108">
        <f>IF(ISNUMBER(J167), $B172 * K167, "")</f>
        <v>0</v>
      </c>
      <c r="M167" s="109">
        <v>123</v>
      </c>
      <c r="N167" s="107">
        <f>IF(ISNUMBER(M167), (M167 - $B167) / $B167, "")</f>
        <v>-8.0645161290322578E-3</v>
      </c>
      <c r="O167" s="108">
        <f>IF(ISNUMBER(M167), $B172 * N167, "")</f>
        <v>-806.45161290322574</v>
      </c>
      <c r="Q167" s="216"/>
      <c r="R167" s="216"/>
      <c r="S167" s="216"/>
    </row>
    <row r="168" spans="1:19" ht="17.25" thickBot="1">
      <c r="A168" s="125" t="s">
        <v>192</v>
      </c>
      <c r="B168" s="126">
        <v>197</v>
      </c>
      <c r="C168" s="77">
        <v>-3.9024390200000002E-2</v>
      </c>
      <c r="D168" s="15">
        <v>198</v>
      </c>
      <c r="E168" s="32">
        <f t="shared" ref="E168:E171" si="90">IF(ISNUMBER(D168), (D168 - $B168) / $B168, "")</f>
        <v>5.076142131979695E-3</v>
      </c>
      <c r="F168" s="18">
        <f>IF(ISNUMBER(D168), $B172 * E168, "")</f>
        <v>507.61421319796949</v>
      </c>
      <c r="G168" s="31">
        <v>196</v>
      </c>
      <c r="H168" s="32">
        <f t="shared" ref="H168:H171" si="91">IF(ISNUMBER(G168), (G168 - $B168) / $B168, "")</f>
        <v>-5.076142131979695E-3</v>
      </c>
      <c r="I168" s="101">
        <f>IF(ISNUMBER(G168), $B172 * H168, "")</f>
        <v>-507.61421319796949</v>
      </c>
      <c r="J168" s="15">
        <v>199</v>
      </c>
      <c r="K168" s="32">
        <f t="shared" ref="K168:K171" si="92">IF(ISNUMBER(J168), (J168 - $B168) / $B168, "")</f>
        <v>1.015228426395939E-2</v>
      </c>
      <c r="L168" s="18">
        <f>IF(ISNUMBER(J168), $B172 * K168, "")</f>
        <v>1015.228426395939</v>
      </c>
      <c r="M168" s="31">
        <v>202</v>
      </c>
      <c r="N168" s="32">
        <f t="shared" ref="N168:N171" si="93">IF(ISNUMBER(M168), (M168 - $B168) / $B168, "")</f>
        <v>2.5380710659898477E-2</v>
      </c>
      <c r="O168" s="18">
        <f>IF(ISNUMBER(M168), $B172 * N168, "")</f>
        <v>2538.0710659898477</v>
      </c>
      <c r="Q168" s="216"/>
      <c r="R168" s="216"/>
      <c r="S168" s="216"/>
    </row>
    <row r="169" spans="1:19" ht="17.25" thickBot="1">
      <c r="A169" s="125" t="s">
        <v>253</v>
      </c>
      <c r="B169" s="126">
        <v>871</v>
      </c>
      <c r="C169" s="77">
        <v>-4.7045951900000001E-2</v>
      </c>
      <c r="D169" s="15">
        <v>853</v>
      </c>
      <c r="E169" s="32">
        <f t="shared" si="90"/>
        <v>-2.0665901262916189E-2</v>
      </c>
      <c r="F169" s="18">
        <f>IF(ISNUMBER(D169), $B172 * E169, "")</f>
        <v>-2066.5901262916191</v>
      </c>
      <c r="G169" s="31">
        <v>852</v>
      </c>
      <c r="H169" s="32">
        <f t="shared" si="91"/>
        <v>-2.1814006888633754E-2</v>
      </c>
      <c r="I169" s="101">
        <f>IF(ISNUMBER(G169), $B172 * H169, "")</f>
        <v>-2181.4006888633753</v>
      </c>
      <c r="J169" s="15">
        <v>862</v>
      </c>
      <c r="K169" s="32">
        <f t="shared" si="92"/>
        <v>-1.0332950631458095E-2</v>
      </c>
      <c r="L169" s="18">
        <f>IF(ISNUMBER(J169), $B172 * K169, "")</f>
        <v>-1033.2950631458095</v>
      </c>
      <c r="M169" s="31">
        <v>858</v>
      </c>
      <c r="N169" s="32">
        <f t="shared" si="93"/>
        <v>-1.4925373134328358E-2</v>
      </c>
      <c r="O169" s="18">
        <f>IF(ISNUMBER(M169), $B172 * N169, "")</f>
        <v>-1492.5373134328358</v>
      </c>
      <c r="Q169" s="216"/>
      <c r="R169" s="216"/>
      <c r="S169" s="216"/>
    </row>
    <row r="170" spans="1:19">
      <c r="A170" s="125" t="s">
        <v>184</v>
      </c>
      <c r="B170" s="126">
        <v>899</v>
      </c>
      <c r="C170" s="77">
        <v>-4.9682875299999998E-2</v>
      </c>
      <c r="D170" s="15">
        <v>962</v>
      </c>
      <c r="E170" s="32">
        <f t="shared" si="90"/>
        <v>7.0077864293659628E-2</v>
      </c>
      <c r="F170" s="18">
        <f>IF(ISNUMBER(D170), $B172 * E170, "")</f>
        <v>7007.7864293659632</v>
      </c>
      <c r="G170" s="31">
        <v>971</v>
      </c>
      <c r="H170" s="32">
        <f t="shared" si="91"/>
        <v>8.0088987764182426E-2</v>
      </c>
      <c r="I170" s="101">
        <f>IF(ISNUMBER(G170), $B172 * H170, "")</f>
        <v>8008.898776418243</v>
      </c>
      <c r="J170" s="15">
        <v>971</v>
      </c>
      <c r="K170" s="32">
        <f t="shared" si="92"/>
        <v>8.0088987764182426E-2</v>
      </c>
      <c r="L170" s="18">
        <f>IF(ISNUMBER(J170), $B172 * K170, "")</f>
        <v>8008.898776418243</v>
      </c>
      <c r="M170" s="31">
        <v>958</v>
      </c>
      <c r="N170" s="32">
        <f t="shared" si="93"/>
        <v>6.5628476084538381E-2</v>
      </c>
      <c r="O170" s="18">
        <f>IF(ISNUMBER(M170), $B172 * N170, "")</f>
        <v>6562.8476084538379</v>
      </c>
      <c r="Q170" s="205"/>
      <c r="R170" s="206"/>
      <c r="S170" s="207"/>
    </row>
    <row r="171" spans="1:19" ht="17.25" thickBot="1">
      <c r="A171" s="130" t="s">
        <v>220</v>
      </c>
      <c r="B171" s="131">
        <v>166</v>
      </c>
      <c r="C171" s="79">
        <v>-5.1428571399999998E-2</v>
      </c>
      <c r="D171" s="24">
        <v>173</v>
      </c>
      <c r="E171" s="25">
        <f t="shared" si="90"/>
        <v>4.2168674698795178E-2</v>
      </c>
      <c r="F171" s="104">
        <f>IF(ISNUMBER(D171), $B172 * E171, "")</f>
        <v>4216.8674698795176</v>
      </c>
      <c r="G171" s="102">
        <v>173</v>
      </c>
      <c r="H171" s="25">
        <f t="shared" si="91"/>
        <v>4.2168674698795178E-2</v>
      </c>
      <c r="I171" s="103">
        <f>IF(ISNUMBER(G171), $B172 * H171, "")</f>
        <v>4216.8674698795176</v>
      </c>
      <c r="J171" s="24">
        <v>185</v>
      </c>
      <c r="K171" s="25">
        <f t="shared" si="92"/>
        <v>0.1144578313253012</v>
      </c>
      <c r="L171" s="104">
        <f>IF(ISNUMBER(J171), $B172 * K171, "")</f>
        <v>11445.783132530119</v>
      </c>
      <c r="M171" s="102">
        <v>178</v>
      </c>
      <c r="N171" s="25">
        <f t="shared" si="93"/>
        <v>7.2289156626506021E-2</v>
      </c>
      <c r="O171" s="104">
        <f>IF(ISNUMBER(M171), $B172 * N171, "")</f>
        <v>7228.9156626506019</v>
      </c>
      <c r="Q171" s="208"/>
      <c r="R171" s="209"/>
      <c r="S171" s="210"/>
    </row>
    <row r="172" spans="1:19" ht="17.25" thickBot="1">
      <c r="A172" s="132" t="s">
        <v>271</v>
      </c>
      <c r="B172" s="269">
        <f>$B$37</f>
        <v>100000</v>
      </c>
      <c r="C172" s="270"/>
      <c r="D172" s="26" t="s">
        <v>272</v>
      </c>
      <c r="E172" s="27">
        <f>IF(COUNT(E152:E171), SUM(E152:E171) / COUNT(E152:E171), 0)</f>
        <v>2.304178298322121E-2</v>
      </c>
      <c r="F172" s="28">
        <f>SUM(F152:F171)</f>
        <v>46083.565966442424</v>
      </c>
      <c r="G172" s="26" t="s">
        <v>272</v>
      </c>
      <c r="H172" s="27">
        <f>IF(COUNT(H152:H171), SUM(H152:H171) / COUNT(H152:H171), 0)</f>
        <v>2.0490610064800269E-2</v>
      </c>
      <c r="I172" s="28">
        <f>SUM(I152:I171)</f>
        <v>40981.220129600544</v>
      </c>
      <c r="J172" s="26" t="s">
        <v>272</v>
      </c>
      <c r="K172" s="27">
        <f>IF(COUNT(K152:K171), SUM(K152:K171) / COUNT(K152:K171), 0)</f>
        <v>3.7237759614422015E-2</v>
      </c>
      <c r="L172" s="28">
        <f>SUM(L152:L171)</f>
        <v>74475.519228844045</v>
      </c>
      <c r="M172" s="26" t="s">
        <v>272</v>
      </c>
      <c r="N172" s="27">
        <f>IF(COUNT(N152:N171), SUM(N152:N171) / COUNT(N152:N171), 0)</f>
        <v>3.2110862063190998E-2</v>
      </c>
      <c r="O172" s="28">
        <f>SUM(O152:O171)</f>
        <v>64221.724126382003</v>
      </c>
      <c r="Q172" s="211"/>
      <c r="R172" s="212"/>
      <c r="S172" s="213"/>
    </row>
    <row r="174" spans="1:19" ht="17.25" thickBot="1"/>
    <row r="175" spans="1:19" ht="17.25" thickBot="1">
      <c r="A175" s="227" t="s">
        <v>256</v>
      </c>
      <c r="B175" s="228"/>
      <c r="C175" s="228"/>
      <c r="D175" s="228"/>
      <c r="E175" s="228"/>
      <c r="F175" s="228"/>
      <c r="G175" s="228"/>
      <c r="H175" s="228"/>
      <c r="I175" s="228"/>
      <c r="J175" s="228"/>
      <c r="K175" s="228"/>
      <c r="L175" s="228"/>
      <c r="M175" s="228"/>
      <c r="N175" s="228"/>
      <c r="O175" s="229"/>
      <c r="Q175" s="226"/>
      <c r="R175" s="226"/>
      <c r="S175" s="226"/>
    </row>
    <row r="176" spans="1:19" ht="17.25" thickBot="1">
      <c r="A176" s="181" t="s">
        <v>268</v>
      </c>
      <c r="B176" s="227" t="s">
        <v>49</v>
      </c>
      <c r="C176" s="229"/>
      <c r="D176" s="227" t="s">
        <v>58</v>
      </c>
      <c r="E176" s="228"/>
      <c r="F176" s="229"/>
      <c r="G176" s="230">
        <f>_xlfn.IFNA(VLOOKUP(B176, 현재가테이블!$B$2:$D$200, 2, FALSE), "-")</f>
        <v>39916000</v>
      </c>
      <c r="H176" s="231"/>
      <c r="I176" s="232"/>
      <c r="J176" s="227" t="s">
        <v>59</v>
      </c>
      <c r="K176" s="228"/>
      <c r="L176" s="229"/>
      <c r="M176" s="233">
        <f>_xlfn.IFNA(VLOOKUP(B176, 현재가테이블!$B$2:$D$200, 3, FALSE), "-")</f>
        <v>7.3184273000000003E-3</v>
      </c>
      <c r="N176" s="234"/>
      <c r="O176" s="235"/>
      <c r="Q176" s="226"/>
      <c r="R176" s="226"/>
      <c r="S176" s="226"/>
    </row>
    <row r="177" spans="1:19" ht="17.25" thickBot="1">
      <c r="A177" s="271" t="s">
        <v>55</v>
      </c>
      <c r="B177" s="267" t="str">
        <f>TEXT($G$1, "[$-ko-KR]yyyy-mm-dd(ddd) ") &amp; "오전 00:00"</f>
        <v>2021-07-07(수) 오전 00:00</v>
      </c>
      <c r="C177" s="268"/>
      <c r="D177" s="240" t="str">
        <f>TEXT($G$1, "[$-ko-KR]yyyy-mm-dd(ddd) ") &amp; "오후 14:00"</f>
        <v>2021-07-07(수) 오후 14:00</v>
      </c>
      <c r="E177" s="241"/>
      <c r="F177" s="242"/>
      <c r="G177" s="240" t="str">
        <f>TEXT($G$1, "[$-ko-KR]yyyy-mm-dd(ddd) ") &amp; "오후 19:00"</f>
        <v>2021-07-07(수) 오후 19:00</v>
      </c>
      <c r="H177" s="241"/>
      <c r="I177" s="242"/>
      <c r="J177" s="240" t="str">
        <f>TEXT($G$1, "[$-ko-KR]yyyy-mm-dd(ddd) ") &amp; "오후 21:00"</f>
        <v>2021-07-07(수) 오후 21:00</v>
      </c>
      <c r="K177" s="241"/>
      <c r="L177" s="242"/>
      <c r="M177" s="240" t="str">
        <f>TEXT($G$1+1, "[$-ko-KR]yyyy-mm-dd(ddd) ") &amp; "오전 00:00"</f>
        <v>2021-07-08(목) 오전 00:00</v>
      </c>
      <c r="N177" s="241"/>
      <c r="O177" s="242"/>
      <c r="Q177" s="226"/>
      <c r="R177" s="226"/>
      <c r="S177" s="226"/>
    </row>
    <row r="178" spans="1:19" ht="17.25" thickBot="1">
      <c r="A178" s="27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2" t="s">
        <v>58</v>
      </c>
      <c r="H178" s="183" t="s">
        <v>269</v>
      </c>
      <c r="I178" s="18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6"/>
      <c r="R178" s="216"/>
      <c r="S178" s="216"/>
    </row>
    <row r="179" spans="1:19" ht="17.25" thickBot="1">
      <c r="A179" s="123" t="s">
        <v>214</v>
      </c>
      <c r="B179" s="124">
        <v>240</v>
      </c>
      <c r="C179" s="76">
        <v>-2.4390243900000001E-2</v>
      </c>
      <c r="D179" s="13">
        <v>246</v>
      </c>
      <c r="E179" s="14">
        <f>IF(ISNUMBER(D179), (D179 - $B179) / $B179, "")</f>
        <v>2.5000000000000001E-2</v>
      </c>
      <c r="F179" s="16">
        <f>IF(ISNUMBER(D179), $B199 * E179, "")</f>
        <v>2500</v>
      </c>
      <c r="G179" s="29">
        <v>259</v>
      </c>
      <c r="H179" s="14">
        <f>IF(ISNUMBER(G179), (G179 - $B179) / $B179, "")</f>
        <v>7.9166666666666663E-2</v>
      </c>
      <c r="I179" s="100">
        <f>IF(ISNUMBER(G179), $B199 * H179, "")</f>
        <v>7916.6666666666661</v>
      </c>
      <c r="J179" s="13">
        <v>259</v>
      </c>
      <c r="K179" s="14">
        <f>IF(ISNUMBER(J179), (J179 - $B179) / $B179, "")</f>
        <v>7.9166666666666663E-2</v>
      </c>
      <c r="L179" s="16">
        <f>IF(ISNUMBER(J179), $B199 * K179, "")</f>
        <v>7916.6666666666661</v>
      </c>
      <c r="M179" s="29">
        <v>259</v>
      </c>
      <c r="N179" s="14">
        <f>IF(ISNUMBER(M179), (M179 - $B179) / $B179, "")</f>
        <v>7.9166666666666663E-2</v>
      </c>
      <c r="O179" s="16">
        <f>IF(ISNUMBER(M179), $B199 * N179, "")</f>
        <v>7916.6666666666661</v>
      </c>
      <c r="Q179" s="226"/>
      <c r="R179" s="226"/>
      <c r="S179" s="226"/>
    </row>
    <row r="180" spans="1:19" ht="17.25" thickBot="1">
      <c r="A180" s="125" t="s">
        <v>186</v>
      </c>
      <c r="B180" s="126">
        <v>6740</v>
      </c>
      <c r="C180" s="77">
        <v>-2.4602025999999999E-2</v>
      </c>
      <c r="D180" s="15">
        <v>6825</v>
      </c>
      <c r="E180" s="32">
        <f t="shared" ref="E180:E183" si="94">IF(ISNUMBER(D180), (D180 - $B180) / $B180, "")</f>
        <v>1.2611275964391691E-2</v>
      </c>
      <c r="F180" s="18">
        <f>IF(ISNUMBER(D180), $B199 * E180, "")</f>
        <v>1261.1275964391691</v>
      </c>
      <c r="G180" s="31">
        <v>6795</v>
      </c>
      <c r="H180" s="32">
        <f t="shared" ref="H180:H183" si="95">IF(ISNUMBER(G180), (G180 - $B180) / $B180, "")</f>
        <v>8.1602373887240363E-3</v>
      </c>
      <c r="I180" s="101">
        <f>IF(ISNUMBER(G180), $B199 * H180, "")</f>
        <v>816.02373887240367</v>
      </c>
      <c r="J180" s="15">
        <v>6915</v>
      </c>
      <c r="K180" s="32">
        <f t="shared" ref="K180:K183" si="96">IF(ISNUMBER(J180), (J180 - $B180) / $B180, "")</f>
        <v>2.596439169139466E-2</v>
      </c>
      <c r="L180" s="18">
        <f>IF(ISNUMBER(J180), $B199 * K180, "")</f>
        <v>2596.4391691394662</v>
      </c>
      <c r="M180" s="31">
        <v>6895</v>
      </c>
      <c r="N180" s="32">
        <f t="shared" ref="N180:N183" si="97">IF(ISNUMBER(M180), (M180 - $B180) / $B180, "")</f>
        <v>2.2997032640949554E-2</v>
      </c>
      <c r="O180" s="18">
        <f>IF(ISNUMBER(M180), $B199 * N180, "")</f>
        <v>2299.7032640949556</v>
      </c>
      <c r="Q180" s="226"/>
      <c r="R180" s="226"/>
      <c r="S180" s="226"/>
    </row>
    <row r="181" spans="1:19" ht="17.25" thickBot="1">
      <c r="A181" s="125" t="s">
        <v>65</v>
      </c>
      <c r="B181" s="126">
        <v>27.7</v>
      </c>
      <c r="C181" s="77">
        <v>-2.4647887300000001E-2</v>
      </c>
      <c r="D181" s="15">
        <v>28</v>
      </c>
      <c r="E181" s="32">
        <f t="shared" si="94"/>
        <v>1.0830324909747318E-2</v>
      </c>
      <c r="F181" s="18">
        <f>IF(ISNUMBER(D181), $B199 * E181, "")</f>
        <v>1083.0324909747319</v>
      </c>
      <c r="G181" s="31">
        <v>27.9</v>
      </c>
      <c r="H181" s="32">
        <f t="shared" si="95"/>
        <v>7.2202166064981692E-3</v>
      </c>
      <c r="I181" s="101">
        <f>IF(ISNUMBER(G181), $B199 * H181, "")</f>
        <v>722.02166064981691</v>
      </c>
      <c r="J181" s="15">
        <v>28.3</v>
      </c>
      <c r="K181" s="32">
        <f t="shared" si="96"/>
        <v>2.1660649819494636E-2</v>
      </c>
      <c r="L181" s="18">
        <f>IF(ISNUMBER(J181), $B199 * K181, "")</f>
        <v>2166.0649819494638</v>
      </c>
      <c r="M181" s="31">
        <v>28.1</v>
      </c>
      <c r="N181" s="32">
        <f t="shared" si="97"/>
        <v>1.4440433212996467E-2</v>
      </c>
      <c r="O181" s="18">
        <f>IF(ISNUMBER(M181), $B199 * N181, "")</f>
        <v>1444.0433212996468</v>
      </c>
      <c r="Q181" s="216"/>
      <c r="R181" s="216"/>
      <c r="S181" s="216"/>
    </row>
    <row r="182" spans="1:19" ht="17.25" thickBot="1">
      <c r="A182" s="125" t="s">
        <v>106</v>
      </c>
      <c r="B182" s="126">
        <v>34760</v>
      </c>
      <c r="C182" s="77">
        <v>-2.55116344E-2</v>
      </c>
      <c r="D182" s="15">
        <v>34690</v>
      </c>
      <c r="E182" s="32">
        <f t="shared" si="94"/>
        <v>-2.0138089758342925E-3</v>
      </c>
      <c r="F182" s="18">
        <f>IF(ISNUMBER(D182), $B199 * E182, "")</f>
        <v>-201.38089758342926</v>
      </c>
      <c r="G182" s="31">
        <v>34360</v>
      </c>
      <c r="H182" s="32">
        <f t="shared" si="95"/>
        <v>-1.1507479861910242E-2</v>
      </c>
      <c r="I182" s="101">
        <f>IF(ISNUMBER(G182), $B199 * H182, "")</f>
        <v>-1150.7479861910242</v>
      </c>
      <c r="J182" s="15">
        <v>34580</v>
      </c>
      <c r="K182" s="32">
        <f t="shared" si="96"/>
        <v>-5.1783659378596084E-3</v>
      </c>
      <c r="L182" s="18">
        <f>IF(ISNUMBER(J182), $B199 * K182, "")</f>
        <v>-517.83659378596087</v>
      </c>
      <c r="M182" s="31">
        <v>34400</v>
      </c>
      <c r="N182" s="32">
        <f t="shared" si="97"/>
        <v>-1.0356731875719217E-2</v>
      </c>
      <c r="O182" s="18">
        <f>IF(ISNUMBER(M182), $B199 * N182, "")</f>
        <v>-1035.6731875719217</v>
      </c>
      <c r="Q182" s="216"/>
      <c r="R182" s="216"/>
      <c r="S182" s="216"/>
    </row>
    <row r="183" spans="1:19" ht="17.25" thickBot="1">
      <c r="A183" s="127" t="s">
        <v>72</v>
      </c>
      <c r="B183" s="128">
        <v>18.8</v>
      </c>
      <c r="C183" s="78">
        <v>-2.59067358E-2</v>
      </c>
      <c r="D183" s="20">
        <v>19</v>
      </c>
      <c r="E183" s="21">
        <f t="shared" si="94"/>
        <v>1.0638297872340387E-2</v>
      </c>
      <c r="F183" s="22">
        <f>IF(ISNUMBER(D183), $B199 * E183, "")</f>
        <v>1063.8297872340388</v>
      </c>
      <c r="G183" s="30">
        <v>18.8</v>
      </c>
      <c r="H183" s="21">
        <f t="shared" si="95"/>
        <v>0</v>
      </c>
      <c r="I183" s="105">
        <f>IF(ISNUMBER(G183), $B199 * H183, "")</f>
        <v>0</v>
      </c>
      <c r="J183" s="20">
        <v>19</v>
      </c>
      <c r="K183" s="21">
        <f t="shared" si="96"/>
        <v>1.0638297872340387E-2</v>
      </c>
      <c r="L183" s="22">
        <f>IF(ISNUMBER(J183), $B199 * K183, "")</f>
        <v>1063.8297872340388</v>
      </c>
      <c r="M183" s="30">
        <v>19.2</v>
      </c>
      <c r="N183" s="21">
        <f t="shared" si="97"/>
        <v>2.1276595744680774E-2</v>
      </c>
      <c r="O183" s="22">
        <f>IF(ISNUMBER(M183), $B199 * N183, "")</f>
        <v>2127.6595744680776</v>
      </c>
      <c r="Q183" s="216"/>
      <c r="R183" s="216"/>
      <c r="S183" s="216"/>
    </row>
    <row r="184" spans="1:19" ht="17.25" thickBot="1">
      <c r="A184" s="125" t="s">
        <v>124</v>
      </c>
      <c r="B184" s="129">
        <v>324</v>
      </c>
      <c r="C184" s="80">
        <v>-2.7027026999999999E-2</v>
      </c>
      <c r="D184" s="106">
        <v>322</v>
      </c>
      <c r="E184" s="107">
        <f>IF(ISNUMBER(D184), (D184 - $B184) / $B184, "")</f>
        <v>-6.1728395061728392E-3</v>
      </c>
      <c r="F184" s="108">
        <f>IF(ISNUMBER(D184), $B199 * E184, "")</f>
        <v>-617.28395061728395</v>
      </c>
      <c r="G184" s="109">
        <v>319</v>
      </c>
      <c r="H184" s="107">
        <f>IF(ISNUMBER(G184), (G184 - $B184) / $B184, "")</f>
        <v>-1.5432098765432098E-2</v>
      </c>
      <c r="I184" s="110">
        <f>IF(ISNUMBER(G184), $B199 * H184, "")</f>
        <v>-1543.2098765432097</v>
      </c>
      <c r="J184" s="106">
        <v>321</v>
      </c>
      <c r="K184" s="107">
        <f>IF(ISNUMBER(J184), (J184 - $B184) / $B184, "")</f>
        <v>-9.2592592592592587E-3</v>
      </c>
      <c r="L184" s="108">
        <f>IF(ISNUMBER(J184), $B199 * K184, "")</f>
        <v>-925.92592592592587</v>
      </c>
      <c r="M184" s="109">
        <v>317</v>
      </c>
      <c r="N184" s="107">
        <f>IF(ISNUMBER(M184), (M184 - $B184) / $B184, "")</f>
        <v>-2.1604938271604937E-2</v>
      </c>
      <c r="O184" s="108">
        <f>IF(ISNUMBER(M184), $B199 * N184, "")</f>
        <v>-2160.4938271604938</v>
      </c>
      <c r="Q184" s="216"/>
      <c r="R184" s="216"/>
      <c r="S184" s="216"/>
    </row>
    <row r="185" spans="1:19" ht="17.25" thickBot="1">
      <c r="A185" s="125" t="s">
        <v>208</v>
      </c>
      <c r="B185" s="126">
        <v>10.5</v>
      </c>
      <c r="C185" s="77">
        <v>-2.77777778E-2</v>
      </c>
      <c r="D185" s="15">
        <v>10.4</v>
      </c>
      <c r="E185" s="32">
        <f t="shared" ref="E185:E188" si="98">IF(ISNUMBER(D185), (D185 - $B185) / $B185, "")</f>
        <v>-9.52380952380949E-3</v>
      </c>
      <c r="F185" s="18">
        <f>IF(ISNUMBER(D185), $B199 * E185, "")</f>
        <v>-952.380952380949</v>
      </c>
      <c r="G185" s="31">
        <v>10.199999999999999</v>
      </c>
      <c r="H185" s="32">
        <f t="shared" ref="H185:H188" si="99">IF(ISNUMBER(G185), (G185 - $B185) / $B185, "")</f>
        <v>-2.857142857142864E-2</v>
      </c>
      <c r="I185" s="101">
        <f>IF(ISNUMBER(G185), $B199 * H185, "")</f>
        <v>-2857.1428571428642</v>
      </c>
      <c r="J185" s="15">
        <v>10.3</v>
      </c>
      <c r="K185" s="32">
        <f t="shared" ref="K185:K188" si="100">IF(ISNUMBER(J185), (J185 - $B185) / $B185, "")</f>
        <v>-1.904761904761898E-2</v>
      </c>
      <c r="L185" s="18">
        <f>IF(ISNUMBER(J185), $B199 * K185, "")</f>
        <v>-1904.761904761898</v>
      </c>
      <c r="M185" s="31">
        <v>10.3</v>
      </c>
      <c r="N185" s="32">
        <f t="shared" ref="N185:N188" si="101">IF(ISNUMBER(M185), (M185 - $B185) / $B185, "")</f>
        <v>-1.904761904761898E-2</v>
      </c>
      <c r="O185" s="18">
        <f>IF(ISNUMBER(M185), $B199 * N185, "")</f>
        <v>-1904.761904761898</v>
      </c>
      <c r="Q185" s="216"/>
      <c r="R185" s="216"/>
      <c r="S185" s="216"/>
    </row>
    <row r="186" spans="1:19" ht="17.25" thickBot="1">
      <c r="A186" s="125" t="s">
        <v>166</v>
      </c>
      <c r="B186" s="126">
        <v>135</v>
      </c>
      <c r="C186" s="77">
        <v>-2.87769784E-2</v>
      </c>
      <c r="D186" s="15">
        <v>135</v>
      </c>
      <c r="E186" s="32">
        <f t="shared" si="98"/>
        <v>0</v>
      </c>
      <c r="F186" s="18">
        <f>IF(ISNUMBER(D186), $B199 * E186, "")</f>
        <v>0</v>
      </c>
      <c r="G186" s="31">
        <v>134</v>
      </c>
      <c r="H186" s="32">
        <f t="shared" si="99"/>
        <v>-7.4074074074074077E-3</v>
      </c>
      <c r="I186" s="101">
        <f>IF(ISNUMBER(G186), $B199 * H186, "")</f>
        <v>-740.74074074074076</v>
      </c>
      <c r="J186" s="15">
        <v>137</v>
      </c>
      <c r="K186" s="32">
        <f t="shared" si="100"/>
        <v>1.4814814814814815E-2</v>
      </c>
      <c r="L186" s="18">
        <f>IF(ISNUMBER(J186), $B199 * K186, "")</f>
        <v>1481.4814814814815</v>
      </c>
      <c r="M186" s="31">
        <v>136</v>
      </c>
      <c r="N186" s="32">
        <f t="shared" si="101"/>
        <v>7.4074074074074077E-3</v>
      </c>
      <c r="O186" s="18">
        <f>IF(ISNUMBER(M186), $B199 * N186, "")</f>
        <v>740.74074074074076</v>
      </c>
      <c r="Q186" s="216"/>
      <c r="R186" s="216"/>
      <c r="S186" s="216"/>
    </row>
    <row r="187" spans="1:19" ht="17.25" thickBot="1">
      <c r="A187" s="125" t="s">
        <v>67</v>
      </c>
      <c r="B187" s="126">
        <v>3520</v>
      </c>
      <c r="C187" s="77">
        <v>-3.0303030299999999E-2</v>
      </c>
      <c r="D187" s="15">
        <v>3645</v>
      </c>
      <c r="E187" s="32">
        <f t="shared" si="98"/>
        <v>3.551136363636364E-2</v>
      </c>
      <c r="F187" s="18">
        <f>IF(ISNUMBER(D187), $B199 * E187, "")</f>
        <v>3551.136363636364</v>
      </c>
      <c r="G187" s="31">
        <v>3690</v>
      </c>
      <c r="H187" s="32">
        <f t="shared" si="99"/>
        <v>4.8295454545454544E-2</v>
      </c>
      <c r="I187" s="101">
        <f>IF(ISNUMBER(G187), $B199 * H187, "")</f>
        <v>4829.545454545454</v>
      </c>
      <c r="J187" s="15">
        <v>3730</v>
      </c>
      <c r="K187" s="32">
        <f t="shared" si="100"/>
        <v>5.9659090909090912E-2</v>
      </c>
      <c r="L187" s="18">
        <f>IF(ISNUMBER(J187), $B199 * K187, "")</f>
        <v>5965.909090909091</v>
      </c>
      <c r="M187" s="31">
        <v>3680</v>
      </c>
      <c r="N187" s="32">
        <f t="shared" si="101"/>
        <v>4.5454545454545456E-2</v>
      </c>
      <c r="O187" s="18">
        <f>IF(ISNUMBER(M187), $B199 * N187, "")</f>
        <v>4545.454545454546</v>
      </c>
      <c r="Q187" s="33"/>
      <c r="R187" s="33"/>
    </row>
    <row r="188" spans="1:19" ht="17.25" thickBot="1">
      <c r="A188" s="130" t="s">
        <v>74</v>
      </c>
      <c r="B188" s="131">
        <v>15300</v>
      </c>
      <c r="C188" s="79">
        <v>-3.28697851E-2</v>
      </c>
      <c r="D188" s="24">
        <v>15570</v>
      </c>
      <c r="E188" s="25">
        <f t="shared" si="98"/>
        <v>1.7647058823529412E-2</v>
      </c>
      <c r="F188" s="104">
        <f>IF(ISNUMBER(D188), $B199 * E188, "")</f>
        <v>1764.7058823529412</v>
      </c>
      <c r="G188" s="102">
        <v>15200</v>
      </c>
      <c r="H188" s="25">
        <f t="shared" si="99"/>
        <v>-6.5359477124183009E-3</v>
      </c>
      <c r="I188" s="103">
        <f>IF(ISNUMBER(G188), $B199 * H188, "")</f>
        <v>-653.59477124183013</v>
      </c>
      <c r="J188" s="24">
        <v>15290</v>
      </c>
      <c r="K188" s="25">
        <f t="shared" si="100"/>
        <v>-6.5359477124183002E-4</v>
      </c>
      <c r="L188" s="104">
        <f>IF(ISNUMBER(J188), $B199 * K188, "")</f>
        <v>-65.359477124183002</v>
      </c>
      <c r="M188" s="102">
        <v>15450</v>
      </c>
      <c r="N188" s="25">
        <f t="shared" si="101"/>
        <v>9.8039215686274508E-3</v>
      </c>
      <c r="O188" s="104">
        <f>IF(ISNUMBER(M188), $B199 * N188, "")</f>
        <v>980.39215686274508</v>
      </c>
      <c r="Q188" s="217"/>
      <c r="R188" s="218"/>
      <c r="S188" s="219"/>
    </row>
    <row r="189" spans="1:19">
      <c r="A189" s="123" t="s">
        <v>142</v>
      </c>
      <c r="B189" s="124">
        <v>7345</v>
      </c>
      <c r="C189" s="76">
        <v>-3.2916392400000001E-2</v>
      </c>
      <c r="D189" s="13">
        <v>7500</v>
      </c>
      <c r="E189" s="14">
        <f>IF(ISNUMBER(D189), (D189 - $B189) / $B189, "")</f>
        <v>2.1102791014295439E-2</v>
      </c>
      <c r="F189" s="16">
        <f>IF(ISNUMBER(D189), $B199 * E189, "")</f>
        <v>2110.279101429544</v>
      </c>
      <c r="G189" s="29">
        <v>7530</v>
      </c>
      <c r="H189" s="14">
        <f>IF(ISNUMBER(G189), (G189 - $B189) / $B189, "")</f>
        <v>2.518720217835262E-2</v>
      </c>
      <c r="I189" s="100">
        <f>IF(ISNUMBER(G189), $B199 * H189, "")</f>
        <v>2518.7202178352618</v>
      </c>
      <c r="J189" s="13">
        <v>7575</v>
      </c>
      <c r="K189" s="14">
        <f>IF(ISNUMBER(J189), (J189 - $B189) / $B189, "")</f>
        <v>3.1313818924438394E-2</v>
      </c>
      <c r="L189" s="16">
        <f>IF(ISNUMBER(J189), $B199 * K189, "")</f>
        <v>3131.3818924438392</v>
      </c>
      <c r="M189" s="29">
        <v>7570</v>
      </c>
      <c r="N189" s="14">
        <f>IF(ISNUMBER(M189), (M189 - $B189) / $B189, "")</f>
        <v>3.0633083730428862E-2</v>
      </c>
      <c r="O189" s="16">
        <f>IF(ISNUMBER(M189), $B199 * N189, "")</f>
        <v>3063.3083730428862</v>
      </c>
      <c r="Q189" s="220"/>
      <c r="R189" s="221"/>
      <c r="S189" s="222"/>
    </row>
    <row r="190" spans="1:19" ht="17.25" thickBot="1">
      <c r="A190" s="125" t="s">
        <v>228</v>
      </c>
      <c r="B190" s="126">
        <v>315</v>
      </c>
      <c r="C190" s="77">
        <v>-3.6697247699999998E-2</v>
      </c>
      <c r="D190" s="15">
        <v>315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315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319</v>
      </c>
      <c r="K190" s="32">
        <f t="shared" ref="K190:K193" si="104">IF(ISNUMBER(J190), (J190 - $B190) / $B190, "")</f>
        <v>1.2698412698412698E-2</v>
      </c>
      <c r="L190" s="18">
        <f>IF(ISNUMBER(J190), $B199 * K190, "")</f>
        <v>1269.8412698412699</v>
      </c>
      <c r="M190" s="31">
        <v>316</v>
      </c>
      <c r="N190" s="32">
        <f t="shared" ref="N190:N193" si="105">IF(ISNUMBER(M190), (M190 - $B190) / $B190, "")</f>
        <v>3.1746031746031746E-3</v>
      </c>
      <c r="O190" s="18">
        <f>IF(ISNUMBER(M190), $B199 * N190, "")</f>
        <v>317.46031746031747</v>
      </c>
      <c r="Q190" s="223"/>
      <c r="R190" s="224"/>
      <c r="S190" s="225"/>
    </row>
    <row r="191" spans="1:19" ht="17.25" thickBot="1">
      <c r="A191" s="125" t="s">
        <v>210</v>
      </c>
      <c r="B191" s="126">
        <v>10.3</v>
      </c>
      <c r="C191" s="77">
        <v>-3.7383177599999998E-2</v>
      </c>
      <c r="D191" s="15">
        <v>10.8</v>
      </c>
      <c r="E191" s="32">
        <f t="shared" si="102"/>
        <v>4.8543689320388349E-2</v>
      </c>
      <c r="F191" s="18">
        <f>IF(ISNUMBER(D191), $B199 * E191, "")</f>
        <v>4854.3689320388348</v>
      </c>
      <c r="G191" s="31">
        <v>10.4</v>
      </c>
      <c r="H191" s="32">
        <f t="shared" si="103"/>
        <v>9.7087378640776344E-3</v>
      </c>
      <c r="I191" s="101">
        <f>IF(ISNUMBER(G191), $B199 * H191, "")</f>
        <v>970.87378640776342</v>
      </c>
      <c r="J191" s="15">
        <v>10.5</v>
      </c>
      <c r="K191" s="32">
        <f t="shared" si="104"/>
        <v>1.9417475728155269E-2</v>
      </c>
      <c r="L191" s="18">
        <f>IF(ISNUMBER(J191), $B199 * K191, "")</f>
        <v>1941.7475728155268</v>
      </c>
      <c r="M191" s="31">
        <v>10.4</v>
      </c>
      <c r="N191" s="32">
        <f t="shared" si="105"/>
        <v>9.7087378640776344E-3</v>
      </c>
      <c r="O191" s="18">
        <f>IF(ISNUMBER(M191), $B199 * N191, "")</f>
        <v>970.87378640776342</v>
      </c>
      <c r="Q191" s="216"/>
      <c r="R191" s="216"/>
      <c r="S191" s="216"/>
    </row>
    <row r="192" spans="1:19" ht="17.25" thickBot="1">
      <c r="A192" s="125" t="s">
        <v>108</v>
      </c>
      <c r="B192" s="126">
        <v>1015</v>
      </c>
      <c r="C192" s="77">
        <v>-3.7914691899999999E-2</v>
      </c>
      <c r="D192" s="15">
        <v>1060</v>
      </c>
      <c r="E192" s="32">
        <f t="shared" si="102"/>
        <v>4.4334975369458129E-2</v>
      </c>
      <c r="F192" s="18">
        <f>IF(ISNUMBER(D192), $B199 * E192, "")</f>
        <v>4433.4975369458125</v>
      </c>
      <c r="G192" s="31">
        <v>1055</v>
      </c>
      <c r="H192" s="32">
        <f t="shared" si="103"/>
        <v>3.9408866995073892E-2</v>
      </c>
      <c r="I192" s="101">
        <f>IF(ISNUMBER(G192), $B199 * H192, "")</f>
        <v>3940.886699507389</v>
      </c>
      <c r="J192" s="15">
        <v>1090</v>
      </c>
      <c r="K192" s="32">
        <f t="shared" si="104"/>
        <v>7.3891625615763554E-2</v>
      </c>
      <c r="L192" s="18">
        <f>IF(ISNUMBER(J192), $B199 * K192, "")</f>
        <v>7389.1625615763551</v>
      </c>
      <c r="M192" s="31">
        <v>1075</v>
      </c>
      <c r="N192" s="32">
        <f t="shared" si="105"/>
        <v>5.9113300492610835E-2</v>
      </c>
      <c r="O192" s="18">
        <f>IF(ISNUMBER(M192), $B199 * N192, "")</f>
        <v>5911.3300492610833</v>
      </c>
      <c r="Q192" s="226"/>
      <c r="R192" s="226"/>
      <c r="S192" s="226"/>
    </row>
    <row r="193" spans="1:19" ht="17.25" thickBot="1">
      <c r="A193" s="127" t="s">
        <v>200</v>
      </c>
      <c r="B193" s="128">
        <v>124</v>
      </c>
      <c r="C193" s="78">
        <v>-3.8759689899999998E-2</v>
      </c>
      <c r="D193" s="20">
        <v>122</v>
      </c>
      <c r="E193" s="21">
        <f t="shared" si="102"/>
        <v>-1.6129032258064516E-2</v>
      </c>
      <c r="F193" s="22">
        <f>IF(ISNUMBER(D193), $B199 * E193, "")</f>
        <v>-1612.9032258064515</v>
      </c>
      <c r="G193" s="30">
        <v>121</v>
      </c>
      <c r="H193" s="21">
        <f t="shared" si="103"/>
        <v>-2.4193548387096774E-2</v>
      </c>
      <c r="I193" s="105">
        <f>IF(ISNUMBER(G193), $B199 * H193, "")</f>
        <v>-2419.3548387096776</v>
      </c>
      <c r="J193" s="20">
        <v>124</v>
      </c>
      <c r="K193" s="21">
        <f t="shared" si="104"/>
        <v>0</v>
      </c>
      <c r="L193" s="22">
        <f>IF(ISNUMBER(J193), $B199 * K193, "")</f>
        <v>0</v>
      </c>
      <c r="M193" s="30">
        <v>123</v>
      </c>
      <c r="N193" s="21">
        <f t="shared" si="105"/>
        <v>-8.0645161290322578E-3</v>
      </c>
      <c r="O193" s="22">
        <f>IF(ISNUMBER(M193), $B199 * N193, "")</f>
        <v>-806.45161290322574</v>
      </c>
      <c r="Q193" s="226"/>
      <c r="R193" s="226"/>
      <c r="S193" s="226"/>
    </row>
    <row r="194" spans="1:19" ht="17.25" thickBot="1">
      <c r="A194" s="125" t="s">
        <v>192</v>
      </c>
      <c r="B194" s="129">
        <v>197</v>
      </c>
      <c r="C194" s="80">
        <v>-3.9024390200000002E-2</v>
      </c>
      <c r="D194" s="106">
        <v>198</v>
      </c>
      <c r="E194" s="107">
        <f>IF(ISNUMBER(D194), (D194 - $B194) / $B194, "")</f>
        <v>5.076142131979695E-3</v>
      </c>
      <c r="F194" s="108">
        <f>IF(ISNUMBER(D194), $B199 * E194, "")</f>
        <v>507.61421319796949</v>
      </c>
      <c r="G194" s="109">
        <v>196</v>
      </c>
      <c r="H194" s="107">
        <f>IF(ISNUMBER(G194), (G194 - $B194) / $B194, "")</f>
        <v>-5.076142131979695E-3</v>
      </c>
      <c r="I194" s="110">
        <f>IF(ISNUMBER(G194), $B199 * H194, "")</f>
        <v>-507.61421319796949</v>
      </c>
      <c r="J194" s="106">
        <v>199</v>
      </c>
      <c r="K194" s="107">
        <f>IF(ISNUMBER(J194), (J194 - $B194) / $B194, "")</f>
        <v>1.015228426395939E-2</v>
      </c>
      <c r="L194" s="108">
        <f>IF(ISNUMBER(J194), $B199 * K194, "")</f>
        <v>1015.228426395939</v>
      </c>
      <c r="M194" s="109">
        <v>202</v>
      </c>
      <c r="N194" s="107">
        <f>IF(ISNUMBER(M194), (M194 - $B194) / $B194, "")</f>
        <v>2.5380710659898477E-2</v>
      </c>
      <c r="O194" s="108">
        <f>IF(ISNUMBER(M194), $B199 * N194, "")</f>
        <v>2538.0710659898477</v>
      </c>
      <c r="Q194" s="216"/>
      <c r="R194" s="216"/>
      <c r="S194" s="216"/>
    </row>
    <row r="195" spans="1:19" ht="17.25" thickBot="1">
      <c r="A195" s="125" t="s">
        <v>190</v>
      </c>
      <c r="B195" s="126">
        <v>16.3</v>
      </c>
      <c r="C195" s="77">
        <v>-4.1176470600000001E-2</v>
      </c>
      <c r="D195" s="15">
        <v>16.5</v>
      </c>
      <c r="E195" s="32">
        <f t="shared" ref="E195:E198" si="106">IF(ISNUMBER(D195), (D195 - $B195) / $B195, "")</f>
        <v>1.2269938650306704E-2</v>
      </c>
      <c r="F195" s="18">
        <f>IF(ISNUMBER(D195), $B199 * E195, "")</f>
        <v>1226.9938650306703</v>
      </c>
      <c r="G195" s="31">
        <v>16.3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16.399999999999999</v>
      </c>
      <c r="K195" s="32">
        <f t="shared" ref="K195:K198" si="108">IF(ISNUMBER(J195), (J195 - $B195) / $B195, "")</f>
        <v>6.1349693251532434E-3</v>
      </c>
      <c r="L195" s="18">
        <f>IF(ISNUMBER(J195), $B199 * K195, "")</f>
        <v>613.49693251532437</v>
      </c>
      <c r="M195" s="31">
        <v>16.899999999999999</v>
      </c>
      <c r="N195" s="32">
        <f t="shared" ref="N195:N198" si="109">IF(ISNUMBER(M195), (M195 - $B195) / $B195, "")</f>
        <v>3.6809815950920116E-2</v>
      </c>
      <c r="O195" s="18">
        <f>IF(ISNUMBER(M195), $B199 * N195, "")</f>
        <v>3680.9815950920115</v>
      </c>
      <c r="Q195" s="216"/>
      <c r="R195" s="216"/>
      <c r="S195" s="216"/>
    </row>
    <row r="196" spans="1:19" ht="17.25" thickBot="1">
      <c r="A196" s="125" t="s">
        <v>253</v>
      </c>
      <c r="B196" s="126">
        <v>871</v>
      </c>
      <c r="C196" s="77">
        <v>-4.7045951900000001E-2</v>
      </c>
      <c r="D196" s="15">
        <v>853</v>
      </c>
      <c r="E196" s="32">
        <f t="shared" si="106"/>
        <v>-2.0665901262916189E-2</v>
      </c>
      <c r="F196" s="18">
        <f>IF(ISNUMBER(D196), $B199 * E196, "")</f>
        <v>-2066.5901262916191</v>
      </c>
      <c r="G196" s="31">
        <v>852</v>
      </c>
      <c r="H196" s="32">
        <f t="shared" si="107"/>
        <v>-2.1814006888633754E-2</v>
      </c>
      <c r="I196" s="101">
        <f>IF(ISNUMBER(G196), $B199 * H196, "")</f>
        <v>-2181.4006888633753</v>
      </c>
      <c r="J196" s="15">
        <v>862</v>
      </c>
      <c r="K196" s="32">
        <f t="shared" si="108"/>
        <v>-1.0332950631458095E-2</v>
      </c>
      <c r="L196" s="18">
        <f>IF(ISNUMBER(J196), $B199 * K196, "")</f>
        <v>-1033.2950631458095</v>
      </c>
      <c r="M196" s="31">
        <v>858</v>
      </c>
      <c r="N196" s="32">
        <f t="shared" si="109"/>
        <v>-1.4925373134328358E-2</v>
      </c>
      <c r="O196" s="18">
        <f>IF(ISNUMBER(M196), $B199 * N196, "")</f>
        <v>-1492.5373134328358</v>
      </c>
      <c r="Q196" s="216"/>
      <c r="R196" s="216"/>
      <c r="S196" s="216"/>
    </row>
    <row r="197" spans="1:19">
      <c r="A197" s="125" t="s">
        <v>184</v>
      </c>
      <c r="B197" s="126">
        <v>899</v>
      </c>
      <c r="C197" s="77">
        <v>-4.9682875299999998E-2</v>
      </c>
      <c r="D197" s="15">
        <v>962</v>
      </c>
      <c r="E197" s="32">
        <f t="shared" si="106"/>
        <v>7.0077864293659628E-2</v>
      </c>
      <c r="F197" s="18">
        <f>IF(ISNUMBER(D197), $B199 * E197, "")</f>
        <v>7007.7864293659632</v>
      </c>
      <c r="G197" s="31">
        <v>971</v>
      </c>
      <c r="H197" s="32">
        <f t="shared" si="107"/>
        <v>8.0088987764182426E-2</v>
      </c>
      <c r="I197" s="101">
        <f>IF(ISNUMBER(G197), $B199 * H197, "")</f>
        <v>8008.898776418243</v>
      </c>
      <c r="J197" s="15">
        <v>971</v>
      </c>
      <c r="K197" s="32">
        <f t="shared" si="108"/>
        <v>8.0088987764182426E-2</v>
      </c>
      <c r="L197" s="18">
        <f>IF(ISNUMBER(J197), $B199 * K197, "")</f>
        <v>8008.898776418243</v>
      </c>
      <c r="M197" s="31">
        <v>958</v>
      </c>
      <c r="N197" s="32">
        <f t="shared" si="109"/>
        <v>6.5628476084538381E-2</v>
      </c>
      <c r="O197" s="18">
        <f>IF(ISNUMBER(M197), $B199 * N197, "")</f>
        <v>6562.8476084538379</v>
      </c>
      <c r="Q197" s="205"/>
      <c r="R197" s="206"/>
      <c r="S197" s="207"/>
    </row>
    <row r="198" spans="1:19" ht="17.25" thickBot="1">
      <c r="A198" s="130" t="s">
        <v>220</v>
      </c>
      <c r="B198" s="131">
        <v>166</v>
      </c>
      <c r="C198" s="79">
        <v>-5.1428571399999998E-2</v>
      </c>
      <c r="D198" s="24">
        <v>173</v>
      </c>
      <c r="E198" s="25">
        <f t="shared" si="106"/>
        <v>4.2168674698795178E-2</v>
      </c>
      <c r="F198" s="104">
        <f>IF(ISNUMBER(D198), $B199 * E198, "")</f>
        <v>4216.8674698795176</v>
      </c>
      <c r="G198" s="102">
        <v>173</v>
      </c>
      <c r="H198" s="25">
        <f t="shared" si="107"/>
        <v>4.2168674698795178E-2</v>
      </c>
      <c r="I198" s="103">
        <f>IF(ISNUMBER(G198), $B199 * H198, "")</f>
        <v>4216.8674698795176</v>
      </c>
      <c r="J198" s="24">
        <v>185</v>
      </c>
      <c r="K198" s="25">
        <f t="shared" si="108"/>
        <v>0.1144578313253012</v>
      </c>
      <c r="L198" s="104">
        <f>IF(ISNUMBER(J198), $B199 * K198, "")</f>
        <v>11445.783132530119</v>
      </c>
      <c r="M198" s="102">
        <v>178</v>
      </c>
      <c r="N198" s="25">
        <f t="shared" si="109"/>
        <v>7.2289156626506021E-2</v>
      </c>
      <c r="O198" s="104">
        <f>IF(ISNUMBER(M198), $B199 * N198, "")</f>
        <v>7228.9156626506019</v>
      </c>
      <c r="Q198" s="208"/>
      <c r="R198" s="209"/>
      <c r="S198" s="210"/>
    </row>
    <row r="199" spans="1:19" ht="17.25" thickBot="1">
      <c r="A199" s="132" t="s">
        <v>271</v>
      </c>
      <c r="B199" s="269">
        <f>$B$37</f>
        <v>100000</v>
      </c>
      <c r="C199" s="270"/>
      <c r="D199" s="26" t="s">
        <v>272</v>
      </c>
      <c r="E199" s="27">
        <f>IF(COUNT(E179:E198), SUM(E179:E198) / COUNT(E179:E198), 0)</f>
        <v>1.506535025792291E-2</v>
      </c>
      <c r="F199" s="28">
        <f>SUM(F179:F198)</f>
        <v>30130.700515845823</v>
      </c>
      <c r="G199" s="26" t="s">
        <v>272</v>
      </c>
      <c r="H199" s="27">
        <f>IF(COUNT(H179:H198), SUM(H179:H198) / COUNT(H179:H198), 0)</f>
        <v>1.0943349249075914E-2</v>
      </c>
      <c r="I199" s="28">
        <f>SUM(I179:I198)</f>
        <v>21886.698498151825</v>
      </c>
      <c r="J199" s="26" t="s">
        <v>272</v>
      </c>
      <c r="K199" s="27">
        <f>IF(COUNT(K179:K198), SUM(K179:K198) / COUNT(K179:K198), 0)</f>
        <v>2.5779376388586524E-2</v>
      </c>
      <c r="L199" s="28">
        <f>SUM(L179:L198)</f>
        <v>51558.752777173038</v>
      </c>
      <c r="M199" s="26" t="s">
        <v>272</v>
      </c>
      <c r="N199" s="27">
        <f>IF(COUNT(N179:N198), SUM(N179:N198) / COUNT(N179:N198), 0)</f>
        <v>2.146426544105768E-2</v>
      </c>
      <c r="O199" s="28">
        <f>SUM(O179:O198)</f>
        <v>42928.530882115352</v>
      </c>
      <c r="Q199" s="211"/>
      <c r="R199" s="212"/>
      <c r="S199" s="2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0C64E-A381-40CD-9A91-4E09D8BFAA27}">
  <sheetPr codeName="Sheet1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7" t="s">
        <v>0</v>
      </c>
      <c r="B1" s="228"/>
      <c r="C1" s="228"/>
      <c r="D1" s="228"/>
      <c r="E1" s="228"/>
      <c r="F1" s="229"/>
      <c r="G1" s="258">
        <v>44385</v>
      </c>
      <c r="H1" s="259"/>
      <c r="I1" s="260"/>
      <c r="J1" s="227" t="s">
        <v>1</v>
      </c>
      <c r="K1" s="228"/>
      <c r="L1" s="228"/>
      <c r="M1" s="228"/>
      <c r="N1" s="228"/>
      <c r="O1" s="229"/>
      <c r="Q1" s="227" t="s">
        <v>2</v>
      </c>
      <c r="R1" s="229"/>
    </row>
    <row r="2" spans="1:19" ht="17.25" customHeight="1">
      <c r="A2" s="117" t="s">
        <v>3</v>
      </c>
      <c r="B2" s="261" t="s">
        <v>8</v>
      </c>
      <c r="C2" s="262"/>
      <c r="D2" s="262"/>
      <c r="E2" s="262"/>
      <c r="F2" s="263"/>
      <c r="G2" s="255" t="s">
        <v>46</v>
      </c>
      <c r="H2" s="256"/>
      <c r="I2" s="257"/>
      <c r="J2" s="1" t="s">
        <v>3</v>
      </c>
      <c r="K2" s="261" t="s">
        <v>321</v>
      </c>
      <c r="L2" s="262"/>
      <c r="M2" s="262"/>
      <c r="N2" s="262"/>
      <c r="O2" s="263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329</v>
      </c>
      <c r="C3" s="253"/>
      <c r="D3" s="253"/>
      <c r="E3" s="253"/>
      <c r="F3" s="254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-117,939 KRW (-5.90%)</v>
      </c>
      <c r="H3" s="249"/>
      <c r="I3" s="250"/>
      <c r="J3" s="4" t="s">
        <v>7</v>
      </c>
      <c r="K3" s="252" t="s">
        <v>322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55" t="s">
        <v>44</v>
      </c>
      <c r="H4" s="256"/>
      <c r="I4" s="257"/>
      <c r="J4" s="4" t="s">
        <v>11</v>
      </c>
      <c r="K4" s="252" t="s">
        <v>323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320</v>
      </c>
      <c r="C5" s="253"/>
      <c r="D5" s="253"/>
      <c r="E5" s="253"/>
      <c r="F5" s="254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-166,780 KRW (-8.34%)</v>
      </c>
      <c r="H5" s="249"/>
      <c r="I5" s="250"/>
      <c r="J5" s="4" t="s">
        <v>15</v>
      </c>
      <c r="K5" s="252" t="s">
        <v>324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55" t="s">
        <v>45</v>
      </c>
      <c r="H6" s="256"/>
      <c r="I6" s="257"/>
      <c r="J6" s="4" t="s">
        <v>18</v>
      </c>
      <c r="K6" s="252" t="s">
        <v>325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-114,127 KRW (-5.71%)</v>
      </c>
      <c r="H7" s="249"/>
      <c r="I7" s="250"/>
      <c r="J7" s="4" t="s">
        <v>21</v>
      </c>
      <c r="K7" s="252" t="s">
        <v>326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55" t="s">
        <v>256</v>
      </c>
      <c r="H8" s="256"/>
      <c r="I8" s="257"/>
      <c r="J8" s="4" t="s">
        <v>24</v>
      </c>
      <c r="K8" s="252"/>
      <c r="L8" s="253"/>
      <c r="M8" s="253"/>
      <c r="N8" s="253"/>
      <c r="O8" s="254"/>
      <c r="Q8" s="227" t="s">
        <v>27</v>
      </c>
      <c r="R8" s="229"/>
    </row>
    <row r="9" spans="1:19" ht="17.25" thickBot="1">
      <c r="A9" s="118" t="s">
        <v>28</v>
      </c>
      <c r="B9" s="252"/>
      <c r="C9" s="253"/>
      <c r="D9" s="253"/>
      <c r="E9" s="253"/>
      <c r="F9" s="254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-189,549 KRW (-9.48%)</v>
      </c>
      <c r="H9" s="249"/>
      <c r="I9" s="250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55" t="s">
        <v>47</v>
      </c>
      <c r="H10" s="256"/>
      <c r="I10" s="257"/>
      <c r="J10" s="4" t="s">
        <v>30</v>
      </c>
      <c r="K10" s="252" t="s">
        <v>327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45" t="s">
        <v>328</v>
      </c>
      <c r="C11" s="246"/>
      <c r="D11" s="246"/>
      <c r="E11" s="246"/>
      <c r="F11" s="247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45" t="s">
        <v>319</v>
      </c>
      <c r="L11" s="246"/>
      <c r="M11" s="246"/>
      <c r="N11" s="246"/>
      <c r="O11" s="247"/>
      <c r="Q11" s="65" t="s">
        <v>33</v>
      </c>
      <c r="R11" s="8">
        <v>1000</v>
      </c>
    </row>
    <row r="12" spans="1:19" ht="17.25" thickBot="1"/>
    <row r="13" spans="1:19" ht="17.25" customHeight="1" thickBot="1">
      <c r="A13" s="227" t="s">
        <v>34</v>
      </c>
      <c r="B13" s="228"/>
      <c r="C13" s="228"/>
      <c r="D13" s="228"/>
      <c r="E13" s="228"/>
      <c r="F13" s="228"/>
      <c r="G13" s="228"/>
      <c r="H13" s="228"/>
      <c r="I13" s="228"/>
      <c r="J13" s="228"/>
      <c r="K13" s="228"/>
      <c r="L13" s="228"/>
      <c r="M13" s="228"/>
      <c r="N13" s="228"/>
      <c r="O13" s="229"/>
      <c r="Q13" s="226"/>
      <c r="R13" s="226"/>
      <c r="S13" s="226"/>
    </row>
    <row r="14" spans="1:19" ht="17.25" customHeight="1" thickBot="1">
      <c r="A14" s="185" t="s">
        <v>35</v>
      </c>
      <c r="B14" s="227" t="s">
        <v>36</v>
      </c>
      <c r="C14" s="229"/>
      <c r="D14" s="227" t="s">
        <v>37</v>
      </c>
      <c r="E14" s="228"/>
      <c r="F14" s="229"/>
      <c r="G14" s="230">
        <f>_xlfn.IFNA(VLOOKUP(B14, 현재가테이블!$B$2:$D$200, 2, FALSE), "-")</f>
        <v>39916000</v>
      </c>
      <c r="H14" s="231"/>
      <c r="I14" s="232"/>
      <c r="J14" s="227" t="s">
        <v>38</v>
      </c>
      <c r="K14" s="228"/>
      <c r="L14" s="229"/>
      <c r="M14" s="233">
        <f>_xlfn.IFNA(VLOOKUP(B14, 현재가테이블!$B$2:$D$200, 3, FALSE), "-")</f>
        <v>7.3184273000000003E-3</v>
      </c>
      <c r="N14" s="234"/>
      <c r="O14" s="235"/>
      <c r="Q14" s="226"/>
      <c r="R14" s="226"/>
      <c r="S14" s="226"/>
    </row>
    <row r="15" spans="1:19" ht="17.25" customHeight="1" thickBot="1">
      <c r="A15" s="264" t="s">
        <v>39</v>
      </c>
      <c r="B15" s="265" t="str">
        <f>TEXT($G$1, "[$-ko-KR]yyyy-mm-dd(ddd) ") &amp; "오전 00:00"</f>
        <v>2021-07-08(목) 오전 00:00</v>
      </c>
      <c r="C15" s="266"/>
      <c r="D15" s="240" t="str">
        <f>TEXT($G$1, "[$-ko-KR]yyyy-mm-dd(ddd) ") &amp; "오후 14:00"</f>
        <v>2021-07-08(목) 오후 14:00</v>
      </c>
      <c r="E15" s="241"/>
      <c r="F15" s="242"/>
      <c r="G15" s="240" t="str">
        <f>TEXT($G$1, "[$-ko-KR]yyyy-mm-dd(ddd) ") &amp; "오후 19:00"</f>
        <v>2021-07-08(목) 오후 19:00</v>
      </c>
      <c r="H15" s="241"/>
      <c r="I15" s="242"/>
      <c r="J15" s="240" t="str">
        <f>TEXT($G$1, "[$-ko-KR]yyyy-mm-dd(ddd) ") &amp; "오후 21:00"</f>
        <v>2021-07-08(목) 오후 21:00</v>
      </c>
      <c r="K15" s="241"/>
      <c r="L15" s="242"/>
      <c r="M15" s="240" t="str">
        <f>TEXT($G$1+1, "[$-ko-KR]yyyy-mm-dd(ddd) ") &amp; "오전 00:00"</f>
        <v>2021-07-09(금) 오전 00:00</v>
      </c>
      <c r="N15" s="241"/>
      <c r="O15" s="242"/>
      <c r="Q15" s="226"/>
      <c r="R15" s="226"/>
      <c r="S15" s="226"/>
    </row>
    <row r="16" spans="1:19" ht="17.25" customHeight="1" thickBot="1">
      <c r="A16" s="26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6"/>
      <c r="R16" s="216"/>
      <c r="S16" s="21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6"/>
      <c r="R19" s="216"/>
      <c r="S19" s="21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6"/>
      <c r="R20" s="216"/>
      <c r="S20" s="21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6"/>
      <c r="R21" s="216"/>
      <c r="S21" s="21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6"/>
      <c r="R22" s="216"/>
      <c r="S22" s="21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6"/>
      <c r="R23" s="216"/>
      <c r="S23" s="21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6"/>
      <c r="R24" s="216"/>
      <c r="S24" s="21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6"/>
      <c r="R29" s="216"/>
      <c r="S29" s="21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6"/>
      <c r="R32" s="216"/>
      <c r="S32" s="21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6"/>
      <c r="R33" s="216"/>
      <c r="S33" s="21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6"/>
      <c r="R34" s="216"/>
      <c r="S34" s="21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5"/>
      <c r="R35" s="206"/>
      <c r="S35" s="2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8"/>
      <c r="R36" s="209"/>
      <c r="S36" s="210"/>
    </row>
    <row r="37" spans="1:19" ht="17.25" customHeight="1" thickBot="1">
      <c r="A37" s="132" t="s">
        <v>42</v>
      </c>
      <c r="B37" s="269">
        <v>100000</v>
      </c>
      <c r="C37" s="27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1"/>
      <c r="R37" s="212"/>
      <c r="S37" s="213"/>
    </row>
    <row r="38" spans="1:19" ht="17.25" customHeight="1"/>
    <row r="39" spans="1:19" ht="17.25" customHeight="1" thickBot="1"/>
    <row r="40" spans="1:19" ht="17.25" customHeight="1" thickBot="1">
      <c r="A40" s="227" t="s">
        <v>44</v>
      </c>
      <c r="B40" s="228"/>
      <c r="C40" s="228"/>
      <c r="D40" s="228"/>
      <c r="E40" s="228"/>
      <c r="F40" s="228"/>
      <c r="G40" s="228"/>
      <c r="H40" s="228"/>
      <c r="I40" s="228"/>
      <c r="J40" s="228"/>
      <c r="K40" s="228"/>
      <c r="L40" s="228"/>
      <c r="M40" s="228"/>
      <c r="N40" s="228"/>
      <c r="O40" s="229"/>
      <c r="Q40" s="226"/>
      <c r="R40" s="226"/>
      <c r="S40" s="226"/>
    </row>
    <row r="41" spans="1:19" ht="17.25" customHeight="1" thickBot="1">
      <c r="A41" s="185" t="s">
        <v>268</v>
      </c>
      <c r="B41" s="227" t="s">
        <v>49</v>
      </c>
      <c r="C41" s="229"/>
      <c r="D41" s="227" t="s">
        <v>58</v>
      </c>
      <c r="E41" s="228"/>
      <c r="F41" s="229"/>
      <c r="G41" s="230">
        <f>_xlfn.IFNA(VLOOKUP(B41, 현재가테이블!$B$2:$D$200, 2, FALSE), "-")</f>
        <v>39916000</v>
      </c>
      <c r="H41" s="231"/>
      <c r="I41" s="232"/>
      <c r="J41" s="227" t="s">
        <v>59</v>
      </c>
      <c r="K41" s="228"/>
      <c r="L41" s="229"/>
      <c r="M41" s="233">
        <f>_xlfn.IFNA(VLOOKUP(B41, 현재가테이블!$B$2:$D$200, 3, FALSE), "-")</f>
        <v>7.3184273000000003E-3</v>
      </c>
      <c r="N41" s="234"/>
      <c r="O41" s="235"/>
      <c r="Q41" s="226"/>
      <c r="R41" s="226"/>
      <c r="S41" s="226"/>
    </row>
    <row r="42" spans="1:19" ht="17.25" customHeight="1" thickBot="1">
      <c r="A42" s="271" t="s">
        <v>55</v>
      </c>
      <c r="B42" s="267" t="str">
        <f>TEXT($G$1, "[$-ko-KR]yyyy-mm-dd(ddd) ") &amp; "오전 00:00"</f>
        <v>2021-07-08(목) 오전 00:00</v>
      </c>
      <c r="C42" s="268"/>
      <c r="D42" s="240" t="str">
        <f>TEXT($G$1, "[$-ko-KR]yyyy-mm-dd(ddd) ") &amp; "오후 14:00"</f>
        <v>2021-07-08(목) 오후 14:00</v>
      </c>
      <c r="E42" s="241"/>
      <c r="F42" s="242"/>
      <c r="G42" s="240" t="str">
        <f>TEXT($G$1, "[$-ko-KR]yyyy-mm-dd(ddd) ") &amp; "오후 19:00"</f>
        <v>2021-07-08(목) 오후 19:00</v>
      </c>
      <c r="H42" s="241"/>
      <c r="I42" s="242"/>
      <c r="J42" s="240" t="str">
        <f>TEXT($G$1, "[$-ko-KR]yyyy-mm-dd(ddd) ") &amp; "오후 21:00"</f>
        <v>2021-07-08(목) 오후 21:00</v>
      </c>
      <c r="K42" s="241"/>
      <c r="L42" s="242"/>
      <c r="M42" s="240" t="str">
        <f>TEXT($G$1+1, "[$-ko-KR]yyyy-mm-dd(ddd) ") &amp; "오전 00:00"</f>
        <v>2021-07-09(금) 오전 00:00</v>
      </c>
      <c r="N42" s="241"/>
      <c r="O42" s="242"/>
      <c r="Q42" s="226"/>
      <c r="R42" s="226"/>
      <c r="S42" s="226"/>
    </row>
    <row r="43" spans="1:19" ht="17.25" customHeight="1" thickBot="1">
      <c r="A43" s="27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6" t="s">
        <v>58</v>
      </c>
      <c r="H43" s="187" t="s">
        <v>269</v>
      </c>
      <c r="I43" s="18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6"/>
      <c r="R43" s="216"/>
      <c r="S43" s="216"/>
    </row>
    <row r="44" spans="1:19" ht="17.25" customHeight="1" thickBot="1">
      <c r="A44" s="123" t="s">
        <v>251</v>
      </c>
      <c r="B44" s="124">
        <v>65.2</v>
      </c>
      <c r="C44" s="76">
        <v>6.0162601599999997E-2</v>
      </c>
      <c r="D44" s="13">
        <v>62.7</v>
      </c>
      <c r="E44" s="14">
        <f>IF(ISNUMBER(D44), (D44 - $B44) / $B44, "")</f>
        <v>-3.834355828220859E-2</v>
      </c>
      <c r="F44" s="16">
        <f>IF(ISNUMBER(D44), $B64 * E44, "")</f>
        <v>-3834.3558282208592</v>
      </c>
      <c r="G44" s="29">
        <v>60.1</v>
      </c>
      <c r="H44" s="14">
        <f>IF(ISNUMBER(G44), (G44 - $B44) / $B44, "")</f>
        <v>-7.8220858895705542E-2</v>
      </c>
      <c r="I44" s="100">
        <f>IF(ISNUMBER(G44), $B64 * H44, "")</f>
        <v>-7822.0858895705542</v>
      </c>
      <c r="J44" s="13">
        <v>59.8</v>
      </c>
      <c r="K44" s="14">
        <f>IF(ISNUMBER(J44), (J44 - $B44) / $B44, "")</f>
        <v>-8.2822085889570629E-2</v>
      </c>
      <c r="L44" s="16">
        <f>IF(ISNUMBER(J44), $B64 * K44, "")</f>
        <v>-8282.2085889570626</v>
      </c>
      <c r="M44" s="29">
        <v>60.5</v>
      </c>
      <c r="N44" s="14">
        <f>IF(ISNUMBER(M44), (M44 - $B44) / $B44, "")</f>
        <v>-7.2085889570552189E-2</v>
      </c>
      <c r="O44" s="16">
        <f>IF(ISNUMBER(M44), $B64 * N44, "")</f>
        <v>-7208.588957055219</v>
      </c>
      <c r="Q44" s="226"/>
      <c r="R44" s="226"/>
      <c r="S44" s="226"/>
    </row>
    <row r="45" spans="1:19" ht="17.25" customHeight="1" thickBot="1">
      <c r="A45" s="125" t="s">
        <v>144</v>
      </c>
      <c r="B45" s="126">
        <v>91.9</v>
      </c>
      <c r="C45" s="77">
        <v>5.5109070000000003E-2</v>
      </c>
      <c r="D45" s="15">
        <v>87</v>
      </c>
      <c r="E45" s="32">
        <f t="shared" ref="E45:E48" si="14">IF(ISNUMBER(D45), (D45 - $B45) / $B45, "")</f>
        <v>-5.3318824809575685E-2</v>
      </c>
      <c r="F45" s="18">
        <f>IF(ISNUMBER(D45), $B64 * E45, "")</f>
        <v>-5331.8824809575681</v>
      </c>
      <c r="G45" s="31">
        <v>84.8</v>
      </c>
      <c r="H45" s="32">
        <f t="shared" ref="H45:H48" si="15">IF(ISNUMBER(G45), (G45 - $B45) / $B45, "")</f>
        <v>-7.7257889009793343E-2</v>
      </c>
      <c r="I45" s="101">
        <f>IF(ISNUMBER(G45), $B64 * H45, "")</f>
        <v>-7725.7889009793344</v>
      </c>
      <c r="J45" s="15">
        <v>84.5</v>
      </c>
      <c r="K45" s="32">
        <f t="shared" ref="K45:K48" si="16">IF(ISNUMBER(J45), (J45 - $B45) / $B45, "")</f>
        <v>-8.0522306855277531E-2</v>
      </c>
      <c r="L45" s="18">
        <f>IF(ISNUMBER(J45), $B64 * K45, "")</f>
        <v>-8052.2306855277529</v>
      </c>
      <c r="M45" s="31">
        <v>86</v>
      </c>
      <c r="N45" s="32">
        <f t="shared" ref="N45:N48" si="17">IF(ISNUMBER(M45), (M45 - $B45) / $B45, "")</f>
        <v>-6.4200217627856423E-2</v>
      </c>
      <c r="O45" s="18">
        <f>IF(ISNUMBER(M45), $B64 * N45, "")</f>
        <v>-6420.0217627856427</v>
      </c>
      <c r="Q45" s="226"/>
      <c r="R45" s="226"/>
      <c r="S45" s="226"/>
    </row>
    <row r="46" spans="1:19" ht="17.25" customHeight="1" thickBot="1">
      <c r="A46" s="125" t="s">
        <v>204</v>
      </c>
      <c r="B46" s="126">
        <v>14.1</v>
      </c>
      <c r="C46" s="77">
        <v>5.2238805999999999E-2</v>
      </c>
      <c r="D46" s="15">
        <v>12.7</v>
      </c>
      <c r="E46" s="32">
        <f t="shared" si="14"/>
        <v>-9.9290780141844004E-2</v>
      </c>
      <c r="F46" s="18">
        <f>IF(ISNUMBER(D46), $B64 * E46, "")</f>
        <v>-9929.0780141844007</v>
      </c>
      <c r="G46" s="31">
        <v>12.3</v>
      </c>
      <c r="H46" s="32">
        <f t="shared" si="15"/>
        <v>-0.12765957446808504</v>
      </c>
      <c r="I46" s="101">
        <f>IF(ISNUMBER(G46), $B64 * H46, "")</f>
        <v>-12765.957446808505</v>
      </c>
      <c r="J46" s="15">
        <v>12.4</v>
      </c>
      <c r="K46" s="32">
        <f t="shared" si="16"/>
        <v>-0.12056737588652477</v>
      </c>
      <c r="L46" s="18">
        <f>IF(ISNUMBER(J46), $B64 * K46, "")</f>
        <v>-12056.737588652477</v>
      </c>
      <c r="M46" s="31">
        <v>12.4</v>
      </c>
      <c r="N46" s="32">
        <f t="shared" si="17"/>
        <v>-0.12056737588652477</v>
      </c>
      <c r="O46" s="18">
        <f>IF(ISNUMBER(M46), $B64 * N46, "")</f>
        <v>-12056.737588652477</v>
      </c>
      <c r="Q46" s="216"/>
      <c r="R46" s="216"/>
      <c r="S46" s="216"/>
    </row>
    <row r="47" spans="1:19" ht="17.25" customHeight="1" thickBot="1">
      <c r="A47" s="125" t="s">
        <v>148</v>
      </c>
      <c r="B47" s="126">
        <v>16.8</v>
      </c>
      <c r="C47" s="77">
        <v>3.06748466E-2</v>
      </c>
      <c r="D47" s="15">
        <v>16.899999999999999</v>
      </c>
      <c r="E47" s="32">
        <f t="shared" si="14"/>
        <v>5.9523809523808254E-3</v>
      </c>
      <c r="F47" s="18">
        <f>IF(ISNUMBER(D47), $B64 * E47, "")</f>
        <v>595.23809523808256</v>
      </c>
      <c r="G47" s="31">
        <v>15.7</v>
      </c>
      <c r="H47" s="32">
        <f t="shared" si="15"/>
        <v>-6.5476190476190563E-2</v>
      </c>
      <c r="I47" s="101">
        <f>IF(ISNUMBER(G47), $B64 * H47, "")</f>
        <v>-6547.6190476190559</v>
      </c>
      <c r="J47" s="15">
        <v>15.7</v>
      </c>
      <c r="K47" s="32">
        <f t="shared" si="16"/>
        <v>-6.5476190476190563E-2</v>
      </c>
      <c r="L47" s="18">
        <f>IF(ISNUMBER(J47), $B64 * K47, "")</f>
        <v>-6547.6190476190559</v>
      </c>
      <c r="M47" s="31">
        <v>15.8</v>
      </c>
      <c r="N47" s="32">
        <f t="shared" si="17"/>
        <v>-5.9523809523809521E-2</v>
      </c>
      <c r="O47" s="18">
        <f>IF(ISNUMBER(M47), $B64 * N47, "")</f>
        <v>-5952.3809523809523</v>
      </c>
      <c r="Q47" s="216"/>
      <c r="R47" s="216"/>
      <c r="S47" s="216"/>
    </row>
    <row r="48" spans="1:19" ht="17.25" customHeight="1" thickBot="1">
      <c r="A48" s="127" t="s">
        <v>188</v>
      </c>
      <c r="B48" s="128">
        <v>11.3</v>
      </c>
      <c r="C48" s="78">
        <v>2.7272727300000001E-2</v>
      </c>
      <c r="D48" s="20">
        <v>10.6</v>
      </c>
      <c r="E48" s="21">
        <f t="shared" si="14"/>
        <v>-6.1946902654867346E-2</v>
      </c>
      <c r="F48" s="22">
        <f>IF(ISNUMBER(D48), $B64 * E48, "")</f>
        <v>-6194.6902654867345</v>
      </c>
      <c r="G48" s="30">
        <v>10</v>
      </c>
      <c r="H48" s="21">
        <f t="shared" si="15"/>
        <v>-0.11504424778761067</v>
      </c>
      <c r="I48" s="105">
        <f>IF(ISNUMBER(G48), $B64 * H48, "")</f>
        <v>-11504.424778761068</v>
      </c>
      <c r="J48" s="20">
        <v>9.99</v>
      </c>
      <c r="K48" s="21">
        <f t="shared" si="16"/>
        <v>-0.11592920353982304</v>
      </c>
      <c r="L48" s="22">
        <f>IF(ISNUMBER(J48), $B64 * K48, "")</f>
        <v>-11592.920353982305</v>
      </c>
      <c r="M48" s="30">
        <v>10.199999999999999</v>
      </c>
      <c r="N48" s="21">
        <f t="shared" si="17"/>
        <v>-9.7345132743362955E-2</v>
      </c>
      <c r="O48" s="22">
        <f>IF(ISNUMBER(M48), $B64 * N48, "")</f>
        <v>-9734.5132743362956</v>
      </c>
      <c r="Q48" s="216"/>
      <c r="R48" s="216"/>
      <c r="S48" s="216"/>
    </row>
    <row r="49" spans="1:19" ht="17.25" customHeight="1" thickBot="1">
      <c r="A49" s="125" t="s">
        <v>98</v>
      </c>
      <c r="B49" s="129">
        <v>3.16</v>
      </c>
      <c r="C49" s="80">
        <v>1.2820512799999999E-2</v>
      </c>
      <c r="D49" s="106">
        <v>3.04</v>
      </c>
      <c r="E49" s="107">
        <f>IF(ISNUMBER(D49), (D49 - $B49) / $B49, "")</f>
        <v>-3.7974683544303826E-2</v>
      </c>
      <c r="F49" s="108">
        <f>IF(ISNUMBER(D49), $B64 * E49, "")</f>
        <v>-3797.4683544303825</v>
      </c>
      <c r="G49" s="109">
        <v>2.98</v>
      </c>
      <c r="H49" s="107">
        <f>IF(ISNUMBER(G49), (G49 - $B49) / $B49, "")</f>
        <v>-5.6962025316455743E-2</v>
      </c>
      <c r="I49" s="110">
        <f>IF(ISNUMBER(G49), $B64 * H49, "")</f>
        <v>-5696.2025316455747</v>
      </c>
      <c r="J49" s="106">
        <v>2.99</v>
      </c>
      <c r="K49" s="107">
        <f>IF(ISNUMBER(J49), (J49 - $B49) / $B49, "")</f>
        <v>-5.3797468354430354E-2</v>
      </c>
      <c r="L49" s="108">
        <f>IF(ISNUMBER(J49), $B64 * K49, "")</f>
        <v>-5379.7468354430357</v>
      </c>
      <c r="M49" s="109">
        <v>3</v>
      </c>
      <c r="N49" s="107">
        <f>IF(ISNUMBER(M49), (M49 - $B49) / $B49, "")</f>
        <v>-5.0632911392405104E-2</v>
      </c>
      <c r="O49" s="108">
        <f>IF(ISNUMBER(M49), $B64 * N49, "")</f>
        <v>-5063.2911392405103</v>
      </c>
      <c r="Q49" s="216"/>
      <c r="R49" s="216"/>
      <c r="S49" s="216"/>
    </row>
    <row r="50" spans="1:19" ht="17.25" customHeight="1" thickBot="1">
      <c r="A50" s="125" t="s">
        <v>132</v>
      </c>
      <c r="B50" s="126">
        <v>95.4</v>
      </c>
      <c r="C50" s="77">
        <v>1.0593220299999999E-2</v>
      </c>
      <c r="D50" s="15">
        <v>93</v>
      </c>
      <c r="E50" s="32">
        <f t="shared" ref="E50:E53" si="18">IF(ISNUMBER(D50), (D50 - $B50) / $B50, "")</f>
        <v>-2.5157232704402573E-2</v>
      </c>
      <c r="F50" s="18">
        <f>IF(ISNUMBER(D50), $B64 * E50, "")</f>
        <v>-2515.7232704402572</v>
      </c>
      <c r="G50" s="31">
        <v>89.4</v>
      </c>
      <c r="H50" s="32">
        <f t="shared" ref="H50:H53" si="19">IF(ISNUMBER(G50), (G50 - $B50) / $B50, "")</f>
        <v>-6.2893081761006289E-2</v>
      </c>
      <c r="I50" s="101">
        <f>IF(ISNUMBER(G50), $B64 * H50, "")</f>
        <v>-6289.3081761006288</v>
      </c>
      <c r="J50" s="15">
        <v>89.5</v>
      </c>
      <c r="K50" s="32">
        <f t="shared" ref="K50:K53" si="20">IF(ISNUMBER(J50), (J50 - $B50) / $B50, "")</f>
        <v>-6.1844863731656242E-2</v>
      </c>
      <c r="L50" s="18">
        <f>IF(ISNUMBER(J50), $B64 * K50, "")</f>
        <v>-6184.4863731656242</v>
      </c>
      <c r="M50" s="31">
        <v>89.4</v>
      </c>
      <c r="N50" s="32">
        <f t="shared" ref="N50:N53" si="21">IF(ISNUMBER(M50), (M50 - $B50) / $B50, "")</f>
        <v>-6.2893081761006289E-2</v>
      </c>
      <c r="O50" s="18">
        <f>IF(ISNUMBER(M50), $B64 * N50, "")</f>
        <v>-6289.3081761006288</v>
      </c>
      <c r="Q50" s="216"/>
      <c r="R50" s="216"/>
      <c r="S50" s="216"/>
    </row>
    <row r="51" spans="1:19" ht="17.25" customHeight="1" thickBot="1">
      <c r="A51" s="125" t="s">
        <v>128</v>
      </c>
      <c r="B51" s="126">
        <v>99.1</v>
      </c>
      <c r="C51" s="77">
        <v>6.0913705999999998E-3</v>
      </c>
      <c r="D51" s="15">
        <v>94.7</v>
      </c>
      <c r="E51" s="32">
        <f t="shared" si="18"/>
        <v>-4.4399596367305671E-2</v>
      </c>
      <c r="F51" s="18">
        <f>IF(ISNUMBER(D51), $B64 * E51, "")</f>
        <v>-4439.9596367305676</v>
      </c>
      <c r="G51" s="31">
        <v>92.2</v>
      </c>
      <c r="H51" s="32">
        <f t="shared" si="19"/>
        <v>-6.9626639757820297E-2</v>
      </c>
      <c r="I51" s="101">
        <f>IF(ISNUMBER(G51), $B64 * H51, "")</f>
        <v>-6962.6639757820294</v>
      </c>
      <c r="J51" s="15">
        <v>92.1</v>
      </c>
      <c r="K51" s="32">
        <f t="shared" si="20"/>
        <v>-7.0635721493440967E-2</v>
      </c>
      <c r="L51" s="18">
        <f>IF(ISNUMBER(J51), $B64 * K51, "")</f>
        <v>-7063.5721493440969</v>
      </c>
      <c r="M51" s="31">
        <v>92.3</v>
      </c>
      <c r="N51" s="32">
        <f t="shared" si="21"/>
        <v>-6.8617558022199779E-2</v>
      </c>
      <c r="O51" s="18">
        <f>IF(ISNUMBER(M51), $B64 * N51, "")</f>
        <v>-6861.7558022199782</v>
      </c>
      <c r="Q51" s="216"/>
      <c r="R51" s="216"/>
      <c r="S51" s="216"/>
    </row>
    <row r="52" spans="1:19" ht="17.25" customHeight="1" thickBot="1">
      <c r="A52" s="125" t="s">
        <v>162</v>
      </c>
      <c r="B52" s="126">
        <v>83.9</v>
      </c>
      <c r="C52" s="77">
        <v>4.7904191999999998E-3</v>
      </c>
      <c r="D52" s="15">
        <v>80.2</v>
      </c>
      <c r="E52" s="32">
        <f t="shared" si="18"/>
        <v>-4.4100119189511351E-2</v>
      </c>
      <c r="F52" s="18">
        <f>IF(ISNUMBER(D52), $B64 * E52, "")</f>
        <v>-4410.0119189511352</v>
      </c>
      <c r="G52" s="31">
        <v>76.900000000000006</v>
      </c>
      <c r="H52" s="32">
        <f t="shared" si="19"/>
        <v>-8.3432657926102494E-2</v>
      </c>
      <c r="I52" s="101">
        <f>IF(ISNUMBER(G52), $B64 * H52, "")</f>
        <v>-8343.2657926102493</v>
      </c>
      <c r="J52" s="15">
        <v>77.3</v>
      </c>
      <c r="K52" s="32">
        <f t="shared" si="20"/>
        <v>-7.8665077473182451E-2</v>
      </c>
      <c r="L52" s="18">
        <f>IF(ISNUMBER(J52), $B64 * K52, "")</f>
        <v>-7866.5077473182455</v>
      </c>
      <c r="M52" s="31">
        <v>77.599999999999994</v>
      </c>
      <c r="N52" s="32">
        <f t="shared" si="21"/>
        <v>-7.5089392133492389E-2</v>
      </c>
      <c r="O52" s="18">
        <f>IF(ISNUMBER(M52), $B64 * N52, "")</f>
        <v>-7508.9392133492393</v>
      </c>
      <c r="Q52" s="33"/>
      <c r="R52" s="33"/>
    </row>
    <row r="53" spans="1:19" ht="17.25" customHeight="1" thickBot="1">
      <c r="A53" s="130" t="s">
        <v>152</v>
      </c>
      <c r="B53" s="131">
        <v>76.099999999999994</v>
      </c>
      <c r="C53" s="79">
        <v>3.9577835999999996E-3</v>
      </c>
      <c r="D53" s="24">
        <v>74</v>
      </c>
      <c r="E53" s="25">
        <f t="shared" si="18"/>
        <v>-2.7595269382391516E-2</v>
      </c>
      <c r="F53" s="104">
        <f>IF(ISNUMBER(D53), $B64 * E53, "")</f>
        <v>-2759.5269382391516</v>
      </c>
      <c r="G53" s="102">
        <v>72.900000000000006</v>
      </c>
      <c r="H53" s="25">
        <f t="shared" si="19"/>
        <v>-4.2049934296977516E-2</v>
      </c>
      <c r="I53" s="103">
        <f>IF(ISNUMBER(G53), $B64 * H53, "")</f>
        <v>-4204.9934296977517</v>
      </c>
      <c r="J53" s="24">
        <v>73.2</v>
      </c>
      <c r="K53" s="25">
        <f t="shared" si="20"/>
        <v>-3.8107752956635897E-2</v>
      </c>
      <c r="L53" s="104">
        <f>IF(ISNUMBER(J53), $B64 * K53, "")</f>
        <v>-3810.7752956635895</v>
      </c>
      <c r="M53" s="102">
        <v>73.3</v>
      </c>
      <c r="N53" s="25">
        <f t="shared" si="21"/>
        <v>-3.6793692509855418E-2</v>
      </c>
      <c r="O53" s="104">
        <f>IF(ISNUMBER(M53), $B64 * N53, "")</f>
        <v>-3679.3692509855418</v>
      </c>
      <c r="Q53" s="217"/>
      <c r="R53" s="218"/>
      <c r="S53" s="219"/>
    </row>
    <row r="54" spans="1:19" ht="17.25" customHeight="1">
      <c r="A54" s="123" t="s">
        <v>122</v>
      </c>
      <c r="B54" s="124">
        <v>24.1</v>
      </c>
      <c r="C54" s="76">
        <v>0</v>
      </c>
      <c r="D54" s="13">
        <v>23.3</v>
      </c>
      <c r="E54" s="14">
        <f>IF(ISNUMBER(D54), (D54 - $B54) / $B54, "")</f>
        <v>-3.3195020746887995E-2</v>
      </c>
      <c r="F54" s="16">
        <f>IF(ISNUMBER(D54), $B64 * E54, "")</f>
        <v>-3319.5020746887994</v>
      </c>
      <c r="G54" s="29">
        <v>21.9</v>
      </c>
      <c r="H54" s="14">
        <f>IF(ISNUMBER(G54), (G54 - $B54) / $B54, "")</f>
        <v>-9.1286307053942015E-2</v>
      </c>
      <c r="I54" s="100">
        <f>IF(ISNUMBER(G54), $B64 * H54, "")</f>
        <v>-9128.6307053942019</v>
      </c>
      <c r="J54" s="13">
        <v>21.9</v>
      </c>
      <c r="K54" s="14">
        <f>IF(ISNUMBER(J54), (J54 - $B54) / $B54, "")</f>
        <v>-9.1286307053942015E-2</v>
      </c>
      <c r="L54" s="16">
        <f>IF(ISNUMBER(J54), $B64 * K54, "")</f>
        <v>-9128.6307053942019</v>
      </c>
      <c r="M54" s="29">
        <v>21.8</v>
      </c>
      <c r="N54" s="14">
        <f>IF(ISNUMBER(M54), (M54 - $B54) / $B54, "")</f>
        <v>-9.5435684647302926E-2</v>
      </c>
      <c r="O54" s="16">
        <f>IF(ISNUMBER(M54), $B64 * N54, "")</f>
        <v>-9543.5684647302933</v>
      </c>
      <c r="Q54" s="220"/>
      <c r="R54" s="221"/>
      <c r="S54" s="222"/>
    </row>
    <row r="55" spans="1:19" ht="17.25" customHeight="1" thickBot="1">
      <c r="A55" s="125" t="s">
        <v>130</v>
      </c>
      <c r="B55" s="126">
        <v>90.3</v>
      </c>
      <c r="C55" s="77">
        <v>-1.1061947E-3</v>
      </c>
      <c r="D55" s="15">
        <v>90.1</v>
      </c>
      <c r="E55" s="32">
        <f t="shared" ref="E55:E58" si="22">IF(ISNUMBER(D55), (D55 - $B55) / $B55, "")</f>
        <v>-2.2148394241417813E-3</v>
      </c>
      <c r="F55" s="18">
        <f>IF(ISNUMBER(D55), $B64 * E55, "")</f>
        <v>-221.48394241417813</v>
      </c>
      <c r="G55" s="31">
        <v>84</v>
      </c>
      <c r="H55" s="32">
        <f t="shared" ref="H55:H58" si="23">IF(ISNUMBER(G55), (G55 - $B55) / $B55, "")</f>
        <v>-6.9767441860465088E-2</v>
      </c>
      <c r="I55" s="101">
        <f>IF(ISNUMBER(G55), $B64 * H55, "")</f>
        <v>-6976.7441860465087</v>
      </c>
      <c r="J55" s="15">
        <v>84</v>
      </c>
      <c r="K55" s="32">
        <f t="shared" ref="K55:K58" si="24">IF(ISNUMBER(J55), (J55 - $B55) / $B55, "")</f>
        <v>-6.9767441860465088E-2</v>
      </c>
      <c r="L55" s="18">
        <f>IF(ISNUMBER(J55), $B64 * K55, "")</f>
        <v>-6976.7441860465087</v>
      </c>
      <c r="M55" s="31">
        <v>83.9</v>
      </c>
      <c r="N55" s="32">
        <f t="shared" ref="N55:N58" si="25">IF(ISNUMBER(M55), (M55 - $B55) / $B55, "")</f>
        <v>-7.0874861572535905E-2</v>
      </c>
      <c r="O55" s="18">
        <f>IF(ISNUMBER(M55), $B64 * N55, "")</f>
        <v>-7087.4861572535901</v>
      </c>
      <c r="Q55" s="223"/>
      <c r="R55" s="224"/>
      <c r="S55" s="225"/>
    </row>
    <row r="56" spans="1:19" ht="17.25" customHeight="1" thickBot="1">
      <c r="A56" s="125" t="s">
        <v>65</v>
      </c>
      <c r="B56" s="126">
        <v>28.1</v>
      </c>
      <c r="C56" s="77">
        <v>-3.5460993000000001E-3</v>
      </c>
      <c r="D56" s="15">
        <v>26.8</v>
      </c>
      <c r="E56" s="32">
        <f t="shared" si="22"/>
        <v>-4.6263345195729562E-2</v>
      </c>
      <c r="F56" s="18">
        <f>IF(ISNUMBER(D56), $B64 * E56, "")</f>
        <v>-4626.3345195729562</v>
      </c>
      <c r="G56" s="31">
        <v>25.3</v>
      </c>
      <c r="H56" s="32">
        <f t="shared" si="23"/>
        <v>-9.964412811387903E-2</v>
      </c>
      <c r="I56" s="101">
        <f>IF(ISNUMBER(G56), $B64 * H56, "")</f>
        <v>-9964.4128113879033</v>
      </c>
      <c r="J56" s="15">
        <v>25.3</v>
      </c>
      <c r="K56" s="32">
        <f t="shared" si="24"/>
        <v>-9.964412811387903E-2</v>
      </c>
      <c r="L56" s="18">
        <f>IF(ISNUMBER(J56), $B64 * K56, "")</f>
        <v>-9964.4128113879033</v>
      </c>
      <c r="M56" s="31">
        <v>25.3</v>
      </c>
      <c r="N56" s="32">
        <f t="shared" si="25"/>
        <v>-9.964412811387903E-2</v>
      </c>
      <c r="O56" s="18">
        <f>IF(ISNUMBER(M56), $B64 * N56, "")</f>
        <v>-9964.4128113879033</v>
      </c>
      <c r="Q56" s="216"/>
      <c r="R56" s="216"/>
      <c r="S56" s="216"/>
    </row>
    <row r="57" spans="1:19" ht="17.25" customHeight="1" thickBot="1">
      <c r="A57" s="125" t="s">
        <v>72</v>
      </c>
      <c r="B57" s="126">
        <v>19.2</v>
      </c>
      <c r="C57" s="77">
        <v>-5.1813472000000003E-3</v>
      </c>
      <c r="D57" s="15">
        <v>18.3</v>
      </c>
      <c r="E57" s="32">
        <f t="shared" si="22"/>
        <v>-4.6874999999999931E-2</v>
      </c>
      <c r="F57" s="18">
        <f>IF(ISNUMBER(D57), $B64 * E57, "")</f>
        <v>-4687.4999999999927</v>
      </c>
      <c r="G57" s="31">
        <v>17.8</v>
      </c>
      <c r="H57" s="32">
        <f t="shared" si="23"/>
        <v>-7.2916666666666602E-2</v>
      </c>
      <c r="I57" s="101">
        <f>IF(ISNUMBER(G57), $B64 * H57, "")</f>
        <v>-7291.6666666666606</v>
      </c>
      <c r="J57" s="15">
        <v>17.8</v>
      </c>
      <c r="K57" s="32">
        <f t="shared" si="24"/>
        <v>-7.2916666666666602E-2</v>
      </c>
      <c r="L57" s="18">
        <f>IF(ISNUMBER(J57), $B64 * K57, "")</f>
        <v>-7291.6666666666606</v>
      </c>
      <c r="M57" s="31">
        <v>18</v>
      </c>
      <c r="N57" s="32">
        <f t="shared" si="25"/>
        <v>-6.2499999999999965E-2</v>
      </c>
      <c r="O57" s="18">
        <f>IF(ISNUMBER(M57), $B64 * N57, "")</f>
        <v>-6249.9999999999964</v>
      </c>
      <c r="Q57" s="226"/>
      <c r="R57" s="226"/>
      <c r="S57" s="226"/>
    </row>
    <row r="58" spans="1:19" ht="17.25" customHeight="1" thickBot="1">
      <c r="A58" s="127" t="s">
        <v>190</v>
      </c>
      <c r="B58" s="128">
        <v>16.899999999999999</v>
      </c>
      <c r="C58" s="78">
        <v>-1.1695906400000001E-2</v>
      </c>
      <c r="D58" s="20">
        <v>15.8</v>
      </c>
      <c r="E58" s="21">
        <f t="shared" si="22"/>
        <v>-6.5088757396449579E-2</v>
      </c>
      <c r="F58" s="22">
        <f>IF(ISNUMBER(D58), $B64 * E58, "")</f>
        <v>-6508.8757396449582</v>
      </c>
      <c r="G58" s="30">
        <v>14.7</v>
      </c>
      <c r="H58" s="21">
        <f t="shared" si="23"/>
        <v>-0.13017751479289938</v>
      </c>
      <c r="I58" s="105">
        <f>IF(ISNUMBER(G58), $B64 * H58, "")</f>
        <v>-13017.751479289938</v>
      </c>
      <c r="J58" s="20">
        <v>14.7</v>
      </c>
      <c r="K58" s="21">
        <f t="shared" si="24"/>
        <v>-0.13017751479289938</v>
      </c>
      <c r="L58" s="22">
        <f>IF(ISNUMBER(J58), $B64 * K58, "")</f>
        <v>-13017.751479289938</v>
      </c>
      <c r="M58" s="30">
        <v>14.9</v>
      </c>
      <c r="N58" s="21">
        <f t="shared" si="25"/>
        <v>-0.1183431952662721</v>
      </c>
      <c r="O58" s="22">
        <f>IF(ISNUMBER(M58), $B64 * N58, "")</f>
        <v>-11834.319526627211</v>
      </c>
      <c r="Q58" s="226"/>
      <c r="R58" s="226"/>
      <c r="S58" s="226"/>
    </row>
    <row r="59" spans="1:19" ht="17.25" customHeight="1" thickBot="1">
      <c r="A59" s="125" t="s">
        <v>239</v>
      </c>
      <c r="B59" s="129">
        <v>82.1</v>
      </c>
      <c r="C59" s="80">
        <v>-1.9115890100000001E-2</v>
      </c>
      <c r="D59" s="106">
        <v>76.7</v>
      </c>
      <c r="E59" s="107">
        <f>IF(ISNUMBER(D59), (D59 - $B59) / $B59, "")</f>
        <v>-6.5773447015834249E-2</v>
      </c>
      <c r="F59" s="108">
        <f>IF(ISNUMBER(D59), $B64 * E59, "")</f>
        <v>-6577.3447015834254</v>
      </c>
      <c r="G59" s="109">
        <v>72.3</v>
      </c>
      <c r="H59" s="107">
        <f>IF(ISNUMBER(G59), (G59 - $B59) / $B59, "")</f>
        <v>-0.11936662606577342</v>
      </c>
      <c r="I59" s="110">
        <f>IF(ISNUMBER(G59), $B64 * H59, "")</f>
        <v>-11936.662606577342</v>
      </c>
      <c r="J59" s="106">
        <v>72.8</v>
      </c>
      <c r="K59" s="107">
        <f>IF(ISNUMBER(J59), (J59 - $B59) / $B59, "")</f>
        <v>-0.11327649208282579</v>
      </c>
      <c r="L59" s="108">
        <f>IF(ISNUMBER(J59), $B64 * K59, "")</f>
        <v>-11327.649208282579</v>
      </c>
      <c r="M59" s="109">
        <v>73.2</v>
      </c>
      <c r="N59" s="107">
        <f>IF(ISNUMBER(M59), (M59 - $B59) / $B59, "")</f>
        <v>-0.10840438489646763</v>
      </c>
      <c r="O59" s="108">
        <f>IF(ISNUMBER(M59), $B64 * N59, "")</f>
        <v>-10840.438489646764</v>
      </c>
      <c r="Q59" s="216"/>
      <c r="R59" s="216"/>
      <c r="S59" s="216"/>
    </row>
    <row r="60" spans="1:19" ht="17.25" customHeight="1" thickBot="1">
      <c r="A60" s="125" t="s">
        <v>202</v>
      </c>
      <c r="B60" s="126">
        <v>62.3</v>
      </c>
      <c r="C60" s="77">
        <v>-2.3510971799999999E-2</v>
      </c>
      <c r="D60" s="15">
        <v>58.3</v>
      </c>
      <c r="E60" s="32">
        <f t="shared" ref="E60:E63" si="26">IF(ISNUMBER(D60), (D60 - $B60) / $B60, "")</f>
        <v>-6.4205457463884438E-2</v>
      </c>
      <c r="F60" s="18">
        <f>IF(ISNUMBER(D60), $B64 * E60, "")</f>
        <v>-6420.5457463884441</v>
      </c>
      <c r="G60" s="31">
        <v>54.6</v>
      </c>
      <c r="H60" s="32">
        <f t="shared" ref="H60:H63" si="27">IF(ISNUMBER(G60), (G60 - $B60) / $B60, "")</f>
        <v>-0.12359550561797747</v>
      </c>
      <c r="I60" s="101">
        <f>IF(ISNUMBER(G60), $B64 * H60, "")</f>
        <v>-12359.550561797747</v>
      </c>
      <c r="J60" s="15">
        <v>54.4</v>
      </c>
      <c r="K60" s="32">
        <f t="shared" ref="K60:K63" si="28">IF(ISNUMBER(J60), (J60 - $B60) / $B60, "")</f>
        <v>-0.12680577849117172</v>
      </c>
      <c r="L60" s="18">
        <f>IF(ISNUMBER(J60), $B64 * K60, "")</f>
        <v>-12680.577849117171</v>
      </c>
      <c r="M60" s="31">
        <v>55.4</v>
      </c>
      <c r="N60" s="32">
        <f t="shared" ref="N60:N63" si="29">IF(ISNUMBER(M60), (M60 - $B60) / $B60, "")</f>
        <v>-0.11075441412520062</v>
      </c>
      <c r="O60" s="18">
        <f>IF(ISNUMBER(M60), $B64 * N60, "")</f>
        <v>-11075.441412520062</v>
      </c>
      <c r="Q60" s="216"/>
      <c r="R60" s="216"/>
      <c r="S60" s="216"/>
    </row>
    <row r="61" spans="1:19" ht="17.25" customHeight="1" thickBot="1">
      <c r="A61" s="125" t="s">
        <v>241</v>
      </c>
      <c r="B61" s="126">
        <v>56.4</v>
      </c>
      <c r="C61" s="77">
        <v>-2.75862069E-2</v>
      </c>
      <c r="D61" s="15">
        <v>53.4</v>
      </c>
      <c r="E61" s="32">
        <f t="shared" si="26"/>
        <v>-5.3191489361702128E-2</v>
      </c>
      <c r="F61" s="18">
        <f>IF(ISNUMBER(D61), $B64 * E61, "")</f>
        <v>-5319.1489361702124</v>
      </c>
      <c r="G61" s="31">
        <v>49.5</v>
      </c>
      <c r="H61" s="32">
        <f t="shared" si="27"/>
        <v>-0.12234042553191488</v>
      </c>
      <c r="I61" s="101">
        <f>IF(ISNUMBER(G61), $B64 * H61, "")</f>
        <v>-12234.042553191488</v>
      </c>
      <c r="J61" s="15">
        <v>49.8</v>
      </c>
      <c r="K61" s="32">
        <f t="shared" si="28"/>
        <v>-0.11702127659574471</v>
      </c>
      <c r="L61" s="18">
        <f>IF(ISNUMBER(J61), $B64 * K61, "")</f>
        <v>-11702.127659574471</v>
      </c>
      <c r="M61" s="31">
        <v>51.2</v>
      </c>
      <c r="N61" s="32">
        <f t="shared" si="29"/>
        <v>-9.2198581560283613E-2</v>
      </c>
      <c r="O61" s="18">
        <f>IF(ISNUMBER(M61), $B64 * N61, "")</f>
        <v>-9219.8581560283619</v>
      </c>
      <c r="Q61" s="216"/>
      <c r="R61" s="216"/>
      <c r="S61" s="216"/>
    </row>
    <row r="62" spans="1:19" ht="17.25" customHeight="1">
      <c r="A62" s="125" t="s">
        <v>210</v>
      </c>
      <c r="B62" s="126">
        <v>10.4</v>
      </c>
      <c r="C62" s="77">
        <v>-2.8037383200000002E-2</v>
      </c>
      <c r="D62" s="15">
        <v>9.75</v>
      </c>
      <c r="E62" s="32">
        <f t="shared" si="26"/>
        <v>-6.2500000000000028E-2</v>
      </c>
      <c r="F62" s="18">
        <f>IF(ISNUMBER(D62), $B64 * E62, "")</f>
        <v>-6250.0000000000027</v>
      </c>
      <c r="G62" s="31">
        <v>9.27</v>
      </c>
      <c r="H62" s="32">
        <f t="shared" si="27"/>
        <v>-0.10865384615384623</v>
      </c>
      <c r="I62" s="101">
        <f>IF(ISNUMBER(G62), $B64 * H62, "")</f>
        <v>-10865.384615384623</v>
      </c>
      <c r="J62" s="15">
        <v>9.26</v>
      </c>
      <c r="K62" s="32">
        <f t="shared" si="28"/>
        <v>-0.10961538461538467</v>
      </c>
      <c r="L62" s="18">
        <f>IF(ISNUMBER(J62), $B64 * K62, "")</f>
        <v>-10961.538461538466</v>
      </c>
      <c r="M62" s="31">
        <v>9.31</v>
      </c>
      <c r="N62" s="32">
        <f t="shared" si="29"/>
        <v>-0.1048076923076923</v>
      </c>
      <c r="O62" s="18">
        <f>IF(ISNUMBER(M62), $B64 * N62, "")</f>
        <v>-10480.76923076923</v>
      </c>
      <c r="Q62" s="205"/>
      <c r="R62" s="206"/>
      <c r="S62" s="207"/>
    </row>
    <row r="63" spans="1:19" ht="17.25" customHeight="1" thickBot="1">
      <c r="A63" s="130" t="s">
        <v>208</v>
      </c>
      <c r="B63" s="131">
        <v>10.3</v>
      </c>
      <c r="C63" s="79">
        <v>-2.8301886799999999E-2</v>
      </c>
      <c r="D63" s="24">
        <v>9.59</v>
      </c>
      <c r="E63" s="25">
        <f t="shared" si="26"/>
        <v>-6.8932038834951539E-2</v>
      </c>
      <c r="F63" s="104">
        <f>IF(ISNUMBER(D63), $B64 * E63, "")</f>
        <v>-6893.2038834951536</v>
      </c>
      <c r="G63" s="102">
        <v>9.2799999999999994</v>
      </c>
      <c r="H63" s="25">
        <f t="shared" si="27"/>
        <v>-9.9029126213592361E-2</v>
      </c>
      <c r="I63" s="103">
        <f>IF(ISNUMBER(G63), $B64 * H63, "")</f>
        <v>-9902.9126213592353</v>
      </c>
      <c r="J63" s="24">
        <v>9.2200000000000006</v>
      </c>
      <c r="K63" s="25">
        <f t="shared" si="28"/>
        <v>-0.10485436893203884</v>
      </c>
      <c r="L63" s="104">
        <f>IF(ISNUMBER(J63), $B64 * K63, "")</f>
        <v>-10485.436893203883</v>
      </c>
      <c r="M63" s="102">
        <v>9.3000000000000007</v>
      </c>
      <c r="N63" s="25">
        <f t="shared" si="29"/>
        <v>-9.7087378640776698E-2</v>
      </c>
      <c r="O63" s="104">
        <f>IF(ISNUMBER(M63), $B64 * N63, "")</f>
        <v>-9708.7378640776697</v>
      </c>
      <c r="Q63" s="208"/>
      <c r="R63" s="209"/>
      <c r="S63" s="210"/>
    </row>
    <row r="64" spans="1:19" ht="17.25" customHeight="1" thickBot="1">
      <c r="A64" s="132" t="s">
        <v>271</v>
      </c>
      <c r="B64" s="269">
        <f>$B$37</f>
        <v>100000</v>
      </c>
      <c r="C64" s="270"/>
      <c r="D64" s="26" t="s">
        <v>272</v>
      </c>
      <c r="E64" s="27">
        <f>IF(COUNT(E44:E63), SUM(E44:E63) / COUNT(E44:E63), 0)</f>
        <v>-4.672069907818055E-2</v>
      </c>
      <c r="F64" s="28">
        <f>SUM(F44:F63)</f>
        <v>-93441.398156361072</v>
      </c>
      <c r="G64" s="26" t="s">
        <v>272</v>
      </c>
      <c r="H64" s="27">
        <f>IF(COUNT(H44:H63), SUM(H44:H63) / COUNT(H44:H63), 0)</f>
        <v>-9.0770034388335197E-2</v>
      </c>
      <c r="I64" s="28">
        <f>SUM(I44:I63)</f>
        <v>-181540.06877667035</v>
      </c>
      <c r="J64" s="26" t="s">
        <v>272</v>
      </c>
      <c r="K64" s="27">
        <f>IF(COUNT(K44:K63), SUM(K44:K63) / COUNT(K44:K63), 0)</f>
        <v>-9.0186670293087523E-2</v>
      </c>
      <c r="L64" s="28">
        <f>SUM(L44:L63)</f>
        <v>-180373.34058617501</v>
      </c>
      <c r="M64" s="26" t="s">
        <v>272</v>
      </c>
      <c r="N64" s="27">
        <f>IF(COUNT(N44:N63), SUM(N44:N63) / COUNT(N44:N63), 0)</f>
        <v>-8.3389969115073778E-2</v>
      </c>
      <c r="O64" s="28">
        <f>SUM(O44:O63)</f>
        <v>-166779.93823014756</v>
      </c>
      <c r="Q64" s="211"/>
      <c r="R64" s="212"/>
      <c r="S64" s="213"/>
    </row>
    <row r="65" spans="1:19" ht="17.25" customHeight="1"/>
    <row r="66" spans="1:19" ht="17.25" customHeight="1" thickBot="1"/>
    <row r="67" spans="1:19" ht="17.25" thickBot="1">
      <c r="A67" s="227" t="s">
        <v>45</v>
      </c>
      <c r="B67" s="228"/>
      <c r="C67" s="228"/>
      <c r="D67" s="228"/>
      <c r="E67" s="228"/>
      <c r="F67" s="228"/>
      <c r="G67" s="228"/>
      <c r="H67" s="228"/>
      <c r="I67" s="228"/>
      <c r="J67" s="228"/>
      <c r="K67" s="228"/>
      <c r="L67" s="228"/>
      <c r="M67" s="228"/>
      <c r="N67" s="228"/>
      <c r="O67" s="229"/>
      <c r="Q67" s="226"/>
      <c r="R67" s="226"/>
      <c r="S67" s="226"/>
    </row>
    <row r="68" spans="1:19" ht="17.25" thickBot="1">
      <c r="A68" s="185" t="s">
        <v>268</v>
      </c>
      <c r="B68" s="227" t="s">
        <v>49</v>
      </c>
      <c r="C68" s="229"/>
      <c r="D68" s="227" t="s">
        <v>58</v>
      </c>
      <c r="E68" s="228"/>
      <c r="F68" s="229"/>
      <c r="G68" s="230">
        <f>_xlfn.IFNA(VLOOKUP(B68, 현재가테이블!$B$2:$D$200, 2, FALSE), "-")</f>
        <v>39916000</v>
      </c>
      <c r="H68" s="231"/>
      <c r="I68" s="232"/>
      <c r="J68" s="227" t="s">
        <v>59</v>
      </c>
      <c r="K68" s="228"/>
      <c r="L68" s="229"/>
      <c r="M68" s="233">
        <f>_xlfn.IFNA(VLOOKUP(B68, 현재가테이블!$B$2:$D$200, 3, FALSE), "-")</f>
        <v>7.3184273000000003E-3</v>
      </c>
      <c r="N68" s="234"/>
      <c r="O68" s="235"/>
      <c r="Q68" s="226"/>
      <c r="R68" s="226"/>
      <c r="S68" s="226"/>
    </row>
    <row r="69" spans="1:19" ht="17.25" thickBot="1">
      <c r="A69" s="271" t="s">
        <v>55</v>
      </c>
      <c r="B69" s="267" t="str">
        <f>TEXT($G$1, "[$-ko-KR]yyyy-mm-dd(ddd) ") &amp; "오전 00:00"</f>
        <v>2021-07-08(목) 오전 00:00</v>
      </c>
      <c r="C69" s="268"/>
      <c r="D69" s="240" t="str">
        <f>TEXT($G$1, "[$-ko-KR]yyyy-mm-dd(ddd) ") &amp; "오후 14:00"</f>
        <v>2021-07-08(목) 오후 14:00</v>
      </c>
      <c r="E69" s="241"/>
      <c r="F69" s="242"/>
      <c r="G69" s="240" t="str">
        <f>TEXT($G$1, "[$-ko-KR]yyyy-mm-dd(ddd) ") &amp; "오후 19:00"</f>
        <v>2021-07-08(목) 오후 19:00</v>
      </c>
      <c r="H69" s="241"/>
      <c r="I69" s="242"/>
      <c r="J69" s="240" t="str">
        <f>TEXT($G$1, "[$-ko-KR]yyyy-mm-dd(ddd) ") &amp; "오후 21:00"</f>
        <v>2021-07-08(목) 오후 21:00</v>
      </c>
      <c r="K69" s="241"/>
      <c r="L69" s="242"/>
      <c r="M69" s="240" t="str">
        <f>TEXT($G$1+1, "[$-ko-KR]yyyy-mm-dd(ddd) ") &amp; "오전 00:00"</f>
        <v>2021-07-09(금) 오전 00:00</v>
      </c>
      <c r="N69" s="241"/>
      <c r="O69" s="242"/>
      <c r="Q69" s="226"/>
      <c r="R69" s="226"/>
      <c r="S69" s="226"/>
    </row>
    <row r="70" spans="1:19" ht="17.25" thickBot="1">
      <c r="A70" s="27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6" t="s">
        <v>58</v>
      </c>
      <c r="H70" s="187" t="s">
        <v>269</v>
      </c>
      <c r="I70" s="18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6"/>
      <c r="R70" s="216"/>
      <c r="S70" s="216"/>
    </row>
    <row r="71" spans="1:19" ht="17.25" thickBot="1">
      <c r="A71" s="123" t="s">
        <v>114</v>
      </c>
      <c r="B71" s="124">
        <v>480</v>
      </c>
      <c r="C71" s="76">
        <v>0.33333333329999998</v>
      </c>
      <c r="D71" s="13">
        <v>612</v>
      </c>
      <c r="E71" s="14">
        <f>IF(ISNUMBER(D71), (D71 - $B71) / $B71, "")</f>
        <v>0.27500000000000002</v>
      </c>
      <c r="F71" s="16">
        <f>IF(ISNUMBER(D71), $B91 * E71, "")</f>
        <v>27500.000000000004</v>
      </c>
      <c r="G71" s="29">
        <v>548</v>
      </c>
      <c r="H71" s="14">
        <f>IF(ISNUMBER(G71), (G71 - $B71) / $B71, "")</f>
        <v>0.14166666666666666</v>
      </c>
      <c r="I71" s="100">
        <f>IF(ISNUMBER(G71), $B91 * H71, "")</f>
        <v>14166.666666666666</v>
      </c>
      <c r="J71" s="13">
        <v>545</v>
      </c>
      <c r="K71" s="14">
        <f>IF(ISNUMBER(J71), (J71 - $B71) / $B71, "")</f>
        <v>0.13541666666666666</v>
      </c>
      <c r="L71" s="16">
        <f>IF(ISNUMBER(J71), $B91 * K71, "")</f>
        <v>13541.666666666666</v>
      </c>
      <c r="M71" s="29">
        <v>514</v>
      </c>
      <c r="N71" s="14">
        <f>IF(ISNUMBER(M71), (M71 - $B71) / $B71, "")</f>
        <v>7.0833333333333331E-2</v>
      </c>
      <c r="O71" s="16">
        <f>IF(ISNUMBER(M71), $B91 * N71, "")</f>
        <v>7083.333333333333</v>
      </c>
      <c r="Q71" s="226"/>
      <c r="R71" s="226"/>
      <c r="S71" s="226"/>
    </row>
    <row r="72" spans="1:19" ht="17.25" thickBot="1">
      <c r="A72" s="125" t="s">
        <v>61</v>
      </c>
      <c r="B72" s="126">
        <v>844</v>
      </c>
      <c r="C72" s="77">
        <v>0.17877094969999999</v>
      </c>
      <c r="D72" s="15">
        <v>932</v>
      </c>
      <c r="E72" s="32">
        <f t="shared" ref="E72:E75" si="30">IF(ISNUMBER(D72), (D72 - $B72) / $B72, "")</f>
        <v>0.10426540284360189</v>
      </c>
      <c r="F72" s="18">
        <f>IF(ISNUMBER(D72), $B91 * E72, "")</f>
        <v>10426.54028436019</v>
      </c>
      <c r="G72" s="31">
        <v>872</v>
      </c>
      <c r="H72" s="32">
        <f t="shared" ref="H72:H75" si="31">IF(ISNUMBER(G72), (G72 - $B72) / $B72, "")</f>
        <v>3.3175355450236969E-2</v>
      </c>
      <c r="I72" s="101">
        <f>IF(ISNUMBER(G72), $B91 * H72, "")</f>
        <v>3317.5355450236971</v>
      </c>
      <c r="J72" s="15">
        <v>868</v>
      </c>
      <c r="K72" s="32">
        <f t="shared" ref="K72:K75" si="32">IF(ISNUMBER(J72), (J72 - $B72) / $B72, "")</f>
        <v>2.843601895734597E-2</v>
      </c>
      <c r="L72" s="18">
        <f>IF(ISNUMBER(J72), $B91 * K72, "")</f>
        <v>2843.6018957345968</v>
      </c>
      <c r="M72" s="31">
        <v>814</v>
      </c>
      <c r="N72" s="32">
        <f t="shared" ref="N72:N75" si="33">IF(ISNUMBER(M72), (M72 - $B72) / $B72, "")</f>
        <v>-3.5545023696682464E-2</v>
      </c>
      <c r="O72" s="18">
        <f>IF(ISNUMBER(M72), $B91 * N72, "")</f>
        <v>-3554.5023696682465</v>
      </c>
      <c r="Q72" s="226"/>
      <c r="R72" s="226"/>
      <c r="S72" s="226"/>
    </row>
    <row r="73" spans="1:19" ht="17.25" thickBot="1">
      <c r="A73" s="125" t="s">
        <v>86</v>
      </c>
      <c r="B73" s="126">
        <v>314</v>
      </c>
      <c r="C73" s="77">
        <v>0.109540636</v>
      </c>
      <c r="D73" s="15">
        <v>324</v>
      </c>
      <c r="E73" s="32">
        <f t="shared" si="30"/>
        <v>3.1847133757961783E-2</v>
      </c>
      <c r="F73" s="18">
        <f>IF(ISNUMBER(D73), $B91 * E73, "")</f>
        <v>3184.7133757961783</v>
      </c>
      <c r="G73" s="31">
        <v>302</v>
      </c>
      <c r="H73" s="32">
        <f t="shared" si="31"/>
        <v>-3.8216560509554139E-2</v>
      </c>
      <c r="I73" s="101">
        <f>IF(ISNUMBER(G73), $B91 * H73, "")</f>
        <v>-3821.6560509554138</v>
      </c>
      <c r="J73" s="15">
        <v>303</v>
      </c>
      <c r="K73" s="32">
        <f t="shared" si="32"/>
        <v>-3.5031847133757961E-2</v>
      </c>
      <c r="L73" s="18">
        <f>IF(ISNUMBER(J73), $B91 * K73, "")</f>
        <v>-3503.184713375796</v>
      </c>
      <c r="M73" s="31">
        <v>300</v>
      </c>
      <c r="N73" s="32">
        <f t="shared" si="33"/>
        <v>-4.4585987261146494E-2</v>
      </c>
      <c r="O73" s="18">
        <f>IF(ISNUMBER(M73), $B91 * N73, "")</f>
        <v>-4458.5987261146493</v>
      </c>
      <c r="Q73" s="216"/>
      <c r="R73" s="216"/>
      <c r="S73" s="216"/>
    </row>
    <row r="74" spans="1:19" ht="17.25" thickBot="1">
      <c r="A74" s="125" t="s">
        <v>104</v>
      </c>
      <c r="B74" s="126">
        <v>923</v>
      </c>
      <c r="C74" s="77">
        <v>0.1027479092</v>
      </c>
      <c r="D74" s="15">
        <v>886</v>
      </c>
      <c r="E74" s="32">
        <f t="shared" si="30"/>
        <v>-4.008667388949079E-2</v>
      </c>
      <c r="F74" s="18">
        <f>IF(ISNUMBER(D74), $B91 * E74, "")</f>
        <v>-4008.6673889490789</v>
      </c>
      <c r="G74" s="31">
        <v>861</v>
      </c>
      <c r="H74" s="32">
        <f t="shared" si="31"/>
        <v>-6.7172264355362943E-2</v>
      </c>
      <c r="I74" s="101">
        <f>IF(ISNUMBER(G74), $B91 * H74, "")</f>
        <v>-6717.226435536294</v>
      </c>
      <c r="J74" s="15">
        <v>865</v>
      </c>
      <c r="K74" s="32">
        <f t="shared" si="32"/>
        <v>-6.2838569880823397E-2</v>
      </c>
      <c r="L74" s="18">
        <f>IF(ISNUMBER(J74), $B91 * K74, "")</f>
        <v>-6283.8569880823397</v>
      </c>
      <c r="M74" s="31">
        <v>871</v>
      </c>
      <c r="N74" s="32">
        <f t="shared" si="33"/>
        <v>-5.6338028169014086E-2</v>
      </c>
      <c r="O74" s="18">
        <f>IF(ISNUMBER(M74), $B91 * N74, "")</f>
        <v>-5633.8028169014087</v>
      </c>
      <c r="Q74" s="216"/>
      <c r="R74" s="216"/>
      <c r="S74" s="216"/>
    </row>
    <row r="75" spans="1:19" ht="17.25" thickBot="1">
      <c r="A75" s="127" t="s">
        <v>237</v>
      </c>
      <c r="B75" s="128">
        <v>493</v>
      </c>
      <c r="C75" s="78">
        <v>0.1004464286</v>
      </c>
      <c r="D75" s="20">
        <v>453</v>
      </c>
      <c r="E75" s="21">
        <f t="shared" si="30"/>
        <v>-8.1135902636916835E-2</v>
      </c>
      <c r="F75" s="22">
        <f>IF(ISNUMBER(D75), $B91 * E75, "")</f>
        <v>-8113.5902636916835</v>
      </c>
      <c r="G75" s="30">
        <v>440</v>
      </c>
      <c r="H75" s="21">
        <f t="shared" si="31"/>
        <v>-0.10750507099391481</v>
      </c>
      <c r="I75" s="105">
        <f>IF(ISNUMBER(G75), $B91 * H75, "")</f>
        <v>-10750.507099391481</v>
      </c>
      <c r="J75" s="20">
        <v>440</v>
      </c>
      <c r="K75" s="21">
        <f t="shared" si="32"/>
        <v>-0.10750507099391481</v>
      </c>
      <c r="L75" s="22">
        <f>IF(ISNUMBER(J75), $B91 * K75, "")</f>
        <v>-10750.507099391481</v>
      </c>
      <c r="M75" s="30">
        <v>442</v>
      </c>
      <c r="N75" s="21">
        <f t="shared" si="33"/>
        <v>-0.10344827586206896</v>
      </c>
      <c r="O75" s="22">
        <f>IF(ISNUMBER(M75), $B91 * N75, "")</f>
        <v>-10344.827586206897</v>
      </c>
      <c r="Q75" s="216"/>
      <c r="R75" s="216"/>
      <c r="S75" s="216"/>
    </row>
    <row r="76" spans="1:19" ht="17.25" thickBot="1">
      <c r="A76" s="125" t="s">
        <v>231</v>
      </c>
      <c r="B76" s="129">
        <v>166</v>
      </c>
      <c r="C76" s="80">
        <v>6.4102564099999995E-2</v>
      </c>
      <c r="D76" s="106">
        <v>176</v>
      </c>
      <c r="E76" s="107">
        <f>IF(ISNUMBER(D76), (D76 - $B76) / $B76, "")</f>
        <v>6.0240963855421686E-2</v>
      </c>
      <c r="F76" s="108">
        <f>IF(ISNUMBER(D76), $B91 * E76, "")</f>
        <v>6024.0963855421687</v>
      </c>
      <c r="G76" s="109">
        <v>155</v>
      </c>
      <c r="H76" s="107">
        <f>IF(ISNUMBER(G76), (G76 - $B76) / $B76, "")</f>
        <v>-6.6265060240963861E-2</v>
      </c>
      <c r="I76" s="110">
        <f>IF(ISNUMBER(G76), $B91 * H76, "")</f>
        <v>-6626.5060240963858</v>
      </c>
      <c r="J76" s="106">
        <v>156</v>
      </c>
      <c r="K76" s="107">
        <f>IF(ISNUMBER(J76), (J76 - $B76) / $B76, "")</f>
        <v>-6.0240963855421686E-2</v>
      </c>
      <c r="L76" s="108">
        <f>IF(ISNUMBER(J76), $B91 * K76, "")</f>
        <v>-6024.0963855421687</v>
      </c>
      <c r="M76" s="109">
        <v>156</v>
      </c>
      <c r="N76" s="107">
        <f>IF(ISNUMBER(M76), (M76 - $B76) / $B76, "")</f>
        <v>-6.0240963855421686E-2</v>
      </c>
      <c r="O76" s="108">
        <f>IF(ISNUMBER(M76), $B91 * N76, "")</f>
        <v>-6024.0963855421687</v>
      </c>
      <c r="Q76" s="216"/>
      <c r="R76" s="216"/>
      <c r="S76" s="216"/>
    </row>
    <row r="77" spans="1:19" ht="17.25" thickBot="1">
      <c r="A77" s="125" t="s">
        <v>80</v>
      </c>
      <c r="B77" s="126">
        <v>733</v>
      </c>
      <c r="C77" s="77">
        <v>6.0781476100000002E-2</v>
      </c>
      <c r="D77" s="15">
        <v>704</v>
      </c>
      <c r="E77" s="32">
        <f t="shared" ref="E77:E80" si="34">IF(ISNUMBER(D77), (D77 - $B77) / $B77, "")</f>
        <v>-3.9563437926330151E-2</v>
      </c>
      <c r="F77" s="18">
        <f>IF(ISNUMBER(D77), $B91 * E77, "")</f>
        <v>-3956.3437926330153</v>
      </c>
      <c r="G77" s="31">
        <v>684</v>
      </c>
      <c r="H77" s="32">
        <f t="shared" ref="H77:H80" si="35">IF(ISNUMBER(G77), (G77 - $B77) / $B77, "")</f>
        <v>-6.6848567530695777E-2</v>
      </c>
      <c r="I77" s="101">
        <f>IF(ISNUMBER(G77), $B91 * H77, "")</f>
        <v>-6684.8567530695773</v>
      </c>
      <c r="J77" s="15">
        <v>683</v>
      </c>
      <c r="K77" s="32">
        <f t="shared" ref="K77:K80" si="36">IF(ISNUMBER(J77), (J77 - $B77) / $B77, "")</f>
        <v>-6.8212824010914053E-2</v>
      </c>
      <c r="L77" s="18">
        <f>IF(ISNUMBER(J77), $B91 * K77, "")</f>
        <v>-6821.2824010914055</v>
      </c>
      <c r="M77" s="31">
        <v>678</v>
      </c>
      <c r="N77" s="32">
        <f t="shared" ref="N77:N80" si="37">IF(ISNUMBER(M77), (M77 - $B77) / $B77, "")</f>
        <v>-7.5034106412005461E-2</v>
      </c>
      <c r="O77" s="18">
        <f>IF(ISNUMBER(M77), $B91 * N77, "")</f>
        <v>-7503.4106412005458</v>
      </c>
      <c r="Q77" s="216"/>
      <c r="R77" s="216"/>
      <c r="S77" s="216"/>
    </row>
    <row r="78" spans="1:19" ht="17.25" thickBot="1">
      <c r="A78" s="125" t="s">
        <v>102</v>
      </c>
      <c r="B78" s="126">
        <v>904</v>
      </c>
      <c r="C78" s="77">
        <v>5.97889801E-2</v>
      </c>
      <c r="D78" s="15">
        <v>852</v>
      </c>
      <c r="E78" s="32">
        <f t="shared" si="34"/>
        <v>-5.7522123893805309E-2</v>
      </c>
      <c r="F78" s="18">
        <f>IF(ISNUMBER(D78), $B91 * E78, "")</f>
        <v>-5752.212389380531</v>
      </c>
      <c r="G78" s="31">
        <v>832</v>
      </c>
      <c r="H78" s="32">
        <f t="shared" si="35"/>
        <v>-7.9646017699115043E-2</v>
      </c>
      <c r="I78" s="101">
        <f>IF(ISNUMBER(G78), $B91 * H78, "")</f>
        <v>-7964.6017699115046</v>
      </c>
      <c r="J78" s="15">
        <v>830</v>
      </c>
      <c r="K78" s="32">
        <f t="shared" si="36"/>
        <v>-8.185840707964602E-2</v>
      </c>
      <c r="L78" s="18">
        <f>IF(ISNUMBER(J78), $B91 * K78, "")</f>
        <v>-8185.8407079646022</v>
      </c>
      <c r="M78" s="31">
        <v>844</v>
      </c>
      <c r="N78" s="32">
        <f t="shared" si="37"/>
        <v>-6.637168141592921E-2</v>
      </c>
      <c r="O78" s="18">
        <f>IF(ISNUMBER(M78), $B91 * N78, "")</f>
        <v>-6637.1681415929206</v>
      </c>
      <c r="Q78" s="216"/>
      <c r="R78" s="216"/>
      <c r="S78" s="216"/>
    </row>
    <row r="79" spans="1:19" ht="17.25" thickBot="1">
      <c r="A79" s="125" t="s">
        <v>233</v>
      </c>
      <c r="B79" s="126">
        <v>404</v>
      </c>
      <c r="C79" s="77">
        <v>4.1237113399999997E-2</v>
      </c>
      <c r="D79" s="15">
        <v>375</v>
      </c>
      <c r="E79" s="32">
        <f t="shared" si="34"/>
        <v>-7.1782178217821777E-2</v>
      </c>
      <c r="F79" s="18">
        <f>IF(ISNUMBER(D79), $B91 * E79, "")</f>
        <v>-7178.2178217821775</v>
      </c>
      <c r="G79" s="31">
        <v>354</v>
      </c>
      <c r="H79" s="32">
        <f t="shared" si="35"/>
        <v>-0.12376237623762376</v>
      </c>
      <c r="I79" s="101">
        <f>IF(ISNUMBER(G79), $B91 * H79, "")</f>
        <v>-12376.237623762376</v>
      </c>
      <c r="J79" s="15">
        <v>357</v>
      </c>
      <c r="K79" s="32">
        <f t="shared" si="36"/>
        <v>-0.11633663366336634</v>
      </c>
      <c r="L79" s="18">
        <f>IF(ISNUMBER(J79), $B91 * K79, "")</f>
        <v>-11633.663366336634</v>
      </c>
      <c r="M79" s="31">
        <v>358</v>
      </c>
      <c r="N79" s="32">
        <f t="shared" si="37"/>
        <v>-0.11386138613861387</v>
      </c>
      <c r="O79" s="18">
        <f>IF(ISNUMBER(M79), $B91 * N79, "")</f>
        <v>-11386.138613861387</v>
      </c>
      <c r="Q79" s="33"/>
      <c r="R79" s="33"/>
    </row>
    <row r="80" spans="1:19" ht="17.25" thickBot="1">
      <c r="A80" s="130" t="s">
        <v>214</v>
      </c>
      <c r="B80" s="131">
        <v>259</v>
      </c>
      <c r="C80" s="79">
        <v>4.0160642599999997E-2</v>
      </c>
      <c r="D80" s="24">
        <v>264</v>
      </c>
      <c r="E80" s="25">
        <f t="shared" si="34"/>
        <v>1.9305019305019305E-2</v>
      </c>
      <c r="F80" s="104">
        <f>IF(ISNUMBER(D80), $B91 * E80, "")</f>
        <v>1930.5019305019305</v>
      </c>
      <c r="G80" s="102">
        <v>235</v>
      </c>
      <c r="H80" s="25">
        <f t="shared" si="35"/>
        <v>-9.2664092664092659E-2</v>
      </c>
      <c r="I80" s="103">
        <f>IF(ISNUMBER(G80), $B91 * H80, "")</f>
        <v>-9266.4092664092659</v>
      </c>
      <c r="J80" s="24">
        <v>234</v>
      </c>
      <c r="K80" s="25">
        <f t="shared" si="36"/>
        <v>-9.6525096525096526E-2</v>
      </c>
      <c r="L80" s="104">
        <f>IF(ISNUMBER(J80), $B91 * K80, "")</f>
        <v>-9652.5096525096524</v>
      </c>
      <c r="M80" s="102">
        <v>239</v>
      </c>
      <c r="N80" s="25">
        <f t="shared" si="37"/>
        <v>-7.7220077220077218E-2</v>
      </c>
      <c r="O80" s="104">
        <f>IF(ISNUMBER(M80), $B91 * N80, "")</f>
        <v>-7722.0077220077219</v>
      </c>
      <c r="Q80" s="217"/>
      <c r="R80" s="218"/>
      <c r="S80" s="219"/>
    </row>
    <row r="81" spans="1:19">
      <c r="A81" s="123" t="s">
        <v>222</v>
      </c>
      <c r="B81" s="124">
        <v>115</v>
      </c>
      <c r="C81" s="76">
        <v>3.6036036E-2</v>
      </c>
      <c r="D81" s="13">
        <v>112</v>
      </c>
      <c r="E81" s="14">
        <f>IF(ISNUMBER(D81), (D81 - $B81) / $B81, "")</f>
        <v>-2.6086956521739129E-2</v>
      </c>
      <c r="F81" s="16">
        <f>IF(ISNUMBER(D81), $B91 * E81, "")</f>
        <v>-2608.695652173913</v>
      </c>
      <c r="G81" s="29">
        <v>100</v>
      </c>
      <c r="H81" s="14">
        <f>IF(ISNUMBER(G81), (G81 - $B81) / $B81, "")</f>
        <v>-0.13043478260869565</v>
      </c>
      <c r="I81" s="100">
        <f>IF(ISNUMBER(G81), $B91 * H81, "")</f>
        <v>-13043.478260869564</v>
      </c>
      <c r="J81" s="13">
        <v>101</v>
      </c>
      <c r="K81" s="14">
        <f>IF(ISNUMBER(J81), (J81 - $B81) / $B81, "")</f>
        <v>-0.12173913043478261</v>
      </c>
      <c r="L81" s="16">
        <f>IF(ISNUMBER(J81), $B91 * K81, "")</f>
        <v>-12173.913043478262</v>
      </c>
      <c r="M81" s="29">
        <v>102</v>
      </c>
      <c r="N81" s="14">
        <f>IF(ISNUMBER(M81), (M81 - $B81) / $B81, "")</f>
        <v>-0.11304347826086956</v>
      </c>
      <c r="O81" s="16">
        <f>IF(ISNUMBER(M81), $B91 * N81, "")</f>
        <v>-11304.347826086956</v>
      </c>
      <c r="Q81" s="220"/>
      <c r="R81" s="221"/>
      <c r="S81" s="222"/>
    </row>
    <row r="82" spans="1:19" ht="17.25" thickBot="1">
      <c r="A82" s="125" t="s">
        <v>206</v>
      </c>
      <c r="B82" s="126">
        <v>244</v>
      </c>
      <c r="C82" s="77">
        <v>3.3898305099999998E-2</v>
      </c>
      <c r="D82" s="15">
        <v>230</v>
      </c>
      <c r="E82" s="32">
        <f t="shared" ref="E82:E85" si="38">IF(ISNUMBER(D82), (D82 - $B82) / $B82, "")</f>
        <v>-5.737704918032787E-2</v>
      </c>
      <c r="F82" s="18">
        <f>IF(ISNUMBER(D82), $B91 * E82, "")</f>
        <v>-5737.7049180327867</v>
      </c>
      <c r="G82" s="31">
        <v>217</v>
      </c>
      <c r="H82" s="32">
        <f t="shared" ref="H82:H85" si="39">IF(ISNUMBER(G82), (G82 - $B82) / $B82, "")</f>
        <v>-0.11065573770491803</v>
      </c>
      <c r="I82" s="101">
        <f>IF(ISNUMBER(G82), $B91 * H82, "")</f>
        <v>-11065.573770491803</v>
      </c>
      <c r="J82" s="15">
        <v>217</v>
      </c>
      <c r="K82" s="32">
        <f t="shared" ref="K82:K85" si="40">IF(ISNUMBER(J82), (J82 - $B82) / $B82, "")</f>
        <v>-0.11065573770491803</v>
      </c>
      <c r="L82" s="18">
        <f>IF(ISNUMBER(J82), $B91 * K82, "")</f>
        <v>-11065.573770491803</v>
      </c>
      <c r="M82" s="31">
        <v>219</v>
      </c>
      <c r="N82" s="32">
        <f t="shared" ref="N82:N85" si="41">IF(ISNUMBER(M82), (M82 - $B82) / $B82, "")</f>
        <v>-0.10245901639344263</v>
      </c>
      <c r="O82" s="18">
        <f>IF(ISNUMBER(M82), $B91 * N82, "")</f>
        <v>-10245.901639344263</v>
      </c>
      <c r="Q82" s="223"/>
      <c r="R82" s="224"/>
      <c r="S82" s="225"/>
    </row>
    <row r="83" spans="1:19" ht="17.25" thickBot="1">
      <c r="A83" s="125" t="s">
        <v>243</v>
      </c>
      <c r="B83" s="126">
        <v>391</v>
      </c>
      <c r="C83" s="77">
        <v>3.1662269100000001E-2</v>
      </c>
      <c r="D83" s="15">
        <v>372</v>
      </c>
      <c r="E83" s="32">
        <f t="shared" si="38"/>
        <v>-4.859335038363171E-2</v>
      </c>
      <c r="F83" s="18">
        <f>IF(ISNUMBER(D83), $B91 * E83, "")</f>
        <v>-4859.3350383631714</v>
      </c>
      <c r="G83" s="31">
        <v>357</v>
      </c>
      <c r="H83" s="32">
        <f t="shared" si="39"/>
        <v>-8.6956521739130432E-2</v>
      </c>
      <c r="I83" s="101">
        <f>IF(ISNUMBER(G83), $B91 * H83, "")</f>
        <v>-8695.652173913044</v>
      </c>
      <c r="J83" s="15">
        <v>357</v>
      </c>
      <c r="K83" s="32">
        <f t="shared" si="40"/>
        <v>-8.6956521739130432E-2</v>
      </c>
      <c r="L83" s="18">
        <f>IF(ISNUMBER(J83), $B91 * K83, "")</f>
        <v>-8695.652173913044</v>
      </c>
      <c r="M83" s="31">
        <v>360</v>
      </c>
      <c r="N83" s="32">
        <f t="shared" si="41"/>
        <v>-7.9283887468030695E-2</v>
      </c>
      <c r="O83" s="18">
        <f>IF(ISNUMBER(M83), $B91 * N83, "")</f>
        <v>-7928.3887468030698</v>
      </c>
      <c r="Q83" s="216"/>
      <c r="R83" s="216"/>
      <c r="S83" s="216"/>
    </row>
    <row r="84" spans="1:19" ht="17.25" thickBot="1">
      <c r="A84" s="125" t="s">
        <v>184</v>
      </c>
      <c r="B84" s="126">
        <v>958</v>
      </c>
      <c r="C84" s="77">
        <v>2.78969957E-2</v>
      </c>
      <c r="D84" s="15">
        <v>904</v>
      </c>
      <c r="E84" s="32">
        <f t="shared" si="38"/>
        <v>-5.6367432150313153E-2</v>
      </c>
      <c r="F84" s="18">
        <f>IF(ISNUMBER(D84), $B91 * E84, "")</f>
        <v>-5636.7432150313152</v>
      </c>
      <c r="G84" s="31">
        <v>861</v>
      </c>
      <c r="H84" s="32">
        <f t="shared" si="39"/>
        <v>-0.10125260960334029</v>
      </c>
      <c r="I84" s="101">
        <f>IF(ISNUMBER(G84), $B91 * H84, "")</f>
        <v>-10125.260960334028</v>
      </c>
      <c r="J84" s="15">
        <v>863</v>
      </c>
      <c r="K84" s="32">
        <f t="shared" si="40"/>
        <v>-9.916492693110647E-2</v>
      </c>
      <c r="L84" s="18">
        <f>IF(ISNUMBER(J84), $B91 * K84, "")</f>
        <v>-9916.4926931106475</v>
      </c>
      <c r="M84" s="31">
        <v>873</v>
      </c>
      <c r="N84" s="32">
        <f t="shared" si="41"/>
        <v>-8.8726513569937368E-2</v>
      </c>
      <c r="O84" s="18">
        <f>IF(ISNUMBER(M84), $B91 * N84, "")</f>
        <v>-8872.651356993736</v>
      </c>
      <c r="Q84" s="226"/>
      <c r="R84" s="226"/>
      <c r="S84" s="226"/>
    </row>
    <row r="85" spans="1:19" ht="17.25" thickBot="1">
      <c r="A85" s="127" t="s">
        <v>54</v>
      </c>
      <c r="B85" s="128">
        <v>219</v>
      </c>
      <c r="C85" s="78">
        <v>1.38888889E-2</v>
      </c>
      <c r="D85" s="20">
        <v>215</v>
      </c>
      <c r="E85" s="21">
        <f t="shared" si="38"/>
        <v>-1.8264840182648401E-2</v>
      </c>
      <c r="F85" s="22">
        <f>IF(ISNUMBER(D85), $B91 * E85, "")</f>
        <v>-1826.4840182648402</v>
      </c>
      <c r="G85" s="30">
        <v>208</v>
      </c>
      <c r="H85" s="21">
        <f t="shared" si="39"/>
        <v>-5.0228310502283102E-2</v>
      </c>
      <c r="I85" s="105">
        <f>IF(ISNUMBER(G85), $B91 * H85, "")</f>
        <v>-5022.8310502283102</v>
      </c>
      <c r="J85" s="20">
        <v>209</v>
      </c>
      <c r="K85" s="21">
        <f t="shared" si="40"/>
        <v>-4.5662100456621002E-2</v>
      </c>
      <c r="L85" s="22">
        <f>IF(ISNUMBER(J85), $B91 * K85, "")</f>
        <v>-4566.2100456621001</v>
      </c>
      <c r="M85" s="30">
        <v>210</v>
      </c>
      <c r="N85" s="21">
        <f t="shared" si="41"/>
        <v>-4.1095890410958902E-2</v>
      </c>
      <c r="O85" s="22">
        <f>IF(ISNUMBER(M85), $B91 * N85, "")</f>
        <v>-4109.58904109589</v>
      </c>
      <c r="Q85" s="226"/>
      <c r="R85" s="226"/>
      <c r="S85" s="226"/>
    </row>
    <row r="86" spans="1:19" ht="17.25" thickBot="1">
      <c r="A86" s="125" t="s">
        <v>138</v>
      </c>
      <c r="B86" s="129">
        <v>414</v>
      </c>
      <c r="C86" s="80">
        <v>4.8543689000000003E-3</v>
      </c>
      <c r="D86" s="106">
        <v>410</v>
      </c>
      <c r="E86" s="107">
        <f>IF(ISNUMBER(D86), (D86 - $B86) / $B86, "")</f>
        <v>-9.6618357487922701E-3</v>
      </c>
      <c r="F86" s="108">
        <f>IF(ISNUMBER(D86), $B91 * E86, "")</f>
        <v>-966.18357487922697</v>
      </c>
      <c r="G86" s="109">
        <v>432</v>
      </c>
      <c r="H86" s="107">
        <f>IF(ISNUMBER(G86), (G86 - $B86) / $B86, "")</f>
        <v>4.3478260869565216E-2</v>
      </c>
      <c r="I86" s="110">
        <f>IF(ISNUMBER(G86), $B91 * H86, "")</f>
        <v>4347.826086956522</v>
      </c>
      <c r="J86" s="106">
        <v>428</v>
      </c>
      <c r="K86" s="107">
        <f>IF(ISNUMBER(J86), (J86 - $B86) / $B86, "")</f>
        <v>3.3816425120772944E-2</v>
      </c>
      <c r="L86" s="108">
        <f>IF(ISNUMBER(J86), $B91 * K86, "")</f>
        <v>3381.6425120772942</v>
      </c>
      <c r="M86" s="109">
        <v>445</v>
      </c>
      <c r="N86" s="107">
        <f>IF(ISNUMBER(M86), (M86 - $B86) / $B86, "")</f>
        <v>7.4879227053140096E-2</v>
      </c>
      <c r="O86" s="108">
        <f>IF(ISNUMBER(M86), $B91 * N86, "")</f>
        <v>7487.9227053140094</v>
      </c>
      <c r="Q86" s="216"/>
      <c r="R86" s="216"/>
      <c r="S86" s="216"/>
    </row>
    <row r="87" spans="1:19" ht="17.25" thickBot="1">
      <c r="A87" s="125" t="s">
        <v>51</v>
      </c>
      <c r="B87" s="126">
        <v>304</v>
      </c>
      <c r="C87" s="77">
        <v>3.3003300000000002E-3</v>
      </c>
      <c r="D87" s="15">
        <v>296</v>
      </c>
      <c r="E87" s="32">
        <f t="shared" ref="E87:E90" si="42">IF(ISNUMBER(D87), (D87 - $B87) / $B87, "")</f>
        <v>-2.6315789473684209E-2</v>
      </c>
      <c r="F87" s="18">
        <f>IF(ISNUMBER(D87), $B91 * E87, "")</f>
        <v>-2631.5789473684208</v>
      </c>
      <c r="G87" s="31">
        <v>288</v>
      </c>
      <c r="H87" s="32">
        <f t="shared" ref="H87:H90" si="43">IF(ISNUMBER(G87), (G87 - $B87) / $B87, "")</f>
        <v>-5.2631578947368418E-2</v>
      </c>
      <c r="I87" s="101">
        <f>IF(ISNUMBER(G87), $B91 * H87, "")</f>
        <v>-5263.1578947368416</v>
      </c>
      <c r="J87" s="15">
        <v>288</v>
      </c>
      <c r="K87" s="32">
        <f t="shared" ref="K87:K90" si="44">IF(ISNUMBER(J87), (J87 - $B87) / $B87, "")</f>
        <v>-5.2631578947368418E-2</v>
      </c>
      <c r="L87" s="18">
        <f>IF(ISNUMBER(J87), $B91 * K87, "")</f>
        <v>-5263.1578947368416</v>
      </c>
      <c r="M87" s="31">
        <v>291</v>
      </c>
      <c r="N87" s="32">
        <f t="shared" ref="N87:N90" si="45">IF(ISNUMBER(M87), (M87 - $B87) / $B87, "")</f>
        <v>-4.2763157894736843E-2</v>
      </c>
      <c r="O87" s="18">
        <f>IF(ISNUMBER(M87), $B91 * N87, "")</f>
        <v>-4276.3157894736842</v>
      </c>
      <c r="Q87" s="216"/>
      <c r="R87" s="216"/>
      <c r="S87" s="216"/>
    </row>
    <row r="88" spans="1:19" ht="17.25" thickBot="1">
      <c r="A88" s="125" t="s">
        <v>57</v>
      </c>
      <c r="B88" s="126">
        <v>155</v>
      </c>
      <c r="C88" s="77">
        <v>0</v>
      </c>
      <c r="D88" s="15">
        <v>153</v>
      </c>
      <c r="E88" s="32">
        <f t="shared" si="42"/>
        <v>-1.2903225806451613E-2</v>
      </c>
      <c r="F88" s="18">
        <f>IF(ISNUMBER(D88), $B91 * E88, "")</f>
        <v>-1290.3225806451612</v>
      </c>
      <c r="G88" s="31">
        <v>147</v>
      </c>
      <c r="H88" s="32">
        <f t="shared" si="43"/>
        <v>-5.1612903225806452E-2</v>
      </c>
      <c r="I88" s="101">
        <f>IF(ISNUMBER(G88), $B91 * H88, "")</f>
        <v>-5161.2903225806449</v>
      </c>
      <c r="J88" s="15">
        <v>148</v>
      </c>
      <c r="K88" s="32">
        <f t="shared" si="44"/>
        <v>-4.5161290322580643E-2</v>
      </c>
      <c r="L88" s="18">
        <f>IF(ISNUMBER(J88), $B91 * K88, "")</f>
        <v>-4516.1290322580644</v>
      </c>
      <c r="M88" s="31">
        <v>147</v>
      </c>
      <c r="N88" s="32">
        <f t="shared" si="45"/>
        <v>-5.1612903225806452E-2</v>
      </c>
      <c r="O88" s="18">
        <f>IF(ISNUMBER(M88), $B91 * N88, "")</f>
        <v>-5161.2903225806449</v>
      </c>
      <c r="Q88" s="216"/>
      <c r="R88" s="216"/>
      <c r="S88" s="216"/>
    </row>
    <row r="89" spans="1:19">
      <c r="A89" s="125" t="s">
        <v>174</v>
      </c>
      <c r="B89" s="126">
        <v>242</v>
      </c>
      <c r="C89" s="77">
        <v>0</v>
      </c>
      <c r="D89" s="15">
        <v>227</v>
      </c>
      <c r="E89" s="32">
        <f t="shared" si="42"/>
        <v>-6.1983471074380167E-2</v>
      </c>
      <c r="F89" s="18">
        <f>IF(ISNUMBER(D89), $B91 * E89, "")</f>
        <v>-6198.3471074380168</v>
      </c>
      <c r="G89" s="31">
        <v>217</v>
      </c>
      <c r="H89" s="32">
        <f t="shared" si="43"/>
        <v>-0.10330578512396695</v>
      </c>
      <c r="I89" s="101">
        <f>IF(ISNUMBER(G89), $B91 * H89, "")</f>
        <v>-10330.578512396694</v>
      </c>
      <c r="J89" s="15">
        <v>218</v>
      </c>
      <c r="K89" s="32">
        <f t="shared" si="44"/>
        <v>-9.9173553719008267E-2</v>
      </c>
      <c r="L89" s="18">
        <f>IF(ISNUMBER(J89), $B91 * K89, "")</f>
        <v>-9917.3553719008269</v>
      </c>
      <c r="M89" s="31">
        <v>218</v>
      </c>
      <c r="N89" s="32">
        <f t="shared" si="45"/>
        <v>-9.9173553719008267E-2</v>
      </c>
      <c r="O89" s="18">
        <f>IF(ISNUMBER(M89), $B91 * N89, "")</f>
        <v>-9917.3553719008269</v>
      </c>
      <c r="Q89" s="205"/>
      <c r="R89" s="206"/>
      <c r="S89" s="207"/>
    </row>
    <row r="90" spans="1:19" ht="17.25" thickBot="1">
      <c r="A90" s="130" t="s">
        <v>90</v>
      </c>
      <c r="B90" s="131">
        <v>774</v>
      </c>
      <c r="C90" s="79">
        <v>-1.2903226E-3</v>
      </c>
      <c r="D90" s="24">
        <v>751</v>
      </c>
      <c r="E90" s="25">
        <f t="shared" si="42"/>
        <v>-2.9715762273901807E-2</v>
      </c>
      <c r="F90" s="104">
        <f>IF(ISNUMBER(D90), $B91 * E90, "")</f>
        <v>-2971.5762273901805</v>
      </c>
      <c r="G90" s="102">
        <v>737</v>
      </c>
      <c r="H90" s="25">
        <f t="shared" si="43"/>
        <v>-4.7803617571059429E-2</v>
      </c>
      <c r="I90" s="103">
        <f>IF(ISNUMBER(G90), $B91 * H90, "")</f>
        <v>-4780.3617571059431</v>
      </c>
      <c r="J90" s="24">
        <v>738</v>
      </c>
      <c r="K90" s="25">
        <f t="shared" si="44"/>
        <v>-4.6511627906976744E-2</v>
      </c>
      <c r="L90" s="104">
        <f>IF(ISNUMBER(J90), $B91 * K90, "")</f>
        <v>-4651.1627906976746</v>
      </c>
      <c r="M90" s="102">
        <v>746</v>
      </c>
      <c r="N90" s="25">
        <f t="shared" si="45"/>
        <v>-3.6175710594315243E-2</v>
      </c>
      <c r="O90" s="104">
        <f>IF(ISNUMBER(M90), $B91 * N90, "")</f>
        <v>-3617.5710594315242</v>
      </c>
      <c r="Q90" s="208"/>
      <c r="R90" s="209"/>
      <c r="S90" s="210"/>
    </row>
    <row r="91" spans="1:19" ht="17.25" thickBot="1">
      <c r="A91" s="132" t="s">
        <v>271</v>
      </c>
      <c r="B91" s="269">
        <f>$B$37</f>
        <v>100000</v>
      </c>
      <c r="C91" s="270"/>
      <c r="D91" s="26" t="s">
        <v>272</v>
      </c>
      <c r="E91" s="27">
        <f>IF(COUNT(E71:E90), SUM(E71:E90) / COUNT(E71:E90), 0)</f>
        <v>-7.3350754799115254E-3</v>
      </c>
      <c r="F91" s="28">
        <f>SUM(F71:F90)</f>
        <v>-14670.15095982305</v>
      </c>
      <c r="G91" s="26" t="s">
        <v>272</v>
      </c>
      <c r="H91" s="27">
        <f>IF(COUNT(H71:H90), SUM(H71:H90) / COUNT(H71:H90), 0)</f>
        <v>-5.7932078713571131E-2</v>
      </c>
      <c r="I91" s="28">
        <f>SUM(I71:I90)</f>
        <v>-115864.15742714227</v>
      </c>
      <c r="J91" s="26" t="s">
        <v>272</v>
      </c>
      <c r="K91" s="27">
        <f>IF(COUNT(K71:K90), SUM(K71:K90) / COUNT(K71:K90), 0)</f>
        <v>-5.6926838528032396E-2</v>
      </c>
      <c r="L91" s="28">
        <f>SUM(L71:L90)</f>
        <v>-113853.67705606477</v>
      </c>
      <c r="M91" s="26" t="s">
        <v>272</v>
      </c>
      <c r="N91" s="27">
        <f>IF(COUNT(N71:N90), SUM(N71:N90) / COUNT(N71:N90), 0)</f>
        <v>-5.7063354059079599E-2</v>
      </c>
      <c r="O91" s="28">
        <f>SUM(O71:O90)</f>
        <v>-114126.70811815921</v>
      </c>
      <c r="Q91" s="211"/>
      <c r="R91" s="212"/>
      <c r="S91" s="213"/>
    </row>
    <row r="93" spans="1:19" ht="17.25" thickBot="1"/>
    <row r="94" spans="1:19" ht="17.25" thickBot="1">
      <c r="A94" s="227" t="s">
        <v>46</v>
      </c>
      <c r="B94" s="228"/>
      <c r="C94" s="228"/>
      <c r="D94" s="228"/>
      <c r="E94" s="228"/>
      <c r="F94" s="228"/>
      <c r="G94" s="228"/>
      <c r="H94" s="228"/>
      <c r="I94" s="228"/>
      <c r="J94" s="228"/>
      <c r="K94" s="228"/>
      <c r="L94" s="228"/>
      <c r="M94" s="228"/>
      <c r="N94" s="228"/>
      <c r="O94" s="229"/>
      <c r="Q94" s="226"/>
      <c r="R94" s="226"/>
      <c r="S94" s="226"/>
    </row>
    <row r="95" spans="1:19" ht="17.25" thickBot="1">
      <c r="A95" s="185" t="s">
        <v>268</v>
      </c>
      <c r="B95" s="227" t="s">
        <v>49</v>
      </c>
      <c r="C95" s="229"/>
      <c r="D95" s="227" t="s">
        <v>58</v>
      </c>
      <c r="E95" s="228"/>
      <c r="F95" s="229"/>
      <c r="G95" s="230">
        <f>_xlfn.IFNA(VLOOKUP(B95, 현재가테이블!$B$2:$D$200, 2, FALSE), "-")</f>
        <v>39916000</v>
      </c>
      <c r="H95" s="231"/>
      <c r="I95" s="232"/>
      <c r="J95" s="227" t="s">
        <v>59</v>
      </c>
      <c r="K95" s="228"/>
      <c r="L95" s="229"/>
      <c r="M95" s="233">
        <f>_xlfn.IFNA(VLOOKUP(B95, 현재가테이블!$B$2:$D$200, 3, FALSE), "-")</f>
        <v>7.3184273000000003E-3</v>
      </c>
      <c r="N95" s="234"/>
      <c r="O95" s="235"/>
      <c r="Q95" s="226"/>
      <c r="R95" s="226"/>
      <c r="S95" s="226"/>
    </row>
    <row r="96" spans="1:19" ht="17.25" thickBot="1">
      <c r="A96" s="271" t="s">
        <v>55</v>
      </c>
      <c r="B96" s="267" t="str">
        <f>TEXT($G$1, "[$-ko-KR]yyyy-mm-dd(ddd) ") &amp; "오전 00:00"</f>
        <v>2021-07-08(목) 오전 00:00</v>
      </c>
      <c r="C96" s="268"/>
      <c r="D96" s="240" t="str">
        <f>TEXT($G$1, "[$-ko-KR]yyyy-mm-dd(ddd) ") &amp; "오후 14:00"</f>
        <v>2021-07-08(목) 오후 14:00</v>
      </c>
      <c r="E96" s="241"/>
      <c r="F96" s="242"/>
      <c r="G96" s="240" t="str">
        <f>TEXT($G$1, "[$-ko-KR]yyyy-mm-dd(ddd) ") &amp; "오후 19:00"</f>
        <v>2021-07-08(목) 오후 19:00</v>
      </c>
      <c r="H96" s="241"/>
      <c r="I96" s="242"/>
      <c r="J96" s="240" t="str">
        <f>TEXT($G$1, "[$-ko-KR]yyyy-mm-dd(ddd) ") &amp; "오후 21:00"</f>
        <v>2021-07-08(목) 오후 21:00</v>
      </c>
      <c r="K96" s="241"/>
      <c r="L96" s="242"/>
      <c r="M96" s="240" t="str">
        <f>TEXT($G$1+1, "[$-ko-KR]yyyy-mm-dd(ddd) ") &amp; "오전 00:00"</f>
        <v>2021-07-09(금) 오전 00:00</v>
      </c>
      <c r="N96" s="241"/>
      <c r="O96" s="242"/>
      <c r="Q96" s="226"/>
      <c r="R96" s="226"/>
      <c r="S96" s="226"/>
    </row>
    <row r="97" spans="1:19" ht="17.25" thickBot="1">
      <c r="A97" s="27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6" t="s">
        <v>58</v>
      </c>
      <c r="H97" s="187" t="s">
        <v>269</v>
      </c>
      <c r="I97" s="18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6"/>
      <c r="R97" s="216"/>
      <c r="S97" s="216"/>
    </row>
    <row r="98" spans="1:19" ht="17.25" thickBot="1">
      <c r="A98" s="123" t="s">
        <v>154</v>
      </c>
      <c r="B98" s="124">
        <v>17210</v>
      </c>
      <c r="C98" s="76">
        <v>0.359399684</v>
      </c>
      <c r="D98" s="13">
        <v>17020</v>
      </c>
      <c r="E98" s="14">
        <f>IF(ISNUMBER(D98), (D98 - $B98) / $B98, "")</f>
        <v>-1.1040092969203951E-2</v>
      </c>
      <c r="F98" s="16">
        <f>IF(ISNUMBER(D98), $B118 * E98, "")</f>
        <v>-1104.0092969203952</v>
      </c>
      <c r="G98" s="29">
        <v>15670</v>
      </c>
      <c r="H98" s="14">
        <f>IF(ISNUMBER(G98), (G98 - $B98) / $B98, "")</f>
        <v>-8.9482858803021495E-2</v>
      </c>
      <c r="I98" s="100">
        <f>IF(ISNUMBER(G98), $B118 * H98, "")</f>
        <v>-8948.28588030215</v>
      </c>
      <c r="J98" s="13">
        <v>15580</v>
      </c>
      <c r="K98" s="14">
        <f>IF(ISNUMBER(J98), (J98 - $B98) / $B98, "")</f>
        <v>-9.4712376525276004E-2</v>
      </c>
      <c r="L98" s="16">
        <f>IF(ISNUMBER(J98), $B118 * K98, "")</f>
        <v>-9471.2376525276013</v>
      </c>
      <c r="M98" s="29">
        <v>14820</v>
      </c>
      <c r="N98" s="14">
        <f>IF(ISNUMBER(M98), (M98 - $B98) / $B98, "")</f>
        <v>-0.13887274840209179</v>
      </c>
      <c r="O98" s="16">
        <f>IF(ISNUMBER(M98), $B118 * N98, "")</f>
        <v>-13887.27484020918</v>
      </c>
      <c r="Q98" s="226"/>
      <c r="R98" s="226"/>
      <c r="S98" s="226"/>
    </row>
    <row r="99" spans="1:19" ht="17.25" thickBot="1">
      <c r="A99" s="125" t="s">
        <v>114</v>
      </c>
      <c r="B99" s="126">
        <v>480</v>
      </c>
      <c r="C99" s="77">
        <v>0.33333333329999998</v>
      </c>
      <c r="D99" s="15">
        <v>612</v>
      </c>
      <c r="E99" s="32">
        <f t="shared" ref="E99:E102" si="46">IF(ISNUMBER(D99), (D99 - $B99) / $B99, "")</f>
        <v>0.27500000000000002</v>
      </c>
      <c r="F99" s="18">
        <f>IF(ISNUMBER(D99), $B118 * E99, "")</f>
        <v>27500.000000000004</v>
      </c>
      <c r="G99" s="31">
        <v>548</v>
      </c>
      <c r="H99" s="32">
        <f t="shared" ref="H99:H102" si="47">IF(ISNUMBER(G99), (G99 - $B99) / $B99, "")</f>
        <v>0.14166666666666666</v>
      </c>
      <c r="I99" s="101">
        <f>IF(ISNUMBER(G99), $B118 * H99, "")</f>
        <v>14166.666666666666</v>
      </c>
      <c r="J99" s="15">
        <v>545</v>
      </c>
      <c r="K99" s="32">
        <f t="shared" ref="K99:K102" si="48">IF(ISNUMBER(J99), (J99 - $B99) / $B99, "")</f>
        <v>0.13541666666666666</v>
      </c>
      <c r="L99" s="18">
        <f>IF(ISNUMBER(J99), $B118 * K99, "")</f>
        <v>13541.666666666666</v>
      </c>
      <c r="M99" s="31">
        <v>514</v>
      </c>
      <c r="N99" s="32">
        <f t="shared" ref="N99:N102" si="49">IF(ISNUMBER(M99), (M99 - $B99) / $B99, "")</f>
        <v>7.0833333333333331E-2</v>
      </c>
      <c r="O99" s="18">
        <f>IF(ISNUMBER(M99), $B118 * N99, "")</f>
        <v>7083.333333333333</v>
      </c>
      <c r="Q99" s="226"/>
      <c r="R99" s="226"/>
      <c r="S99" s="226"/>
    </row>
    <row r="100" spans="1:19" ht="17.25" thickBot="1">
      <c r="A100" s="125" t="s">
        <v>198</v>
      </c>
      <c r="B100" s="126">
        <v>17570</v>
      </c>
      <c r="C100" s="77">
        <v>0.2722664736</v>
      </c>
      <c r="D100" s="15">
        <v>20640</v>
      </c>
      <c r="E100" s="32">
        <f t="shared" si="46"/>
        <v>0.17472965281730221</v>
      </c>
      <c r="F100" s="18">
        <f>IF(ISNUMBER(D100), $B118 * E100, "")</f>
        <v>17472.965281730219</v>
      </c>
      <c r="G100" s="31">
        <v>17470</v>
      </c>
      <c r="H100" s="32">
        <f t="shared" si="47"/>
        <v>-5.6915196357427431E-3</v>
      </c>
      <c r="I100" s="101">
        <f>IF(ISNUMBER(G100), $B118 * H100, "")</f>
        <v>-569.1519635742743</v>
      </c>
      <c r="J100" s="15">
        <v>17400</v>
      </c>
      <c r="K100" s="32">
        <f t="shared" si="48"/>
        <v>-9.6755833807626642E-3</v>
      </c>
      <c r="L100" s="18">
        <f>IF(ISNUMBER(J100), $B118 * K100, "")</f>
        <v>-967.55833807626641</v>
      </c>
      <c r="M100" s="31">
        <v>16730</v>
      </c>
      <c r="N100" s="32">
        <f t="shared" si="49"/>
        <v>-4.7808764940239043E-2</v>
      </c>
      <c r="O100" s="18">
        <f>IF(ISNUMBER(M100), $B118 * N100, "")</f>
        <v>-4780.8764940239043</v>
      </c>
      <c r="Q100" s="216"/>
      <c r="R100" s="216"/>
      <c r="S100" s="216"/>
    </row>
    <row r="101" spans="1:19" ht="17.25" thickBot="1">
      <c r="A101" s="125" t="s">
        <v>61</v>
      </c>
      <c r="B101" s="126">
        <v>844</v>
      </c>
      <c r="C101" s="77">
        <v>0.17877094969999999</v>
      </c>
      <c r="D101" s="15">
        <v>932</v>
      </c>
      <c r="E101" s="32">
        <f t="shared" si="46"/>
        <v>0.10426540284360189</v>
      </c>
      <c r="F101" s="18">
        <f>IF(ISNUMBER(D101), $B118 * E101, "")</f>
        <v>10426.54028436019</v>
      </c>
      <c r="G101" s="31">
        <v>872</v>
      </c>
      <c r="H101" s="32">
        <f t="shared" si="47"/>
        <v>3.3175355450236969E-2</v>
      </c>
      <c r="I101" s="101">
        <f>IF(ISNUMBER(G101), $B118 * H101, "")</f>
        <v>3317.5355450236971</v>
      </c>
      <c r="J101" s="15">
        <v>868</v>
      </c>
      <c r="K101" s="32">
        <f t="shared" si="48"/>
        <v>2.843601895734597E-2</v>
      </c>
      <c r="L101" s="18">
        <f>IF(ISNUMBER(J101), $B118 * K101, "")</f>
        <v>2843.6018957345968</v>
      </c>
      <c r="M101" s="31">
        <v>814</v>
      </c>
      <c r="N101" s="32">
        <f t="shared" si="49"/>
        <v>-3.5545023696682464E-2</v>
      </c>
      <c r="O101" s="18">
        <f>IF(ISNUMBER(M101), $B118 * N101, "")</f>
        <v>-3554.5023696682465</v>
      </c>
      <c r="Q101" s="216"/>
      <c r="R101" s="216"/>
      <c r="S101" s="216"/>
    </row>
    <row r="102" spans="1:19" ht="17.25" thickBot="1">
      <c r="A102" s="127" t="s">
        <v>156</v>
      </c>
      <c r="B102" s="128">
        <v>1565</v>
      </c>
      <c r="C102" s="78">
        <v>0.14233576640000001</v>
      </c>
      <c r="D102" s="20">
        <v>1670</v>
      </c>
      <c r="E102" s="21">
        <f t="shared" si="46"/>
        <v>6.7092651757188496E-2</v>
      </c>
      <c r="F102" s="22">
        <f>IF(ISNUMBER(D102), $B118 * E102, "")</f>
        <v>6709.2651757188496</v>
      </c>
      <c r="G102" s="30">
        <v>1530</v>
      </c>
      <c r="H102" s="21">
        <f t="shared" si="47"/>
        <v>-2.2364217252396165E-2</v>
      </c>
      <c r="I102" s="105">
        <f>IF(ISNUMBER(G102), $B118 * H102, "")</f>
        <v>-2236.4217252396165</v>
      </c>
      <c r="J102" s="20">
        <v>1525</v>
      </c>
      <c r="K102" s="21">
        <f t="shared" si="48"/>
        <v>-2.5559105431309903E-2</v>
      </c>
      <c r="L102" s="22">
        <f>IF(ISNUMBER(J102), $B118 * K102, "")</f>
        <v>-2555.9105431309904</v>
      </c>
      <c r="M102" s="30">
        <v>1505</v>
      </c>
      <c r="N102" s="21">
        <f t="shared" si="49"/>
        <v>-3.8338658146964855E-2</v>
      </c>
      <c r="O102" s="22">
        <f>IF(ISNUMBER(M102), $B118 * N102, "")</f>
        <v>-3833.8658146964854</v>
      </c>
      <c r="Q102" s="216"/>
      <c r="R102" s="216"/>
      <c r="S102" s="216"/>
    </row>
    <row r="103" spans="1:19" ht="17.25" thickBot="1">
      <c r="A103" s="125" t="s">
        <v>168</v>
      </c>
      <c r="B103" s="129">
        <v>1160</v>
      </c>
      <c r="C103" s="80">
        <v>0.1317073171</v>
      </c>
      <c r="D103" s="106">
        <v>1340</v>
      </c>
      <c r="E103" s="107">
        <f>IF(ISNUMBER(D103), (D103 - $B103) / $B103, "")</f>
        <v>0.15517241379310345</v>
      </c>
      <c r="F103" s="108">
        <f>IF(ISNUMBER(D103), $B118 * E103, "")</f>
        <v>15517.241379310346</v>
      </c>
      <c r="G103" s="109">
        <v>1220</v>
      </c>
      <c r="H103" s="107">
        <f>IF(ISNUMBER(G103), (G103 - $B103) / $B103, "")</f>
        <v>5.1724137931034482E-2</v>
      </c>
      <c r="I103" s="110">
        <f>IF(ISNUMBER(G103), $B118 * H103, "")</f>
        <v>5172.4137931034484</v>
      </c>
      <c r="J103" s="106">
        <v>1240</v>
      </c>
      <c r="K103" s="107">
        <f>IF(ISNUMBER(J103), (J103 - $B103) / $B103, "")</f>
        <v>6.8965517241379309E-2</v>
      </c>
      <c r="L103" s="108">
        <f>IF(ISNUMBER(J103), $B118 * K103, "")</f>
        <v>6896.5517241379312</v>
      </c>
      <c r="M103" s="109">
        <v>1310</v>
      </c>
      <c r="N103" s="107">
        <f>IF(ISNUMBER(M103), (M103 - $B103) / $B103, "")</f>
        <v>0.12931034482758622</v>
      </c>
      <c r="O103" s="108">
        <f>IF(ISNUMBER(M103), $B118 * N103, "")</f>
        <v>12931.034482758621</v>
      </c>
      <c r="Q103" s="216"/>
      <c r="R103" s="216"/>
      <c r="S103" s="216"/>
    </row>
    <row r="104" spans="1:19" ht="17.25" thickBot="1">
      <c r="A104" s="125" t="s">
        <v>86</v>
      </c>
      <c r="B104" s="126">
        <v>314</v>
      </c>
      <c r="C104" s="77">
        <v>0.109540636</v>
      </c>
      <c r="D104" s="15">
        <v>324</v>
      </c>
      <c r="E104" s="32">
        <f t="shared" ref="E104:E107" si="50">IF(ISNUMBER(D104), (D104 - $B104) / $B104, "")</f>
        <v>3.1847133757961783E-2</v>
      </c>
      <c r="F104" s="18">
        <f>IF(ISNUMBER(D104), $B118 * E104, "")</f>
        <v>3184.7133757961783</v>
      </c>
      <c r="G104" s="31">
        <v>302</v>
      </c>
      <c r="H104" s="32">
        <f t="shared" ref="H104:H107" si="51">IF(ISNUMBER(G104), (G104 - $B104) / $B104, "")</f>
        <v>-3.8216560509554139E-2</v>
      </c>
      <c r="I104" s="101">
        <f>IF(ISNUMBER(G104), $B118 * H104, "")</f>
        <v>-3821.6560509554138</v>
      </c>
      <c r="J104" s="15">
        <v>303</v>
      </c>
      <c r="K104" s="32">
        <f t="shared" ref="K104:K107" si="52">IF(ISNUMBER(J104), (J104 - $B104) / $B104, "")</f>
        <v>-3.5031847133757961E-2</v>
      </c>
      <c r="L104" s="18">
        <f>IF(ISNUMBER(J104), $B118 * K104, "")</f>
        <v>-3503.184713375796</v>
      </c>
      <c r="M104" s="31">
        <v>300</v>
      </c>
      <c r="N104" s="32">
        <f t="shared" ref="N104:N107" si="53">IF(ISNUMBER(M104), (M104 - $B104) / $B104, "")</f>
        <v>-4.4585987261146494E-2</v>
      </c>
      <c r="O104" s="18">
        <f>IF(ISNUMBER(M104), $B118 * N104, "")</f>
        <v>-4458.5987261146493</v>
      </c>
      <c r="Q104" s="216"/>
      <c r="R104" s="216"/>
      <c r="S104" s="216"/>
    </row>
    <row r="105" spans="1:19" ht="17.25" thickBot="1">
      <c r="A105" s="125" t="s">
        <v>196</v>
      </c>
      <c r="B105" s="126">
        <v>3690</v>
      </c>
      <c r="C105" s="77">
        <v>0.1047904192</v>
      </c>
      <c r="D105" s="15">
        <v>3815</v>
      </c>
      <c r="E105" s="32">
        <f t="shared" si="50"/>
        <v>3.3875338753387531E-2</v>
      </c>
      <c r="F105" s="18">
        <f>IF(ISNUMBER(D105), $B118 * E105, "")</f>
        <v>3387.5338753387532</v>
      </c>
      <c r="G105" s="31">
        <v>3260</v>
      </c>
      <c r="H105" s="32">
        <f t="shared" si="51"/>
        <v>-0.11653116531165311</v>
      </c>
      <c r="I105" s="101">
        <f>IF(ISNUMBER(G105), $B118 * H105, "")</f>
        <v>-11653.116531165311</v>
      </c>
      <c r="J105" s="15">
        <v>3245</v>
      </c>
      <c r="K105" s="32">
        <f t="shared" si="52"/>
        <v>-0.12059620596205962</v>
      </c>
      <c r="L105" s="18">
        <f>IF(ISNUMBER(J105), $B118 * K105, "")</f>
        <v>-12059.620596205963</v>
      </c>
      <c r="M105" s="31">
        <v>3260</v>
      </c>
      <c r="N105" s="32">
        <f t="shared" si="53"/>
        <v>-0.11653116531165311</v>
      </c>
      <c r="O105" s="18">
        <f>IF(ISNUMBER(M105), $B118 * N105, "")</f>
        <v>-11653.116531165311</v>
      </c>
      <c r="Q105" s="216"/>
      <c r="R105" s="216"/>
      <c r="S105" s="216"/>
    </row>
    <row r="106" spans="1:19" ht="17.25" thickBot="1">
      <c r="A106" s="125" t="s">
        <v>104</v>
      </c>
      <c r="B106" s="126">
        <v>923</v>
      </c>
      <c r="C106" s="77">
        <v>0.1027479092</v>
      </c>
      <c r="D106" s="15">
        <v>886</v>
      </c>
      <c r="E106" s="32">
        <f t="shared" si="50"/>
        <v>-4.008667388949079E-2</v>
      </c>
      <c r="F106" s="18">
        <f>IF(ISNUMBER(D106), $B118 * E106, "")</f>
        <v>-4008.6673889490789</v>
      </c>
      <c r="G106" s="31">
        <v>861</v>
      </c>
      <c r="H106" s="32">
        <f t="shared" si="51"/>
        <v>-6.7172264355362943E-2</v>
      </c>
      <c r="I106" s="101">
        <f>IF(ISNUMBER(G106), $B118 * H106, "")</f>
        <v>-6717.226435536294</v>
      </c>
      <c r="J106" s="15">
        <v>865</v>
      </c>
      <c r="K106" s="32">
        <f t="shared" si="52"/>
        <v>-6.2838569880823397E-2</v>
      </c>
      <c r="L106" s="18">
        <f>IF(ISNUMBER(J106), $B118 * K106, "")</f>
        <v>-6283.8569880823397</v>
      </c>
      <c r="M106" s="31">
        <v>871</v>
      </c>
      <c r="N106" s="32">
        <f t="shared" si="53"/>
        <v>-5.6338028169014086E-2</v>
      </c>
      <c r="O106" s="18">
        <f>IF(ISNUMBER(M106), $B118 * N106, "")</f>
        <v>-5633.8028169014087</v>
      </c>
      <c r="Q106" s="33"/>
      <c r="R106" s="33"/>
    </row>
    <row r="107" spans="1:19" ht="17.25" thickBot="1">
      <c r="A107" s="130" t="s">
        <v>237</v>
      </c>
      <c r="B107" s="131">
        <v>493</v>
      </c>
      <c r="C107" s="79">
        <v>0.1004464286</v>
      </c>
      <c r="D107" s="24">
        <v>453</v>
      </c>
      <c r="E107" s="25">
        <f t="shared" si="50"/>
        <v>-8.1135902636916835E-2</v>
      </c>
      <c r="F107" s="104">
        <f>IF(ISNUMBER(D107), $B118 * E107, "")</f>
        <v>-8113.5902636916835</v>
      </c>
      <c r="G107" s="102">
        <v>440</v>
      </c>
      <c r="H107" s="25">
        <f t="shared" si="51"/>
        <v>-0.10750507099391481</v>
      </c>
      <c r="I107" s="103">
        <f>IF(ISNUMBER(G107), $B118 * H107, "")</f>
        <v>-10750.507099391481</v>
      </c>
      <c r="J107" s="24">
        <v>440</v>
      </c>
      <c r="K107" s="25">
        <f t="shared" si="52"/>
        <v>-0.10750507099391481</v>
      </c>
      <c r="L107" s="104">
        <f>IF(ISNUMBER(J107), $B118 * K107, "")</f>
        <v>-10750.507099391481</v>
      </c>
      <c r="M107" s="102">
        <v>442</v>
      </c>
      <c r="N107" s="25">
        <f t="shared" si="53"/>
        <v>-0.10344827586206896</v>
      </c>
      <c r="O107" s="104">
        <f>IF(ISNUMBER(M107), $B118 * N107, "")</f>
        <v>-10344.827586206897</v>
      </c>
      <c r="Q107" s="217"/>
      <c r="R107" s="218"/>
      <c r="S107" s="219"/>
    </row>
    <row r="108" spans="1:19">
      <c r="A108" s="123" t="s">
        <v>212</v>
      </c>
      <c r="B108" s="124">
        <v>1160</v>
      </c>
      <c r="C108" s="76">
        <v>9.9526066400000002E-2</v>
      </c>
      <c r="D108" s="13">
        <v>1200</v>
      </c>
      <c r="E108" s="14">
        <f>IF(ISNUMBER(D108), (D108 - $B108) / $B108, "")</f>
        <v>3.4482758620689655E-2</v>
      </c>
      <c r="F108" s="16">
        <f>IF(ISNUMBER(D108), $B118 * E108, "")</f>
        <v>3448.2758620689656</v>
      </c>
      <c r="G108" s="29">
        <v>1070</v>
      </c>
      <c r="H108" s="14">
        <f>IF(ISNUMBER(G108), (G108 - $B108) / $B108, "")</f>
        <v>-7.7586206896551727E-2</v>
      </c>
      <c r="I108" s="100">
        <f>IF(ISNUMBER(G108), $B118 * H108, "")</f>
        <v>-7758.620689655173</v>
      </c>
      <c r="J108" s="13">
        <v>1060</v>
      </c>
      <c r="K108" s="14">
        <f>IF(ISNUMBER(J108), (J108 - $B108) / $B108, "")</f>
        <v>-8.6206896551724144E-2</v>
      </c>
      <c r="L108" s="16">
        <f>IF(ISNUMBER(J108), $B118 * K108, "")</f>
        <v>-8620.6896551724149</v>
      </c>
      <c r="M108" s="29">
        <v>1080</v>
      </c>
      <c r="N108" s="14">
        <f>IF(ISNUMBER(M108), (M108 - $B108) / $B108, "")</f>
        <v>-6.8965517241379309E-2</v>
      </c>
      <c r="O108" s="16">
        <f>IF(ISNUMBER(M108), $B118 * N108, "")</f>
        <v>-6896.5517241379312</v>
      </c>
      <c r="Q108" s="220"/>
      <c r="R108" s="221"/>
      <c r="S108" s="222"/>
    </row>
    <row r="109" spans="1:19" ht="17.25" thickBot="1">
      <c r="A109" s="125" t="s">
        <v>160</v>
      </c>
      <c r="B109" s="126">
        <v>1225</v>
      </c>
      <c r="C109" s="77">
        <v>9.8654708499999993E-2</v>
      </c>
      <c r="D109" s="15">
        <v>1130</v>
      </c>
      <c r="E109" s="32">
        <f t="shared" ref="E109:E112" si="54">IF(ISNUMBER(D109), (D109 - $B109) / $B109, "")</f>
        <v>-7.7551020408163265E-2</v>
      </c>
      <c r="F109" s="18">
        <f>IF(ISNUMBER(D109), $B118 * E109, "")</f>
        <v>-7755.1020408163267</v>
      </c>
      <c r="G109" s="31">
        <v>1095</v>
      </c>
      <c r="H109" s="32">
        <f t="shared" ref="H109:H112" si="55">IF(ISNUMBER(G109), (G109 - $B109) / $B109, "")</f>
        <v>-0.10612244897959183</v>
      </c>
      <c r="I109" s="101">
        <f>IF(ISNUMBER(G109), $B118 * H109, "")</f>
        <v>-10612.244897959183</v>
      </c>
      <c r="J109" s="15">
        <v>1100</v>
      </c>
      <c r="K109" s="32">
        <f t="shared" ref="K109:K112" si="56">IF(ISNUMBER(J109), (J109 - $B109) / $B109, "")</f>
        <v>-0.10204081632653061</v>
      </c>
      <c r="L109" s="18">
        <f>IF(ISNUMBER(J109), $B118 * K109, "")</f>
        <v>-10204.081632653062</v>
      </c>
      <c r="M109" s="31">
        <v>1095</v>
      </c>
      <c r="N109" s="32">
        <f t="shared" ref="N109:N112" si="57">IF(ISNUMBER(M109), (M109 - $B109) / $B109, "")</f>
        <v>-0.10612244897959183</v>
      </c>
      <c r="O109" s="18">
        <f>IF(ISNUMBER(M109), $B118 * N109, "")</f>
        <v>-10612.244897959183</v>
      </c>
      <c r="Q109" s="223"/>
      <c r="R109" s="224"/>
      <c r="S109" s="225"/>
    </row>
    <row r="110" spans="1:19" ht="17.25" thickBot="1">
      <c r="A110" s="125" t="s">
        <v>226</v>
      </c>
      <c r="B110" s="126">
        <v>1505</v>
      </c>
      <c r="C110" s="77">
        <v>9.8540145999999995E-2</v>
      </c>
      <c r="D110" s="15">
        <v>1405</v>
      </c>
      <c r="E110" s="32">
        <f t="shared" si="54"/>
        <v>-6.6445182724252497E-2</v>
      </c>
      <c r="F110" s="18">
        <f>IF(ISNUMBER(D110), $B118 * E110, "")</f>
        <v>-6644.51827242525</v>
      </c>
      <c r="G110" s="31">
        <v>1325</v>
      </c>
      <c r="H110" s="32">
        <f t="shared" si="55"/>
        <v>-0.11960132890365449</v>
      </c>
      <c r="I110" s="101">
        <f>IF(ISNUMBER(G110), $B118 * H110, "")</f>
        <v>-11960.132890365448</v>
      </c>
      <c r="J110" s="15">
        <v>1340</v>
      </c>
      <c r="K110" s="32">
        <f t="shared" si="56"/>
        <v>-0.10963455149501661</v>
      </c>
      <c r="L110" s="18">
        <f>IF(ISNUMBER(J110), $B118 * K110, "")</f>
        <v>-10963.45514950166</v>
      </c>
      <c r="M110" s="31">
        <v>1355</v>
      </c>
      <c r="N110" s="32">
        <f t="shared" si="57"/>
        <v>-9.9667774086378738E-2</v>
      </c>
      <c r="O110" s="18">
        <f>IF(ISNUMBER(M110), $B118 * N110, "")</f>
        <v>-9966.777408637874</v>
      </c>
      <c r="Q110" s="216"/>
      <c r="R110" s="216"/>
      <c r="S110" s="216"/>
    </row>
    <row r="111" spans="1:19" ht="17.25" thickBot="1">
      <c r="A111" s="125" t="s">
        <v>120</v>
      </c>
      <c r="B111" s="126">
        <v>3125</v>
      </c>
      <c r="C111" s="77">
        <v>6.6552900999999998E-2</v>
      </c>
      <c r="D111" s="15">
        <v>2945</v>
      </c>
      <c r="E111" s="32">
        <f t="shared" si="54"/>
        <v>-5.7599999999999998E-2</v>
      </c>
      <c r="F111" s="18">
        <f>IF(ISNUMBER(D111), $B118 * E111, "")</f>
        <v>-5760</v>
      </c>
      <c r="G111" s="31">
        <v>2765</v>
      </c>
      <c r="H111" s="32">
        <f t="shared" si="55"/>
        <v>-0.1152</v>
      </c>
      <c r="I111" s="101">
        <f>IF(ISNUMBER(G111), $B118 * H111, "")</f>
        <v>-11520</v>
      </c>
      <c r="J111" s="15">
        <v>2770</v>
      </c>
      <c r="K111" s="32">
        <f t="shared" si="56"/>
        <v>-0.11360000000000001</v>
      </c>
      <c r="L111" s="18">
        <f>IF(ISNUMBER(J111), $B118 * K111, "")</f>
        <v>-11360</v>
      </c>
      <c r="M111" s="31">
        <v>2810</v>
      </c>
      <c r="N111" s="32">
        <f t="shared" si="57"/>
        <v>-0.1008</v>
      </c>
      <c r="O111" s="18">
        <f>IF(ISNUMBER(M111), $B118 * N111, "")</f>
        <v>-10080</v>
      </c>
      <c r="Q111" s="226"/>
      <c r="R111" s="226"/>
      <c r="S111" s="226"/>
    </row>
    <row r="112" spans="1:19" ht="17.25" thickBot="1">
      <c r="A112" s="127" t="s">
        <v>231</v>
      </c>
      <c r="B112" s="128">
        <v>166</v>
      </c>
      <c r="C112" s="78">
        <v>6.4102564099999995E-2</v>
      </c>
      <c r="D112" s="20">
        <v>176</v>
      </c>
      <c r="E112" s="21">
        <f t="shared" si="54"/>
        <v>6.0240963855421686E-2</v>
      </c>
      <c r="F112" s="22">
        <f>IF(ISNUMBER(D112), $B118 * E112, "")</f>
        <v>6024.0963855421687</v>
      </c>
      <c r="G112" s="30">
        <v>155</v>
      </c>
      <c r="H112" s="21">
        <f t="shared" si="55"/>
        <v>-6.6265060240963861E-2</v>
      </c>
      <c r="I112" s="105">
        <f>IF(ISNUMBER(G112), $B118 * H112, "")</f>
        <v>-6626.5060240963858</v>
      </c>
      <c r="J112" s="20">
        <v>156</v>
      </c>
      <c r="K112" s="21">
        <f t="shared" si="56"/>
        <v>-6.0240963855421686E-2</v>
      </c>
      <c r="L112" s="22">
        <f>IF(ISNUMBER(J112), $B118 * K112, "")</f>
        <v>-6024.0963855421687</v>
      </c>
      <c r="M112" s="30">
        <v>156</v>
      </c>
      <c r="N112" s="21">
        <f t="shared" si="57"/>
        <v>-6.0240963855421686E-2</v>
      </c>
      <c r="O112" s="22">
        <f>IF(ISNUMBER(M112), $B118 * N112, "")</f>
        <v>-6024.0963855421687</v>
      </c>
      <c r="Q112" s="226"/>
      <c r="R112" s="226"/>
      <c r="S112" s="226"/>
    </row>
    <row r="113" spans="1:19" ht="17.25" thickBot="1">
      <c r="A113" s="125" t="s">
        <v>80</v>
      </c>
      <c r="B113" s="129">
        <v>733</v>
      </c>
      <c r="C113" s="80">
        <v>6.0781476100000002E-2</v>
      </c>
      <c r="D113" s="106">
        <v>704</v>
      </c>
      <c r="E113" s="107">
        <f>IF(ISNUMBER(D113), (D113 - $B113) / $B113, "")</f>
        <v>-3.9563437926330151E-2</v>
      </c>
      <c r="F113" s="108">
        <f>IF(ISNUMBER(D113), $B118 * E113, "")</f>
        <v>-3956.3437926330153</v>
      </c>
      <c r="G113" s="109">
        <v>684</v>
      </c>
      <c r="H113" s="107">
        <f>IF(ISNUMBER(G113), (G113 - $B113) / $B113, "")</f>
        <v>-6.6848567530695777E-2</v>
      </c>
      <c r="I113" s="110">
        <f>IF(ISNUMBER(G113), $B118 * H113, "")</f>
        <v>-6684.8567530695773</v>
      </c>
      <c r="J113" s="106">
        <v>683</v>
      </c>
      <c r="K113" s="107">
        <f>IF(ISNUMBER(J113), (J113 - $B113) / $B113, "")</f>
        <v>-6.8212824010914053E-2</v>
      </c>
      <c r="L113" s="108">
        <f>IF(ISNUMBER(J113), $B118 * K113, "")</f>
        <v>-6821.2824010914055</v>
      </c>
      <c r="M113" s="109">
        <v>678</v>
      </c>
      <c r="N113" s="107">
        <f>IF(ISNUMBER(M113), (M113 - $B113) / $B113, "")</f>
        <v>-7.5034106412005461E-2</v>
      </c>
      <c r="O113" s="108">
        <f>IF(ISNUMBER(M113), $B118 * N113, "")</f>
        <v>-7503.4106412005458</v>
      </c>
      <c r="Q113" s="216"/>
      <c r="R113" s="216"/>
      <c r="S113" s="216"/>
    </row>
    <row r="114" spans="1:19" ht="17.25" thickBot="1">
      <c r="A114" s="125" t="s">
        <v>251</v>
      </c>
      <c r="B114" s="126">
        <v>65.2</v>
      </c>
      <c r="C114" s="77">
        <v>6.0162601599999997E-2</v>
      </c>
      <c r="D114" s="15">
        <v>62.7</v>
      </c>
      <c r="E114" s="32">
        <f t="shared" ref="E114:E117" si="58">IF(ISNUMBER(D114), (D114 - $B114) / $B114, "")</f>
        <v>-3.834355828220859E-2</v>
      </c>
      <c r="F114" s="18">
        <f>IF(ISNUMBER(D114), $B118 * E114, "")</f>
        <v>-3834.3558282208592</v>
      </c>
      <c r="G114" s="31">
        <v>60.1</v>
      </c>
      <c r="H114" s="32">
        <f t="shared" ref="H114:H117" si="59">IF(ISNUMBER(G114), (G114 - $B114) / $B114, "")</f>
        <v>-7.8220858895705542E-2</v>
      </c>
      <c r="I114" s="101">
        <f>IF(ISNUMBER(G114), $B118 * H114, "")</f>
        <v>-7822.0858895705542</v>
      </c>
      <c r="J114" s="15">
        <v>59.8</v>
      </c>
      <c r="K114" s="32">
        <f t="shared" ref="K114:K117" si="60">IF(ISNUMBER(J114), (J114 - $B114) / $B114, "")</f>
        <v>-8.2822085889570629E-2</v>
      </c>
      <c r="L114" s="18">
        <f>IF(ISNUMBER(J114), $B118 * K114, "")</f>
        <v>-8282.2085889570626</v>
      </c>
      <c r="M114" s="31">
        <v>60.5</v>
      </c>
      <c r="N114" s="32">
        <f t="shared" ref="N114:N117" si="61">IF(ISNUMBER(M114), (M114 - $B114) / $B114, "")</f>
        <v>-7.2085889570552189E-2</v>
      </c>
      <c r="O114" s="18">
        <f>IF(ISNUMBER(M114), $B118 * N114, "")</f>
        <v>-7208.588957055219</v>
      </c>
      <c r="Q114" s="216"/>
      <c r="R114" s="216"/>
      <c r="S114" s="216"/>
    </row>
    <row r="115" spans="1:19" ht="17.25" thickBot="1">
      <c r="A115" s="125" t="s">
        <v>102</v>
      </c>
      <c r="B115" s="126">
        <v>904</v>
      </c>
      <c r="C115" s="77">
        <v>5.97889801E-2</v>
      </c>
      <c r="D115" s="15">
        <v>852</v>
      </c>
      <c r="E115" s="32">
        <f t="shared" si="58"/>
        <v>-5.7522123893805309E-2</v>
      </c>
      <c r="F115" s="18">
        <f>IF(ISNUMBER(D115), $B118 * E115, "")</f>
        <v>-5752.212389380531</v>
      </c>
      <c r="G115" s="31">
        <v>832</v>
      </c>
      <c r="H115" s="32">
        <f t="shared" si="59"/>
        <v>-7.9646017699115043E-2</v>
      </c>
      <c r="I115" s="101">
        <f>IF(ISNUMBER(G115), $B118 * H115, "")</f>
        <v>-7964.6017699115046</v>
      </c>
      <c r="J115" s="15">
        <v>830</v>
      </c>
      <c r="K115" s="32">
        <f t="shared" si="60"/>
        <v>-8.185840707964602E-2</v>
      </c>
      <c r="L115" s="18">
        <f>IF(ISNUMBER(J115), $B118 * K115, "")</f>
        <v>-8185.8407079646022</v>
      </c>
      <c r="M115" s="31">
        <v>844</v>
      </c>
      <c r="N115" s="32">
        <f t="shared" si="61"/>
        <v>-6.637168141592921E-2</v>
      </c>
      <c r="O115" s="18">
        <f>IF(ISNUMBER(M115), $B118 * N115, "")</f>
        <v>-6637.1681415929206</v>
      </c>
      <c r="Q115" s="216"/>
      <c r="R115" s="216"/>
      <c r="S115" s="216"/>
    </row>
    <row r="116" spans="1:19">
      <c r="A116" s="125" t="s">
        <v>136</v>
      </c>
      <c r="B116" s="126">
        <v>2010</v>
      </c>
      <c r="C116" s="77">
        <v>5.7894736799999999E-2</v>
      </c>
      <c r="D116" s="15">
        <v>1890</v>
      </c>
      <c r="E116" s="32">
        <f t="shared" si="58"/>
        <v>-5.9701492537313432E-2</v>
      </c>
      <c r="F116" s="18">
        <f>IF(ISNUMBER(D116), $B118 * E116, "")</f>
        <v>-5970.1492537313434</v>
      </c>
      <c r="G116" s="31">
        <v>1840</v>
      </c>
      <c r="H116" s="32">
        <f t="shared" si="59"/>
        <v>-8.45771144278607E-2</v>
      </c>
      <c r="I116" s="101">
        <f>IF(ISNUMBER(G116), $B118 * H116, "")</f>
        <v>-8457.7114427860706</v>
      </c>
      <c r="J116" s="15">
        <v>1830</v>
      </c>
      <c r="K116" s="32">
        <f t="shared" si="60"/>
        <v>-8.9552238805970144E-2</v>
      </c>
      <c r="L116" s="18">
        <f>IF(ISNUMBER(J116), $B118 * K116, "")</f>
        <v>-8955.2238805970137</v>
      </c>
      <c r="M116" s="31">
        <v>1840</v>
      </c>
      <c r="N116" s="32">
        <f t="shared" si="61"/>
        <v>-8.45771144278607E-2</v>
      </c>
      <c r="O116" s="18">
        <f>IF(ISNUMBER(M116), $B118 * N116, "")</f>
        <v>-8457.7114427860706</v>
      </c>
      <c r="Q116" s="205"/>
      <c r="R116" s="206"/>
      <c r="S116" s="207"/>
    </row>
    <row r="117" spans="1:19" ht="17.25" thickBot="1">
      <c r="A117" s="130" t="s">
        <v>144</v>
      </c>
      <c r="B117" s="131">
        <v>91.9</v>
      </c>
      <c r="C117" s="79">
        <v>5.5109070000000003E-2</v>
      </c>
      <c r="D117" s="24">
        <v>87</v>
      </c>
      <c r="E117" s="25">
        <f t="shared" si="58"/>
        <v>-5.3318824809575685E-2</v>
      </c>
      <c r="F117" s="104">
        <f>IF(ISNUMBER(D117), $B118 * E117, "")</f>
        <v>-5331.8824809575681</v>
      </c>
      <c r="G117" s="102">
        <v>84.8</v>
      </c>
      <c r="H117" s="25">
        <f t="shared" si="59"/>
        <v>-7.7257889009793343E-2</v>
      </c>
      <c r="I117" s="103">
        <f>IF(ISNUMBER(G117), $B118 * H117, "")</f>
        <v>-7725.7889009793344</v>
      </c>
      <c r="J117" s="24">
        <v>84.5</v>
      </c>
      <c r="K117" s="25">
        <f t="shared" si="60"/>
        <v>-8.0522306855277531E-2</v>
      </c>
      <c r="L117" s="104">
        <f>IF(ISNUMBER(J117), $B118 * K117, "")</f>
        <v>-8052.2306855277529</v>
      </c>
      <c r="M117" s="102">
        <v>86</v>
      </c>
      <c r="N117" s="25">
        <f t="shared" si="61"/>
        <v>-6.4200217627856423E-2</v>
      </c>
      <c r="O117" s="104">
        <f>IF(ISNUMBER(M117), $B118 * N117, "")</f>
        <v>-6420.0217627856427</v>
      </c>
      <c r="Q117" s="208"/>
      <c r="R117" s="209"/>
      <c r="S117" s="210"/>
    </row>
    <row r="118" spans="1:19" ht="17.25" thickBot="1">
      <c r="A118" s="132" t="s">
        <v>271</v>
      </c>
      <c r="B118" s="269">
        <f>$B$37</f>
        <v>100000</v>
      </c>
      <c r="C118" s="270"/>
      <c r="D118" s="26" t="s">
        <v>272</v>
      </c>
      <c r="E118" s="27">
        <f>IF(COUNT(E98:E117), SUM(E98:E117) / COUNT(E98:E117), 0)</f>
        <v>1.7719900306069809E-2</v>
      </c>
      <c r="F118" s="28">
        <f>SUM(F98:F117)</f>
        <v>35439.800612139617</v>
      </c>
      <c r="G118" s="26" t="s">
        <v>272</v>
      </c>
      <c r="H118" s="27">
        <f>IF(COUNT(H98:H117), SUM(H98:H117) / COUNT(H98:H117), 0)</f>
        <v>-5.4586149469881974E-2</v>
      </c>
      <c r="I118" s="28">
        <f>SUM(I98:I117)</f>
        <v>-109172.29893976395</v>
      </c>
      <c r="J118" s="26" t="s">
        <v>272</v>
      </c>
      <c r="K118" s="27">
        <f>IF(COUNT(K98:K117), SUM(K98:K117) / COUNT(K98:K117), 0)</f>
        <v>-5.48895823656292E-2</v>
      </c>
      <c r="L118" s="28">
        <f>SUM(L98:L117)</f>
        <v>-109779.16473125838</v>
      </c>
      <c r="M118" s="26" t="s">
        <v>272</v>
      </c>
      <c r="N118" s="27">
        <f>IF(COUNT(N98:N117), SUM(N98:N117) / COUNT(N98:N117), 0)</f>
        <v>-5.8969534362295836E-2</v>
      </c>
      <c r="O118" s="28">
        <f>SUM(O98:O117)</f>
        <v>-117939.06872459171</v>
      </c>
      <c r="Q118" s="211"/>
      <c r="R118" s="212"/>
      <c r="S118" s="213"/>
    </row>
    <row r="120" spans="1:19" ht="17.25" thickBot="1"/>
    <row r="121" spans="1:19" ht="17.25" thickBot="1">
      <c r="A121" s="227" t="s">
        <v>259</v>
      </c>
      <c r="B121" s="228"/>
      <c r="C121" s="228"/>
      <c r="D121" s="228"/>
      <c r="E121" s="228"/>
      <c r="F121" s="228"/>
      <c r="G121" s="228"/>
      <c r="H121" s="228"/>
      <c r="I121" s="228"/>
      <c r="J121" s="228"/>
      <c r="K121" s="228"/>
      <c r="L121" s="228"/>
      <c r="M121" s="228"/>
      <c r="N121" s="228"/>
      <c r="O121" s="229"/>
      <c r="Q121" s="226"/>
      <c r="R121" s="226"/>
      <c r="S121" s="226"/>
    </row>
    <row r="122" spans="1:19" ht="17.25" thickBot="1">
      <c r="A122" s="185" t="s">
        <v>268</v>
      </c>
      <c r="B122" s="227" t="s">
        <v>49</v>
      </c>
      <c r="C122" s="229"/>
      <c r="D122" s="227" t="s">
        <v>58</v>
      </c>
      <c r="E122" s="228"/>
      <c r="F122" s="229"/>
      <c r="G122" s="230">
        <f>_xlfn.IFNA(VLOOKUP(B122, 현재가테이블!$B$2:$D$200, 2, FALSE), "-")</f>
        <v>39916000</v>
      </c>
      <c r="H122" s="231"/>
      <c r="I122" s="232"/>
      <c r="J122" s="227" t="s">
        <v>59</v>
      </c>
      <c r="K122" s="228"/>
      <c r="L122" s="229"/>
      <c r="M122" s="233">
        <f>_xlfn.IFNA(VLOOKUP(B122, 현재가테이블!$B$2:$D$200, 3, FALSE), "-")</f>
        <v>7.3184273000000003E-3</v>
      </c>
      <c r="N122" s="234"/>
      <c r="O122" s="235"/>
      <c r="Q122" s="226"/>
      <c r="R122" s="226"/>
      <c r="S122" s="226"/>
    </row>
    <row r="123" spans="1:19" ht="17.25" thickBot="1">
      <c r="A123" s="271" t="s">
        <v>55</v>
      </c>
      <c r="B123" s="267" t="str">
        <f>TEXT($G$1, "[$-ko-KR]yyyy-mm-dd(ddd) ") &amp; "오전 00:00"</f>
        <v>2021-07-08(목) 오전 00:00</v>
      </c>
      <c r="C123" s="268"/>
      <c r="D123" s="240" t="str">
        <f>TEXT($G$1, "[$-ko-KR]yyyy-mm-dd(ddd) ") &amp; "오후 14:00"</f>
        <v>2021-07-08(목) 오후 14:00</v>
      </c>
      <c r="E123" s="241"/>
      <c r="F123" s="242"/>
      <c r="G123" s="240" t="str">
        <f>TEXT($G$1, "[$-ko-KR]yyyy-mm-dd(ddd) ") &amp; "오후 19:00"</f>
        <v>2021-07-08(목) 오후 19:00</v>
      </c>
      <c r="H123" s="241"/>
      <c r="I123" s="242"/>
      <c r="J123" s="240" t="str">
        <f>TEXT($G$1, "[$-ko-KR]yyyy-mm-dd(ddd) ") &amp; "오후 21:00"</f>
        <v>2021-07-08(목) 오후 21:00</v>
      </c>
      <c r="K123" s="241"/>
      <c r="L123" s="242"/>
      <c r="M123" s="240" t="str">
        <f>TEXT($G$1+1, "[$-ko-KR]yyyy-mm-dd(ddd) ") &amp; "오전 00:00"</f>
        <v>2021-07-09(금) 오전 00:00</v>
      </c>
      <c r="N123" s="241"/>
      <c r="O123" s="242"/>
      <c r="Q123" s="226"/>
      <c r="R123" s="226"/>
      <c r="S123" s="226"/>
    </row>
    <row r="124" spans="1:19" ht="17.25" thickBot="1">
      <c r="A124" s="27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6" t="s">
        <v>58</v>
      </c>
      <c r="H124" s="187" t="s">
        <v>269</v>
      </c>
      <c r="I124" s="18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6"/>
      <c r="R124" s="216"/>
      <c r="S124" s="216"/>
    </row>
    <row r="125" spans="1:19" ht="17.25" thickBot="1">
      <c r="A125" s="123" t="s">
        <v>188</v>
      </c>
      <c r="B125" s="124">
        <v>11.3</v>
      </c>
      <c r="C125" s="76">
        <v>2.7272727300000001E-2</v>
      </c>
      <c r="D125" s="13">
        <v>10.6</v>
      </c>
      <c r="E125" s="14">
        <f>IF(ISNUMBER(D125), (D125 - $B125) / $B125, "")</f>
        <v>-6.1946902654867346E-2</v>
      </c>
      <c r="F125" s="16">
        <f>IF(ISNUMBER(D125), $B145 * E125, "")</f>
        <v>-6194.6902654867345</v>
      </c>
      <c r="G125" s="29">
        <v>10</v>
      </c>
      <c r="H125" s="14">
        <f>IF(ISNUMBER(G125), (G125 - $B125) / $B125, "")</f>
        <v>-0.11504424778761067</v>
      </c>
      <c r="I125" s="100">
        <f>IF(ISNUMBER(G125), $B145 * H125, "")</f>
        <v>-11504.424778761068</v>
      </c>
      <c r="J125" s="13">
        <v>9.99</v>
      </c>
      <c r="K125" s="14">
        <f>IF(ISNUMBER(J125), (J125 - $B125) / $B125, "")</f>
        <v>-0.11592920353982304</v>
      </c>
      <c r="L125" s="16">
        <f>IF(ISNUMBER(J125), $B145 * K125, "")</f>
        <v>-11592.920353982305</v>
      </c>
      <c r="M125" s="29">
        <v>10.199999999999999</v>
      </c>
      <c r="N125" s="14">
        <f>IF(ISNUMBER(M125), (M125 - $B125) / $B125, "")</f>
        <v>-9.7345132743362955E-2</v>
      </c>
      <c r="O125" s="16">
        <f>IF(ISNUMBER(M125), $B145 * N125, "")</f>
        <v>-9734.5132743362956</v>
      </c>
      <c r="Q125" s="226"/>
      <c r="R125" s="226"/>
      <c r="S125" s="226"/>
    </row>
    <row r="126" spans="1:19" ht="17.25" thickBot="1">
      <c r="A126" s="125" t="s">
        <v>98</v>
      </c>
      <c r="B126" s="126">
        <v>3.16</v>
      </c>
      <c r="C126" s="77">
        <v>1.2820512799999999E-2</v>
      </c>
      <c r="D126" s="15">
        <v>3.04</v>
      </c>
      <c r="E126" s="32">
        <f t="shared" ref="E126:E129" si="62">IF(ISNUMBER(D126), (D126 - $B126) / $B126, "")</f>
        <v>-3.7974683544303826E-2</v>
      </c>
      <c r="F126" s="18">
        <f>IF(ISNUMBER(D126), $B145 * E126, "")</f>
        <v>-3797.4683544303825</v>
      </c>
      <c r="G126" s="31">
        <v>2.98</v>
      </c>
      <c r="H126" s="32">
        <f t="shared" ref="H126:H129" si="63">IF(ISNUMBER(G126), (G126 - $B126) / $B126, "")</f>
        <v>-5.6962025316455743E-2</v>
      </c>
      <c r="I126" s="101">
        <f>IF(ISNUMBER(G126), $B145 * H126, "")</f>
        <v>-5696.2025316455747</v>
      </c>
      <c r="J126" s="15">
        <v>2.99</v>
      </c>
      <c r="K126" s="32">
        <f t="shared" ref="K126:K129" si="64">IF(ISNUMBER(J126), (J126 - $B126) / $B126, "")</f>
        <v>-5.3797468354430354E-2</v>
      </c>
      <c r="L126" s="18">
        <f>IF(ISNUMBER(J126), $B145 * K126, "")</f>
        <v>-5379.7468354430357</v>
      </c>
      <c r="M126" s="31">
        <v>3</v>
      </c>
      <c r="N126" s="32">
        <f t="shared" ref="N126:N129" si="65">IF(ISNUMBER(M126), (M126 - $B126) / $B126, "")</f>
        <v>-5.0632911392405104E-2</v>
      </c>
      <c r="O126" s="18">
        <f>IF(ISNUMBER(M126), $B145 * N126, "")</f>
        <v>-5063.2911392405103</v>
      </c>
      <c r="Q126" s="226"/>
      <c r="R126" s="226"/>
      <c r="S126" s="226"/>
    </row>
    <row r="127" spans="1:19" ht="17.25" thickBot="1">
      <c r="A127" s="125" t="s">
        <v>132</v>
      </c>
      <c r="B127" s="126">
        <v>95.4</v>
      </c>
      <c r="C127" s="77">
        <v>1.0593220299999999E-2</v>
      </c>
      <c r="D127" s="15">
        <v>93</v>
      </c>
      <c r="E127" s="32">
        <f t="shared" si="62"/>
        <v>-2.5157232704402573E-2</v>
      </c>
      <c r="F127" s="18">
        <f>IF(ISNUMBER(D127), $B145 * E127, "")</f>
        <v>-2515.7232704402572</v>
      </c>
      <c r="G127" s="31">
        <v>89.4</v>
      </c>
      <c r="H127" s="32">
        <f t="shared" si="63"/>
        <v>-6.2893081761006289E-2</v>
      </c>
      <c r="I127" s="101">
        <f>IF(ISNUMBER(G127), $B145 * H127, "")</f>
        <v>-6289.3081761006288</v>
      </c>
      <c r="J127" s="15">
        <v>89.5</v>
      </c>
      <c r="K127" s="32">
        <f t="shared" si="64"/>
        <v>-6.1844863731656242E-2</v>
      </c>
      <c r="L127" s="18">
        <f>IF(ISNUMBER(J127), $B145 * K127, "")</f>
        <v>-6184.4863731656242</v>
      </c>
      <c r="M127" s="31">
        <v>89.4</v>
      </c>
      <c r="N127" s="32">
        <f t="shared" si="65"/>
        <v>-6.2893081761006289E-2</v>
      </c>
      <c r="O127" s="18">
        <f>IF(ISNUMBER(M127), $B145 * N127, "")</f>
        <v>-6289.3081761006288</v>
      </c>
      <c r="Q127" s="216"/>
      <c r="R127" s="216"/>
      <c r="S127" s="216"/>
    </row>
    <row r="128" spans="1:19" ht="17.25" thickBot="1">
      <c r="A128" s="125" t="s">
        <v>128</v>
      </c>
      <c r="B128" s="126">
        <v>99.1</v>
      </c>
      <c r="C128" s="77">
        <v>6.0913705999999998E-3</v>
      </c>
      <c r="D128" s="15">
        <v>94.7</v>
      </c>
      <c r="E128" s="32">
        <f t="shared" si="62"/>
        <v>-4.4399596367305671E-2</v>
      </c>
      <c r="F128" s="18">
        <f>IF(ISNUMBER(D128), $B145 * E128, "")</f>
        <v>-4439.9596367305676</v>
      </c>
      <c r="G128" s="31">
        <v>92.2</v>
      </c>
      <c r="H128" s="32">
        <f t="shared" si="63"/>
        <v>-6.9626639757820297E-2</v>
      </c>
      <c r="I128" s="101">
        <f>IF(ISNUMBER(G128), $B145 * H128, "")</f>
        <v>-6962.6639757820294</v>
      </c>
      <c r="J128" s="15">
        <v>92.1</v>
      </c>
      <c r="K128" s="32">
        <f t="shared" si="64"/>
        <v>-7.0635721493440967E-2</v>
      </c>
      <c r="L128" s="18">
        <f>IF(ISNUMBER(J128), $B145 * K128, "")</f>
        <v>-7063.5721493440969</v>
      </c>
      <c r="M128" s="31">
        <v>92.3</v>
      </c>
      <c r="N128" s="32">
        <f t="shared" si="65"/>
        <v>-6.8617558022199779E-2</v>
      </c>
      <c r="O128" s="18">
        <f>IF(ISNUMBER(M128), $B145 * N128, "")</f>
        <v>-6861.7558022199782</v>
      </c>
      <c r="Q128" s="216"/>
      <c r="R128" s="216"/>
      <c r="S128" s="216"/>
    </row>
    <row r="129" spans="1:19" ht="17.25" thickBot="1">
      <c r="A129" s="127" t="s">
        <v>162</v>
      </c>
      <c r="B129" s="128">
        <v>83.9</v>
      </c>
      <c r="C129" s="78">
        <v>4.7904191999999998E-3</v>
      </c>
      <c r="D129" s="20">
        <v>80.2</v>
      </c>
      <c r="E129" s="21">
        <f t="shared" si="62"/>
        <v>-4.4100119189511351E-2</v>
      </c>
      <c r="F129" s="22">
        <f>IF(ISNUMBER(D129), $B145 * E129, "")</f>
        <v>-4410.0119189511352</v>
      </c>
      <c r="G129" s="30">
        <v>76.900000000000006</v>
      </c>
      <c r="H129" s="21">
        <f t="shared" si="63"/>
        <v>-8.3432657926102494E-2</v>
      </c>
      <c r="I129" s="105">
        <f>IF(ISNUMBER(G129), $B145 * H129, "")</f>
        <v>-8343.2657926102493</v>
      </c>
      <c r="J129" s="20">
        <v>77.3</v>
      </c>
      <c r="K129" s="21">
        <f t="shared" si="64"/>
        <v>-7.8665077473182451E-2</v>
      </c>
      <c r="L129" s="22">
        <f>IF(ISNUMBER(J129), $B145 * K129, "")</f>
        <v>-7866.5077473182455</v>
      </c>
      <c r="M129" s="30">
        <v>77.599999999999994</v>
      </c>
      <c r="N129" s="21">
        <f t="shared" si="65"/>
        <v>-7.5089392133492389E-2</v>
      </c>
      <c r="O129" s="22">
        <f>IF(ISNUMBER(M129), $B145 * N129, "")</f>
        <v>-7508.9392133492393</v>
      </c>
      <c r="Q129" s="216"/>
      <c r="R129" s="216"/>
      <c r="S129" s="216"/>
    </row>
    <row r="130" spans="1:19" ht="17.25" thickBot="1">
      <c r="A130" s="125" t="s">
        <v>152</v>
      </c>
      <c r="B130" s="129">
        <v>76.099999999999994</v>
      </c>
      <c r="C130" s="80">
        <v>3.9577835999999996E-3</v>
      </c>
      <c r="D130" s="106">
        <v>74</v>
      </c>
      <c r="E130" s="107">
        <f>IF(ISNUMBER(D130), (D130 - $B130) / $B130, "")</f>
        <v>-2.7595269382391516E-2</v>
      </c>
      <c r="F130" s="108">
        <f>IF(ISNUMBER(D130), $B145 * E130, "")</f>
        <v>-2759.5269382391516</v>
      </c>
      <c r="G130" s="109">
        <v>72.900000000000006</v>
      </c>
      <c r="H130" s="107">
        <f>IF(ISNUMBER(G130), (G130 - $B130) / $B130, "")</f>
        <v>-4.2049934296977516E-2</v>
      </c>
      <c r="I130" s="110">
        <f>IF(ISNUMBER(G130), $B145 * H130, "")</f>
        <v>-4204.9934296977517</v>
      </c>
      <c r="J130" s="106">
        <v>73.2</v>
      </c>
      <c r="K130" s="107">
        <f>IF(ISNUMBER(J130), (J130 - $B130) / $B130, "")</f>
        <v>-3.8107752956635897E-2</v>
      </c>
      <c r="L130" s="108">
        <f>IF(ISNUMBER(J130), $B145 * K130, "")</f>
        <v>-3810.7752956635895</v>
      </c>
      <c r="M130" s="109">
        <v>73.3</v>
      </c>
      <c r="N130" s="107">
        <f>IF(ISNUMBER(M130), (M130 - $B130) / $B130, "")</f>
        <v>-3.6793692509855418E-2</v>
      </c>
      <c r="O130" s="108">
        <f>IF(ISNUMBER(M130), $B145 * N130, "")</f>
        <v>-3679.3692509855418</v>
      </c>
      <c r="Q130" s="216"/>
      <c r="R130" s="216"/>
      <c r="S130" s="216"/>
    </row>
    <row r="131" spans="1:19" ht="17.25" thickBot="1">
      <c r="A131" s="125" t="s">
        <v>122</v>
      </c>
      <c r="B131" s="126">
        <v>24.1</v>
      </c>
      <c r="C131" s="77">
        <v>0</v>
      </c>
      <c r="D131" s="15">
        <v>23.3</v>
      </c>
      <c r="E131" s="32">
        <f t="shared" ref="E131:E134" si="66">IF(ISNUMBER(D131), (D131 - $B131) / $B131, "")</f>
        <v>-3.3195020746887995E-2</v>
      </c>
      <c r="F131" s="18">
        <f>IF(ISNUMBER(D131), $B145 * E131, "")</f>
        <v>-3319.5020746887994</v>
      </c>
      <c r="G131" s="31">
        <v>21.9</v>
      </c>
      <c r="H131" s="32">
        <f t="shared" ref="H131:H134" si="67">IF(ISNUMBER(G131), (G131 - $B131) / $B131, "")</f>
        <v>-9.1286307053942015E-2</v>
      </c>
      <c r="I131" s="101">
        <f>IF(ISNUMBER(G131), $B145 * H131, "")</f>
        <v>-9128.6307053942019</v>
      </c>
      <c r="J131" s="15">
        <v>21.9</v>
      </c>
      <c r="K131" s="32">
        <f t="shared" ref="K131:K134" si="68">IF(ISNUMBER(J131), (J131 - $B131) / $B131, "")</f>
        <v>-9.1286307053942015E-2</v>
      </c>
      <c r="L131" s="18">
        <f>IF(ISNUMBER(J131), $B145 * K131, "")</f>
        <v>-9128.6307053942019</v>
      </c>
      <c r="M131" s="31">
        <v>21.8</v>
      </c>
      <c r="N131" s="32">
        <f t="shared" ref="N131:N134" si="69">IF(ISNUMBER(M131), (M131 - $B131) / $B131, "")</f>
        <v>-9.5435684647302926E-2</v>
      </c>
      <c r="O131" s="18">
        <f>IF(ISNUMBER(M131), $B145 * N131, "")</f>
        <v>-9543.5684647302933</v>
      </c>
      <c r="Q131" s="216"/>
      <c r="R131" s="216"/>
      <c r="S131" s="216"/>
    </row>
    <row r="132" spans="1:19" ht="17.25" thickBot="1">
      <c r="A132" s="125" t="s">
        <v>130</v>
      </c>
      <c r="B132" s="126">
        <v>90.3</v>
      </c>
      <c r="C132" s="77">
        <v>-1.1061947E-3</v>
      </c>
      <c r="D132" s="15">
        <v>90.1</v>
      </c>
      <c r="E132" s="32">
        <f t="shared" si="66"/>
        <v>-2.2148394241417813E-3</v>
      </c>
      <c r="F132" s="18">
        <f>IF(ISNUMBER(D132), $B145 * E132, "")</f>
        <v>-221.48394241417813</v>
      </c>
      <c r="G132" s="31">
        <v>84</v>
      </c>
      <c r="H132" s="32">
        <f t="shared" si="67"/>
        <v>-6.9767441860465088E-2</v>
      </c>
      <c r="I132" s="101">
        <f>IF(ISNUMBER(G132), $B145 * H132, "")</f>
        <v>-6976.7441860465087</v>
      </c>
      <c r="J132" s="15">
        <v>84</v>
      </c>
      <c r="K132" s="32">
        <f t="shared" si="68"/>
        <v>-6.9767441860465088E-2</v>
      </c>
      <c r="L132" s="18">
        <f>IF(ISNUMBER(J132), $B145 * K132, "")</f>
        <v>-6976.7441860465087</v>
      </c>
      <c r="M132" s="31">
        <v>83.9</v>
      </c>
      <c r="N132" s="32">
        <f t="shared" si="69"/>
        <v>-7.0874861572535905E-2</v>
      </c>
      <c r="O132" s="18">
        <f>IF(ISNUMBER(M132), $B145 * N132, "")</f>
        <v>-7087.4861572535901</v>
      </c>
      <c r="Q132" s="216"/>
      <c r="R132" s="216"/>
      <c r="S132" s="216"/>
    </row>
    <row r="133" spans="1:19" ht="17.25" thickBot="1">
      <c r="A133" s="125" t="s">
        <v>65</v>
      </c>
      <c r="B133" s="126">
        <v>28.1</v>
      </c>
      <c r="C133" s="77">
        <v>-3.5460993000000001E-3</v>
      </c>
      <c r="D133" s="15">
        <v>26.8</v>
      </c>
      <c r="E133" s="32">
        <f t="shared" si="66"/>
        <v>-4.6263345195729562E-2</v>
      </c>
      <c r="F133" s="18">
        <f>IF(ISNUMBER(D133), $B145 * E133, "")</f>
        <v>-4626.3345195729562</v>
      </c>
      <c r="G133" s="31">
        <v>25.3</v>
      </c>
      <c r="H133" s="32">
        <f t="shared" si="67"/>
        <v>-9.964412811387903E-2</v>
      </c>
      <c r="I133" s="101">
        <f>IF(ISNUMBER(G133), $B145 * H133, "")</f>
        <v>-9964.4128113879033</v>
      </c>
      <c r="J133" s="15">
        <v>25.3</v>
      </c>
      <c r="K133" s="32">
        <f t="shared" si="68"/>
        <v>-9.964412811387903E-2</v>
      </c>
      <c r="L133" s="18">
        <f>IF(ISNUMBER(J133), $B145 * K133, "")</f>
        <v>-9964.4128113879033</v>
      </c>
      <c r="M133" s="31">
        <v>25.3</v>
      </c>
      <c r="N133" s="32">
        <f t="shared" si="69"/>
        <v>-9.964412811387903E-2</v>
      </c>
      <c r="O133" s="18">
        <f>IF(ISNUMBER(M133), $B145 * N133, "")</f>
        <v>-9964.4128113879033</v>
      </c>
      <c r="Q133" s="33"/>
      <c r="R133" s="33"/>
    </row>
    <row r="134" spans="1:19" ht="17.25" thickBot="1">
      <c r="A134" s="130" t="s">
        <v>72</v>
      </c>
      <c r="B134" s="131">
        <v>19.2</v>
      </c>
      <c r="C134" s="79">
        <v>-5.1813472000000003E-3</v>
      </c>
      <c r="D134" s="24">
        <v>18.3</v>
      </c>
      <c r="E134" s="25">
        <f t="shared" si="66"/>
        <v>-4.6874999999999931E-2</v>
      </c>
      <c r="F134" s="104">
        <f>IF(ISNUMBER(D134), $B145 * E134, "")</f>
        <v>-4687.4999999999927</v>
      </c>
      <c r="G134" s="102">
        <v>17.8</v>
      </c>
      <c r="H134" s="25">
        <f t="shared" si="67"/>
        <v>-7.2916666666666602E-2</v>
      </c>
      <c r="I134" s="103">
        <f>IF(ISNUMBER(G134), $B145 * H134, "")</f>
        <v>-7291.6666666666606</v>
      </c>
      <c r="J134" s="24">
        <v>17.8</v>
      </c>
      <c r="K134" s="25">
        <f t="shared" si="68"/>
        <v>-7.2916666666666602E-2</v>
      </c>
      <c r="L134" s="104">
        <f>IF(ISNUMBER(J134), $B145 * K134, "")</f>
        <v>-7291.6666666666606</v>
      </c>
      <c r="M134" s="102">
        <v>18</v>
      </c>
      <c r="N134" s="25">
        <f t="shared" si="69"/>
        <v>-6.2499999999999965E-2</v>
      </c>
      <c r="O134" s="104">
        <f>IF(ISNUMBER(M134), $B145 * N134, "")</f>
        <v>-6249.9999999999964</v>
      </c>
      <c r="Q134" s="217"/>
      <c r="R134" s="218"/>
      <c r="S134" s="219"/>
    </row>
    <row r="135" spans="1:19">
      <c r="A135" s="123" t="s">
        <v>190</v>
      </c>
      <c r="B135" s="124">
        <v>16.899999999999999</v>
      </c>
      <c r="C135" s="76">
        <v>-1.1695906400000001E-2</v>
      </c>
      <c r="D135" s="13">
        <v>15.8</v>
      </c>
      <c r="E135" s="14">
        <f>IF(ISNUMBER(D135), (D135 - $B135) / $B135, "")</f>
        <v>-6.5088757396449579E-2</v>
      </c>
      <c r="F135" s="16">
        <f>IF(ISNUMBER(D135), $B145 * E135, "")</f>
        <v>-6508.8757396449582</v>
      </c>
      <c r="G135" s="29">
        <v>14.7</v>
      </c>
      <c r="H135" s="14">
        <f>IF(ISNUMBER(G135), (G135 - $B135) / $B135, "")</f>
        <v>-0.13017751479289938</v>
      </c>
      <c r="I135" s="100">
        <f>IF(ISNUMBER(G135), $B145 * H135, "")</f>
        <v>-13017.751479289938</v>
      </c>
      <c r="J135" s="13">
        <v>14.7</v>
      </c>
      <c r="K135" s="14">
        <f>IF(ISNUMBER(J135), (J135 - $B135) / $B135, "")</f>
        <v>-0.13017751479289938</v>
      </c>
      <c r="L135" s="16">
        <f>IF(ISNUMBER(J135), $B145 * K135, "")</f>
        <v>-13017.751479289938</v>
      </c>
      <c r="M135" s="29">
        <v>14.9</v>
      </c>
      <c r="N135" s="14">
        <f>IF(ISNUMBER(M135), (M135 - $B135) / $B135, "")</f>
        <v>-0.1183431952662721</v>
      </c>
      <c r="O135" s="16">
        <f>IF(ISNUMBER(M135), $B145 * N135, "")</f>
        <v>-11834.319526627211</v>
      </c>
      <c r="Q135" s="220"/>
      <c r="R135" s="221"/>
      <c r="S135" s="222"/>
    </row>
    <row r="136" spans="1:19" ht="17.25" thickBot="1">
      <c r="A136" s="125" t="s">
        <v>239</v>
      </c>
      <c r="B136" s="126">
        <v>82.1</v>
      </c>
      <c r="C136" s="77">
        <v>-1.9115890100000001E-2</v>
      </c>
      <c r="D136" s="15">
        <v>76.7</v>
      </c>
      <c r="E136" s="32">
        <f t="shared" ref="E136:E139" si="70">IF(ISNUMBER(D136), (D136 - $B136) / $B136, "")</f>
        <v>-6.5773447015834249E-2</v>
      </c>
      <c r="F136" s="18">
        <f>IF(ISNUMBER(D136), $B145 * E136, "")</f>
        <v>-6577.3447015834254</v>
      </c>
      <c r="G136" s="31">
        <v>72.3</v>
      </c>
      <c r="H136" s="32">
        <f t="shared" ref="H136:H139" si="71">IF(ISNUMBER(G136), (G136 - $B136) / $B136, "")</f>
        <v>-0.11936662606577342</v>
      </c>
      <c r="I136" s="101">
        <f>IF(ISNUMBER(G136), $B145 * H136, "")</f>
        <v>-11936.662606577342</v>
      </c>
      <c r="J136" s="15">
        <v>72.8</v>
      </c>
      <c r="K136" s="32">
        <f t="shared" ref="K136:K139" si="72">IF(ISNUMBER(J136), (J136 - $B136) / $B136, "")</f>
        <v>-0.11327649208282579</v>
      </c>
      <c r="L136" s="18">
        <f>IF(ISNUMBER(J136), $B145 * K136, "")</f>
        <v>-11327.649208282579</v>
      </c>
      <c r="M136" s="31">
        <v>73.2</v>
      </c>
      <c r="N136" s="32">
        <f t="shared" ref="N136:N139" si="73">IF(ISNUMBER(M136), (M136 - $B136) / $B136, "")</f>
        <v>-0.10840438489646763</v>
      </c>
      <c r="O136" s="18">
        <f>IF(ISNUMBER(M136), $B145 * N136, "")</f>
        <v>-10840.438489646764</v>
      </c>
      <c r="Q136" s="223"/>
      <c r="R136" s="224"/>
      <c r="S136" s="225"/>
    </row>
    <row r="137" spans="1:19" ht="17.25" thickBot="1">
      <c r="A137" s="125" t="s">
        <v>202</v>
      </c>
      <c r="B137" s="126">
        <v>62.3</v>
      </c>
      <c r="C137" s="77">
        <v>-2.3510971799999999E-2</v>
      </c>
      <c r="D137" s="15">
        <v>58.3</v>
      </c>
      <c r="E137" s="32">
        <f t="shared" si="70"/>
        <v>-6.4205457463884438E-2</v>
      </c>
      <c r="F137" s="18">
        <f>IF(ISNUMBER(D137), $B145 * E137, "")</f>
        <v>-6420.5457463884441</v>
      </c>
      <c r="G137" s="31">
        <v>54.6</v>
      </c>
      <c r="H137" s="32">
        <f t="shared" si="71"/>
        <v>-0.12359550561797747</v>
      </c>
      <c r="I137" s="101">
        <f>IF(ISNUMBER(G137), $B145 * H137, "")</f>
        <v>-12359.550561797747</v>
      </c>
      <c r="J137" s="15">
        <v>54.4</v>
      </c>
      <c r="K137" s="32">
        <f t="shared" si="72"/>
        <v>-0.12680577849117172</v>
      </c>
      <c r="L137" s="18">
        <f>IF(ISNUMBER(J137), $B145 * K137, "")</f>
        <v>-12680.577849117171</v>
      </c>
      <c r="M137" s="31">
        <v>55.4</v>
      </c>
      <c r="N137" s="32">
        <f t="shared" si="73"/>
        <v>-0.11075441412520062</v>
      </c>
      <c r="O137" s="18">
        <f>IF(ISNUMBER(M137), $B145 * N137, "")</f>
        <v>-11075.441412520062</v>
      </c>
      <c r="Q137" s="216"/>
      <c r="R137" s="216"/>
      <c r="S137" s="216"/>
    </row>
    <row r="138" spans="1:19" ht="17.25" thickBot="1">
      <c r="A138" s="125" t="s">
        <v>241</v>
      </c>
      <c r="B138" s="126">
        <v>56.4</v>
      </c>
      <c r="C138" s="77">
        <v>-2.75862069E-2</v>
      </c>
      <c r="D138" s="15">
        <v>53.4</v>
      </c>
      <c r="E138" s="32">
        <f t="shared" si="70"/>
        <v>-5.3191489361702128E-2</v>
      </c>
      <c r="F138" s="18">
        <f>IF(ISNUMBER(D138), $B145 * E138, "")</f>
        <v>-5319.1489361702124</v>
      </c>
      <c r="G138" s="31">
        <v>49.5</v>
      </c>
      <c r="H138" s="32">
        <f t="shared" si="71"/>
        <v>-0.12234042553191488</v>
      </c>
      <c r="I138" s="101">
        <f>IF(ISNUMBER(G138), $B145 * H138, "")</f>
        <v>-12234.042553191488</v>
      </c>
      <c r="J138" s="15">
        <v>49.8</v>
      </c>
      <c r="K138" s="32">
        <f t="shared" si="72"/>
        <v>-0.11702127659574471</v>
      </c>
      <c r="L138" s="18">
        <f>IF(ISNUMBER(J138), $B145 * K138, "")</f>
        <v>-11702.127659574471</v>
      </c>
      <c r="M138" s="31">
        <v>51.2</v>
      </c>
      <c r="N138" s="32">
        <f t="shared" si="73"/>
        <v>-9.2198581560283613E-2</v>
      </c>
      <c r="O138" s="18">
        <f>IF(ISNUMBER(M138), $B145 * N138, "")</f>
        <v>-9219.8581560283619</v>
      </c>
      <c r="Q138" s="226"/>
      <c r="R138" s="226"/>
      <c r="S138" s="226"/>
    </row>
    <row r="139" spans="1:19" ht="17.25" thickBot="1">
      <c r="A139" s="127" t="s">
        <v>210</v>
      </c>
      <c r="B139" s="128">
        <v>10.4</v>
      </c>
      <c r="C139" s="78">
        <v>-2.8037383200000002E-2</v>
      </c>
      <c r="D139" s="20">
        <v>9.75</v>
      </c>
      <c r="E139" s="21">
        <f t="shared" si="70"/>
        <v>-6.2500000000000028E-2</v>
      </c>
      <c r="F139" s="22">
        <f>IF(ISNUMBER(D139), $B145 * E139, "")</f>
        <v>-6250.0000000000027</v>
      </c>
      <c r="G139" s="30">
        <v>9.27</v>
      </c>
      <c r="H139" s="21">
        <f t="shared" si="71"/>
        <v>-0.10865384615384623</v>
      </c>
      <c r="I139" s="105">
        <f>IF(ISNUMBER(G139), $B145 * H139, "")</f>
        <v>-10865.384615384623</v>
      </c>
      <c r="J139" s="20">
        <v>9.26</v>
      </c>
      <c r="K139" s="21">
        <f t="shared" si="72"/>
        <v>-0.10961538461538467</v>
      </c>
      <c r="L139" s="22">
        <f>IF(ISNUMBER(J139), $B145 * K139, "")</f>
        <v>-10961.538461538466</v>
      </c>
      <c r="M139" s="30">
        <v>9.31</v>
      </c>
      <c r="N139" s="21">
        <f t="shared" si="73"/>
        <v>-0.1048076923076923</v>
      </c>
      <c r="O139" s="22">
        <f>IF(ISNUMBER(M139), $B145 * N139, "")</f>
        <v>-10480.76923076923</v>
      </c>
      <c r="Q139" s="226"/>
      <c r="R139" s="226"/>
      <c r="S139" s="226"/>
    </row>
    <row r="140" spans="1:19" ht="17.25" thickBot="1">
      <c r="A140" s="125" t="s">
        <v>208</v>
      </c>
      <c r="B140" s="129">
        <v>10.3</v>
      </c>
      <c r="C140" s="80">
        <v>-2.8301886799999999E-2</v>
      </c>
      <c r="D140" s="106">
        <v>9.59</v>
      </c>
      <c r="E140" s="107">
        <f>IF(ISNUMBER(D140), (D140 - $B140) / $B140, "")</f>
        <v>-6.8932038834951539E-2</v>
      </c>
      <c r="F140" s="108">
        <f>IF(ISNUMBER(D140), $B145 * E140, "")</f>
        <v>-6893.2038834951536</v>
      </c>
      <c r="G140" s="109">
        <v>9.2799999999999994</v>
      </c>
      <c r="H140" s="107">
        <f>IF(ISNUMBER(G140), (G140 - $B140) / $B140, "")</f>
        <v>-9.9029126213592361E-2</v>
      </c>
      <c r="I140" s="110">
        <f>IF(ISNUMBER(G140), $B145 * H140, "")</f>
        <v>-9902.9126213592353</v>
      </c>
      <c r="J140" s="106">
        <v>9.2200000000000006</v>
      </c>
      <c r="K140" s="107">
        <f>IF(ISNUMBER(J140), (J140 - $B140) / $B140, "")</f>
        <v>-0.10485436893203884</v>
      </c>
      <c r="L140" s="108">
        <f>IF(ISNUMBER(J140), $B145 * K140, "")</f>
        <v>-10485.436893203883</v>
      </c>
      <c r="M140" s="109">
        <v>9.3000000000000007</v>
      </c>
      <c r="N140" s="107">
        <f>IF(ISNUMBER(M140), (M140 - $B140) / $B140, "")</f>
        <v>-9.7087378640776698E-2</v>
      </c>
      <c r="O140" s="108">
        <f>IF(ISNUMBER(M140), $B145 * N140, "")</f>
        <v>-9708.7378640776697</v>
      </c>
      <c r="Q140" s="216"/>
      <c r="R140" s="216"/>
      <c r="S140" s="216"/>
    </row>
    <row r="141" spans="1:19" ht="17.25" thickBot="1">
      <c r="A141" s="125" t="s">
        <v>235</v>
      </c>
      <c r="B141" s="126">
        <v>60.6</v>
      </c>
      <c r="C141" s="77">
        <v>-3.04E-2</v>
      </c>
      <c r="D141" s="15">
        <v>55.2</v>
      </c>
      <c r="E141" s="32">
        <f t="shared" ref="E141:E144" si="74">IF(ISNUMBER(D141), (D141 - $B141) / $B141, "")</f>
        <v>-8.9108910891089077E-2</v>
      </c>
      <c r="F141" s="18">
        <f>IF(ISNUMBER(D141), $B145 * E141, "")</f>
        <v>-8910.8910891089072</v>
      </c>
      <c r="G141" s="31">
        <v>52.8</v>
      </c>
      <c r="H141" s="32">
        <f t="shared" ref="H141:H144" si="75">IF(ISNUMBER(G141), (G141 - $B141) / $B141, "")</f>
        <v>-0.12871287128712877</v>
      </c>
      <c r="I141" s="101">
        <f>IF(ISNUMBER(G141), $B145 * H141, "")</f>
        <v>-12871.287128712876</v>
      </c>
      <c r="J141" s="15">
        <v>53.1</v>
      </c>
      <c r="K141" s="32">
        <f t="shared" ref="K141:K144" si="76">IF(ISNUMBER(J141), (J141 - $B141) / $B141, "")</f>
        <v>-0.12376237623762376</v>
      </c>
      <c r="L141" s="18">
        <f>IF(ISNUMBER(J141), $B145 * K141, "")</f>
        <v>-12376.237623762376</v>
      </c>
      <c r="M141" s="31">
        <v>53.4</v>
      </c>
      <c r="N141" s="32">
        <f t="shared" ref="N141:N144" si="77">IF(ISNUMBER(M141), (M141 - $B141) / $B141, "")</f>
        <v>-0.11881188118811886</v>
      </c>
      <c r="O141" s="18">
        <f>IF(ISNUMBER(M141), $B145 * N141, "")</f>
        <v>-11881.188118811886</v>
      </c>
      <c r="Q141" s="216"/>
      <c r="R141" s="216"/>
      <c r="S141" s="216"/>
    </row>
    <row r="142" spans="1:19" ht="17.25" thickBot="1">
      <c r="A142" s="125" t="s">
        <v>216</v>
      </c>
      <c r="B142" s="126">
        <v>9.58</v>
      </c>
      <c r="C142" s="77">
        <v>-3.52467271E-2</v>
      </c>
      <c r="D142" s="15">
        <v>8.81</v>
      </c>
      <c r="E142" s="32">
        <f t="shared" si="74"/>
        <v>-8.0375782881002042E-2</v>
      </c>
      <c r="F142" s="18">
        <f>IF(ISNUMBER(D142), $B145 * E142, "")</f>
        <v>-8037.5782881002042</v>
      </c>
      <c r="G142" s="31">
        <v>8.36</v>
      </c>
      <c r="H142" s="32">
        <f t="shared" si="75"/>
        <v>-0.12734864300626311</v>
      </c>
      <c r="I142" s="101">
        <f>IF(ISNUMBER(G142), $B145 * H142, "")</f>
        <v>-12734.864300626312</v>
      </c>
      <c r="J142" s="15">
        <v>8.36</v>
      </c>
      <c r="K142" s="32">
        <f t="shared" si="76"/>
        <v>-0.12734864300626311</v>
      </c>
      <c r="L142" s="18">
        <f>IF(ISNUMBER(J142), $B145 * K142, "")</f>
        <v>-12734.864300626312</v>
      </c>
      <c r="M142" s="31">
        <v>8.44</v>
      </c>
      <c r="N142" s="32">
        <f t="shared" si="77"/>
        <v>-0.11899791231732783</v>
      </c>
      <c r="O142" s="18">
        <f>IF(ISNUMBER(M142), $B145 * N142, "")</f>
        <v>-11899.791231732783</v>
      </c>
      <c r="Q142" s="216"/>
      <c r="R142" s="216"/>
      <c r="S142" s="216"/>
    </row>
    <row r="143" spans="1:19">
      <c r="A143" s="125" t="s">
        <v>150</v>
      </c>
      <c r="B143" s="126">
        <v>10.4</v>
      </c>
      <c r="C143" s="77">
        <v>-4.58715596E-2</v>
      </c>
      <c r="D143" s="15">
        <v>9.77</v>
      </c>
      <c r="E143" s="32">
        <f t="shared" si="74"/>
        <v>-6.0576923076923153E-2</v>
      </c>
      <c r="F143" s="18">
        <f>IF(ISNUMBER(D143), $B145 * E143, "")</f>
        <v>-6057.6923076923149</v>
      </c>
      <c r="G143" s="31">
        <v>9.14</v>
      </c>
      <c r="H143" s="32">
        <f t="shared" si="75"/>
        <v>-0.12115384615384613</v>
      </c>
      <c r="I143" s="101">
        <f>IF(ISNUMBER(G143), $B145 * H143, "")</f>
        <v>-12115.384615384613</v>
      </c>
      <c r="J143" s="15">
        <v>9.1999999999999993</v>
      </c>
      <c r="K143" s="32">
        <f t="shared" si="76"/>
        <v>-0.11538461538461549</v>
      </c>
      <c r="L143" s="18">
        <f>IF(ISNUMBER(J143), $B145 * K143, "")</f>
        <v>-11538.461538461548</v>
      </c>
      <c r="M143" s="31">
        <v>9.32</v>
      </c>
      <c r="N143" s="32">
        <f t="shared" si="77"/>
        <v>-0.10384615384615385</v>
      </c>
      <c r="O143" s="18">
        <f>IF(ISNUMBER(M143), $B145 * N143, "")</f>
        <v>-10384.615384615385</v>
      </c>
      <c r="Q143" s="205"/>
      <c r="R143" s="206"/>
      <c r="S143" s="207"/>
    </row>
    <row r="144" spans="1:19" ht="17.25" thickBot="1">
      <c r="A144" s="130" t="s">
        <v>178</v>
      </c>
      <c r="B144" s="131">
        <v>15.6</v>
      </c>
      <c r="C144" s="79">
        <v>-4.8780487800000001E-2</v>
      </c>
      <c r="D144" s="24">
        <v>14.6</v>
      </c>
      <c r="E144" s="25">
        <f t="shared" si="74"/>
        <v>-6.4102564102564111E-2</v>
      </c>
      <c r="F144" s="104">
        <f>IF(ISNUMBER(D144), $B145 * E144, "")</f>
        <v>-6410.2564102564111</v>
      </c>
      <c r="G144" s="102">
        <v>13.9</v>
      </c>
      <c r="H144" s="25">
        <f t="shared" si="75"/>
        <v>-0.10897435897435893</v>
      </c>
      <c r="I144" s="103">
        <f>IF(ISNUMBER(G144), $B145 * H144, "")</f>
        <v>-10897.435897435893</v>
      </c>
      <c r="J144" s="24">
        <v>14</v>
      </c>
      <c r="K144" s="25">
        <f t="shared" si="76"/>
        <v>-0.10256410256410255</v>
      </c>
      <c r="L144" s="104">
        <f>IF(ISNUMBER(J144), $B145 * K144, "")</f>
        <v>-10256.410256410254</v>
      </c>
      <c r="M144" s="102">
        <v>14.4</v>
      </c>
      <c r="N144" s="25">
        <f t="shared" si="77"/>
        <v>-7.6923076923076886E-2</v>
      </c>
      <c r="O144" s="104">
        <f>IF(ISNUMBER(M144), $B145 * N144, "")</f>
        <v>-7692.3076923076887</v>
      </c>
      <c r="Q144" s="208"/>
      <c r="R144" s="209"/>
      <c r="S144" s="210"/>
    </row>
    <row r="145" spans="1:19" ht="17.25" thickBot="1">
      <c r="A145" s="132" t="s">
        <v>271</v>
      </c>
      <c r="B145" s="269">
        <f>$B$37</f>
        <v>100000</v>
      </c>
      <c r="C145" s="270"/>
      <c r="D145" s="26" t="s">
        <v>272</v>
      </c>
      <c r="E145" s="27">
        <f>IF(COUNT(E125:E144), SUM(E125:E144) / COUNT(E125:E144), 0)</f>
        <v>-5.217886901169709E-2</v>
      </c>
      <c r="F145" s="28">
        <f>SUM(F125:F144)</f>
        <v>-104357.73802339418</v>
      </c>
      <c r="G145" s="26" t="s">
        <v>272</v>
      </c>
      <c r="H145" s="27">
        <f>IF(COUNT(H125:H144), SUM(H125:H144) / COUNT(H125:H144), 0)</f>
        <v>-9.7648794716926321E-2</v>
      </c>
      <c r="I145" s="28">
        <f>SUM(I125:I144)</f>
        <v>-195297.58943385264</v>
      </c>
      <c r="J145" s="26" t="s">
        <v>272</v>
      </c>
      <c r="K145" s="27">
        <f>IF(COUNT(K125:K144), SUM(K125:K144) / COUNT(K125:K144), 0)</f>
        <v>-9.6170259197339597E-2</v>
      </c>
      <c r="L145" s="28">
        <f>SUM(L125:L144)</f>
        <v>-192340.51839467915</v>
      </c>
      <c r="M145" s="26" t="s">
        <v>272</v>
      </c>
      <c r="N145" s="27">
        <f>IF(COUNT(N125:N144), SUM(N125:N144) / COUNT(N125:N144), 0)</f>
        <v>-8.8500055698370522E-2</v>
      </c>
      <c r="O145" s="28">
        <f>SUM(O125:O144)</f>
        <v>-177000.11139674098</v>
      </c>
      <c r="Q145" s="211"/>
      <c r="R145" s="212"/>
      <c r="S145" s="213"/>
    </row>
    <row r="147" spans="1:19" ht="17.25" thickBot="1"/>
    <row r="148" spans="1:19" ht="17.25" thickBot="1">
      <c r="A148" s="227" t="s">
        <v>260</v>
      </c>
      <c r="B148" s="228"/>
      <c r="C148" s="228"/>
      <c r="D148" s="228"/>
      <c r="E148" s="228"/>
      <c r="F148" s="228"/>
      <c r="G148" s="228"/>
      <c r="H148" s="228"/>
      <c r="I148" s="228"/>
      <c r="J148" s="228"/>
      <c r="K148" s="228"/>
      <c r="L148" s="228"/>
      <c r="M148" s="228"/>
      <c r="N148" s="228"/>
      <c r="O148" s="229"/>
      <c r="Q148" s="226"/>
      <c r="R148" s="226"/>
      <c r="S148" s="226"/>
    </row>
    <row r="149" spans="1:19" ht="17.25" thickBot="1">
      <c r="A149" s="185" t="s">
        <v>268</v>
      </c>
      <c r="B149" s="227" t="s">
        <v>49</v>
      </c>
      <c r="C149" s="229"/>
      <c r="D149" s="227" t="s">
        <v>58</v>
      </c>
      <c r="E149" s="228"/>
      <c r="F149" s="229"/>
      <c r="G149" s="230">
        <f>_xlfn.IFNA(VLOOKUP(B149, 현재가테이블!$B$2:$D$200, 2, FALSE), "-")</f>
        <v>39916000</v>
      </c>
      <c r="H149" s="231"/>
      <c r="I149" s="232"/>
      <c r="J149" s="227" t="s">
        <v>59</v>
      </c>
      <c r="K149" s="228"/>
      <c r="L149" s="229"/>
      <c r="M149" s="233">
        <f>_xlfn.IFNA(VLOOKUP(B149, 현재가테이블!$B$2:$D$200, 3, FALSE), "-")</f>
        <v>7.3184273000000003E-3</v>
      </c>
      <c r="N149" s="234"/>
      <c r="O149" s="235"/>
      <c r="Q149" s="226"/>
      <c r="R149" s="226"/>
      <c r="S149" s="226"/>
    </row>
    <row r="150" spans="1:19" ht="17.25" thickBot="1">
      <c r="A150" s="271" t="s">
        <v>55</v>
      </c>
      <c r="B150" s="267" t="str">
        <f>TEXT($G$1, "[$-ko-KR]yyyy-mm-dd(ddd) ") &amp; "오전 00:00"</f>
        <v>2021-07-08(목) 오전 00:00</v>
      </c>
      <c r="C150" s="268"/>
      <c r="D150" s="240" t="str">
        <f>TEXT($G$1, "[$-ko-KR]yyyy-mm-dd(ddd) ") &amp; "오후 14:00"</f>
        <v>2021-07-08(목) 오후 14:00</v>
      </c>
      <c r="E150" s="241"/>
      <c r="F150" s="242"/>
      <c r="G150" s="240" t="str">
        <f>TEXT($G$1, "[$-ko-KR]yyyy-mm-dd(ddd) ") &amp; "오후 19:00"</f>
        <v>2021-07-08(목) 오후 19:00</v>
      </c>
      <c r="H150" s="241"/>
      <c r="I150" s="242"/>
      <c r="J150" s="240" t="str">
        <f>TEXT($G$1, "[$-ko-KR]yyyy-mm-dd(ddd) ") &amp; "오후 21:00"</f>
        <v>2021-07-08(목) 오후 21:00</v>
      </c>
      <c r="K150" s="241"/>
      <c r="L150" s="242"/>
      <c r="M150" s="240" t="str">
        <f>TEXT($G$1+1, "[$-ko-KR]yyyy-mm-dd(ddd) ") &amp; "오전 00:00"</f>
        <v>2021-07-09(금) 오전 00:00</v>
      </c>
      <c r="N150" s="241"/>
      <c r="O150" s="242"/>
      <c r="Q150" s="226"/>
      <c r="R150" s="226"/>
      <c r="S150" s="226"/>
    </row>
    <row r="151" spans="1:19" ht="17.25" thickBot="1">
      <c r="A151" s="27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6" t="s">
        <v>58</v>
      </c>
      <c r="H151" s="187" t="s">
        <v>269</v>
      </c>
      <c r="I151" s="18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6"/>
      <c r="R151" s="216"/>
      <c r="S151" s="216"/>
    </row>
    <row r="152" spans="1:19" ht="17.25" thickBot="1">
      <c r="A152" s="123" t="s">
        <v>54</v>
      </c>
      <c r="B152" s="124">
        <v>219</v>
      </c>
      <c r="C152" s="76">
        <v>1.38888889E-2</v>
      </c>
      <c r="D152" s="13">
        <v>215</v>
      </c>
      <c r="E152" s="14">
        <f>IF(ISNUMBER(D152), (D152 - $B152) / $B152, "")</f>
        <v>-1.8264840182648401E-2</v>
      </c>
      <c r="F152" s="16">
        <f>IF(ISNUMBER(D152), $B172 * E152, "")</f>
        <v>-1826.4840182648402</v>
      </c>
      <c r="G152" s="29">
        <v>208</v>
      </c>
      <c r="H152" s="14">
        <f>IF(ISNUMBER(G152), (G152 - $B152) / $B152, "")</f>
        <v>-5.0228310502283102E-2</v>
      </c>
      <c r="I152" s="100">
        <f>IF(ISNUMBER(G152), $B172 * H152, "")</f>
        <v>-5022.8310502283102</v>
      </c>
      <c r="J152" s="13">
        <v>209</v>
      </c>
      <c r="K152" s="14">
        <f>IF(ISNUMBER(J152), (J152 - $B152) / $B152, "")</f>
        <v>-4.5662100456621002E-2</v>
      </c>
      <c r="L152" s="16">
        <f>IF(ISNUMBER(J152), $B172 * K152, "")</f>
        <v>-4566.2100456621001</v>
      </c>
      <c r="M152" s="29">
        <v>210</v>
      </c>
      <c r="N152" s="14">
        <f>IF(ISNUMBER(M152), (M152 - $B152) / $B152, "")</f>
        <v>-4.1095890410958902E-2</v>
      </c>
      <c r="O152" s="16">
        <f>IF(ISNUMBER(M152), $B172 * N152, "")</f>
        <v>-4109.58904109589</v>
      </c>
      <c r="Q152" s="226"/>
      <c r="R152" s="226"/>
      <c r="S152" s="226"/>
    </row>
    <row r="153" spans="1:19" ht="17.25" thickBot="1">
      <c r="A153" s="125" t="s">
        <v>138</v>
      </c>
      <c r="B153" s="126">
        <v>414</v>
      </c>
      <c r="C153" s="77">
        <v>4.8543689000000003E-3</v>
      </c>
      <c r="D153" s="15">
        <v>410</v>
      </c>
      <c r="E153" s="32">
        <f t="shared" ref="E153:E156" si="78">IF(ISNUMBER(D153), (D153 - $B153) / $B153, "")</f>
        <v>-9.6618357487922701E-3</v>
      </c>
      <c r="F153" s="18">
        <f>IF(ISNUMBER(D153), $B172 * E153, "")</f>
        <v>-966.18357487922697</v>
      </c>
      <c r="G153" s="31">
        <v>432</v>
      </c>
      <c r="H153" s="32">
        <f t="shared" ref="H153:H156" si="79">IF(ISNUMBER(G153), (G153 - $B153) / $B153, "")</f>
        <v>4.3478260869565216E-2</v>
      </c>
      <c r="I153" s="101">
        <f>IF(ISNUMBER(G153), $B172 * H153, "")</f>
        <v>4347.826086956522</v>
      </c>
      <c r="J153" s="15">
        <v>428</v>
      </c>
      <c r="K153" s="32">
        <f t="shared" ref="K153:K156" si="80">IF(ISNUMBER(J153), (J153 - $B153) / $B153, "")</f>
        <v>3.3816425120772944E-2</v>
      </c>
      <c r="L153" s="18">
        <f>IF(ISNUMBER(J153), $B172 * K153, "")</f>
        <v>3381.6425120772942</v>
      </c>
      <c r="M153" s="31">
        <v>445</v>
      </c>
      <c r="N153" s="32">
        <f t="shared" ref="N153:N156" si="81">IF(ISNUMBER(M153), (M153 - $B153) / $B153, "")</f>
        <v>7.4879227053140096E-2</v>
      </c>
      <c r="O153" s="18">
        <f>IF(ISNUMBER(M153), $B172 * N153, "")</f>
        <v>7487.9227053140094</v>
      </c>
      <c r="Q153" s="226"/>
      <c r="R153" s="226"/>
      <c r="S153" s="226"/>
    </row>
    <row r="154" spans="1:19" ht="17.25" thickBot="1">
      <c r="A154" s="125" t="s">
        <v>51</v>
      </c>
      <c r="B154" s="126">
        <v>304</v>
      </c>
      <c r="C154" s="77">
        <v>3.3003300000000002E-3</v>
      </c>
      <c r="D154" s="15">
        <v>296</v>
      </c>
      <c r="E154" s="32">
        <f t="shared" si="78"/>
        <v>-2.6315789473684209E-2</v>
      </c>
      <c r="F154" s="18">
        <f>IF(ISNUMBER(D154), $B172 * E154, "")</f>
        <v>-2631.5789473684208</v>
      </c>
      <c r="G154" s="31">
        <v>288</v>
      </c>
      <c r="H154" s="32">
        <f t="shared" si="79"/>
        <v>-5.2631578947368418E-2</v>
      </c>
      <c r="I154" s="101">
        <f>IF(ISNUMBER(G154), $B172 * H154, "")</f>
        <v>-5263.1578947368416</v>
      </c>
      <c r="J154" s="15">
        <v>288</v>
      </c>
      <c r="K154" s="32">
        <f t="shared" si="80"/>
        <v>-5.2631578947368418E-2</v>
      </c>
      <c r="L154" s="18">
        <f>IF(ISNUMBER(J154), $B172 * K154, "")</f>
        <v>-5263.1578947368416</v>
      </c>
      <c r="M154" s="31">
        <v>291</v>
      </c>
      <c r="N154" s="32">
        <f t="shared" si="81"/>
        <v>-4.2763157894736843E-2</v>
      </c>
      <c r="O154" s="18">
        <f>IF(ISNUMBER(M154), $B172 * N154, "")</f>
        <v>-4276.3157894736842</v>
      </c>
      <c r="Q154" s="216"/>
      <c r="R154" s="216"/>
      <c r="S154" s="216"/>
    </row>
    <row r="155" spans="1:19" ht="17.25" thickBot="1">
      <c r="A155" s="125" t="s">
        <v>57</v>
      </c>
      <c r="B155" s="126">
        <v>155</v>
      </c>
      <c r="C155" s="77">
        <v>0</v>
      </c>
      <c r="D155" s="15">
        <v>153</v>
      </c>
      <c r="E155" s="32">
        <f t="shared" si="78"/>
        <v>-1.2903225806451613E-2</v>
      </c>
      <c r="F155" s="18">
        <f>IF(ISNUMBER(D155), $B172 * E155, "")</f>
        <v>-1290.3225806451612</v>
      </c>
      <c r="G155" s="31">
        <v>147</v>
      </c>
      <c r="H155" s="32">
        <f t="shared" si="79"/>
        <v>-5.1612903225806452E-2</v>
      </c>
      <c r="I155" s="101">
        <f>IF(ISNUMBER(G155), $B172 * H155, "")</f>
        <v>-5161.2903225806449</v>
      </c>
      <c r="J155" s="15">
        <v>148</v>
      </c>
      <c r="K155" s="32">
        <f t="shared" si="80"/>
        <v>-4.5161290322580643E-2</v>
      </c>
      <c r="L155" s="18">
        <f>IF(ISNUMBER(J155), $B172 * K155, "")</f>
        <v>-4516.1290322580644</v>
      </c>
      <c r="M155" s="31">
        <v>147</v>
      </c>
      <c r="N155" s="32">
        <f t="shared" si="81"/>
        <v>-5.1612903225806452E-2</v>
      </c>
      <c r="O155" s="18">
        <f>IF(ISNUMBER(M155), $B172 * N155, "")</f>
        <v>-5161.2903225806449</v>
      </c>
      <c r="Q155" s="216"/>
      <c r="R155" s="216"/>
      <c r="S155" s="216"/>
    </row>
    <row r="156" spans="1:19" ht="17.25" thickBot="1">
      <c r="A156" s="127" t="s">
        <v>174</v>
      </c>
      <c r="B156" s="128">
        <v>242</v>
      </c>
      <c r="C156" s="78">
        <v>0</v>
      </c>
      <c r="D156" s="20">
        <v>227</v>
      </c>
      <c r="E156" s="21">
        <f t="shared" si="78"/>
        <v>-6.1983471074380167E-2</v>
      </c>
      <c r="F156" s="22">
        <f>IF(ISNUMBER(D156), $B172 * E156, "")</f>
        <v>-6198.3471074380168</v>
      </c>
      <c r="G156" s="30">
        <v>217</v>
      </c>
      <c r="H156" s="21">
        <f t="shared" si="79"/>
        <v>-0.10330578512396695</v>
      </c>
      <c r="I156" s="105">
        <f>IF(ISNUMBER(G156), $B172 * H156, "")</f>
        <v>-10330.578512396694</v>
      </c>
      <c r="J156" s="20">
        <v>218</v>
      </c>
      <c r="K156" s="21">
        <f t="shared" si="80"/>
        <v>-9.9173553719008267E-2</v>
      </c>
      <c r="L156" s="22">
        <f>IF(ISNUMBER(J156), $B172 * K156, "")</f>
        <v>-9917.3553719008269</v>
      </c>
      <c r="M156" s="30">
        <v>218</v>
      </c>
      <c r="N156" s="21">
        <f t="shared" si="81"/>
        <v>-9.9173553719008267E-2</v>
      </c>
      <c r="O156" s="22">
        <f>IF(ISNUMBER(M156), $B172 * N156, "")</f>
        <v>-9917.3553719008269</v>
      </c>
      <c r="Q156" s="216"/>
      <c r="R156" s="216"/>
      <c r="S156" s="216"/>
    </row>
    <row r="157" spans="1:19" ht="17.25" thickBot="1">
      <c r="A157" s="125" t="s">
        <v>90</v>
      </c>
      <c r="B157" s="129">
        <v>774</v>
      </c>
      <c r="C157" s="80">
        <v>-1.2903226E-3</v>
      </c>
      <c r="D157" s="106">
        <v>751</v>
      </c>
      <c r="E157" s="107">
        <f>IF(ISNUMBER(D157), (D157 - $B157) / $B157, "")</f>
        <v>-2.9715762273901807E-2</v>
      </c>
      <c r="F157" s="108">
        <f>IF(ISNUMBER(D157), $B172 * E157, "")</f>
        <v>-2971.5762273901805</v>
      </c>
      <c r="G157" s="109">
        <v>737</v>
      </c>
      <c r="H157" s="107">
        <f>IF(ISNUMBER(G157), (G157 - $B157) / $B157, "")</f>
        <v>-4.7803617571059429E-2</v>
      </c>
      <c r="I157" s="110">
        <f>IF(ISNUMBER(G157), $B172 * H157, "")</f>
        <v>-4780.3617571059431</v>
      </c>
      <c r="J157" s="106">
        <v>738</v>
      </c>
      <c r="K157" s="107">
        <f>IF(ISNUMBER(J157), (J157 - $B157) / $B157, "")</f>
        <v>-4.6511627906976744E-2</v>
      </c>
      <c r="L157" s="108">
        <f>IF(ISNUMBER(J157), $B172 * K157, "")</f>
        <v>-4651.1627906976746</v>
      </c>
      <c r="M157" s="109">
        <v>746</v>
      </c>
      <c r="N157" s="107">
        <f>IF(ISNUMBER(M157), (M157 - $B157) / $B157, "")</f>
        <v>-3.6175710594315243E-2</v>
      </c>
      <c r="O157" s="108">
        <f>IF(ISNUMBER(M157), $B172 * N157, "")</f>
        <v>-3617.5710594315242</v>
      </c>
      <c r="Q157" s="216"/>
      <c r="R157" s="216"/>
      <c r="S157" s="216"/>
    </row>
    <row r="158" spans="1:19" ht="17.25" thickBot="1">
      <c r="A158" s="125" t="s">
        <v>164</v>
      </c>
      <c r="B158" s="126">
        <v>256</v>
      </c>
      <c r="C158" s="77">
        <v>-3.8910505999999998E-3</v>
      </c>
      <c r="D158" s="15">
        <v>242</v>
      </c>
      <c r="E158" s="32">
        <f t="shared" ref="E158:E161" si="82">IF(ISNUMBER(D158), (D158 - $B158) / $B158, "")</f>
        <v>-5.46875E-2</v>
      </c>
      <c r="F158" s="18">
        <f>IF(ISNUMBER(D158), $B172 * E158, "")</f>
        <v>-5468.75</v>
      </c>
      <c r="G158" s="31">
        <v>231</v>
      </c>
      <c r="H158" s="32">
        <f t="shared" ref="H158:H161" si="83">IF(ISNUMBER(G158), (G158 - $B158) / $B158, "")</f>
        <v>-9.765625E-2</v>
      </c>
      <c r="I158" s="101">
        <f>IF(ISNUMBER(G158), $B172 * H158, "")</f>
        <v>-9765.625</v>
      </c>
      <c r="J158" s="15">
        <v>233</v>
      </c>
      <c r="K158" s="32">
        <f t="shared" ref="K158:K161" si="84">IF(ISNUMBER(J158), (J158 - $B158) / $B158, "")</f>
        <v>-8.984375E-2</v>
      </c>
      <c r="L158" s="18">
        <f>IF(ISNUMBER(J158), $B172 * K158, "")</f>
        <v>-8984.375</v>
      </c>
      <c r="M158" s="31">
        <v>234</v>
      </c>
      <c r="N158" s="32">
        <f t="shared" ref="N158:N161" si="85">IF(ISNUMBER(M158), (M158 - $B158) / $B158, "")</f>
        <v>-8.59375E-2</v>
      </c>
      <c r="O158" s="18">
        <f>IF(ISNUMBER(M158), $B172 * N158, "")</f>
        <v>-8593.75</v>
      </c>
      <c r="Q158" s="216"/>
      <c r="R158" s="216"/>
      <c r="S158" s="216"/>
    </row>
    <row r="159" spans="1:19" ht="17.25" thickBot="1">
      <c r="A159" s="125" t="s">
        <v>255</v>
      </c>
      <c r="B159" s="126">
        <v>207</v>
      </c>
      <c r="C159" s="77">
        <v>-9.5693779999999999E-3</v>
      </c>
      <c r="D159" s="15">
        <v>197</v>
      </c>
      <c r="E159" s="32">
        <f t="shared" si="82"/>
        <v>-4.8309178743961352E-2</v>
      </c>
      <c r="F159" s="18">
        <f>IF(ISNUMBER(D159), $B172 * E159, "")</f>
        <v>-4830.9178743961356</v>
      </c>
      <c r="G159" s="31">
        <v>184</v>
      </c>
      <c r="H159" s="32">
        <f t="shared" si="83"/>
        <v>-0.1111111111111111</v>
      </c>
      <c r="I159" s="101">
        <f>IF(ISNUMBER(G159), $B172 * H159, "")</f>
        <v>-11111.111111111111</v>
      </c>
      <c r="J159" s="15">
        <v>184</v>
      </c>
      <c r="K159" s="32">
        <f t="shared" si="84"/>
        <v>-0.1111111111111111</v>
      </c>
      <c r="L159" s="18">
        <f>IF(ISNUMBER(J159), $B172 * K159, "")</f>
        <v>-11111.111111111111</v>
      </c>
      <c r="M159" s="31">
        <v>185</v>
      </c>
      <c r="N159" s="32">
        <f t="shared" si="85"/>
        <v>-0.10628019323671498</v>
      </c>
      <c r="O159" s="18">
        <f>IF(ISNUMBER(M159), $B172 * N159, "")</f>
        <v>-10628.019323671497</v>
      </c>
      <c r="Q159" s="216"/>
      <c r="R159" s="216"/>
      <c r="S159" s="216"/>
    </row>
    <row r="160" spans="1:19" ht="17.25" thickBot="1">
      <c r="A160" s="125" t="s">
        <v>267</v>
      </c>
      <c r="B160" s="126">
        <v>270</v>
      </c>
      <c r="C160" s="77">
        <v>-1.0989011E-2</v>
      </c>
      <c r="D160" s="15">
        <v>257</v>
      </c>
      <c r="E160" s="32">
        <f t="shared" si="82"/>
        <v>-4.8148148148148148E-2</v>
      </c>
      <c r="F160" s="18">
        <f>IF(ISNUMBER(D160), $B172 * E160, "")</f>
        <v>-4814.8148148148148</v>
      </c>
      <c r="G160" s="31">
        <v>253</v>
      </c>
      <c r="H160" s="32">
        <f t="shared" si="83"/>
        <v>-6.2962962962962957E-2</v>
      </c>
      <c r="I160" s="101">
        <f>IF(ISNUMBER(G160), $B172 * H160, "")</f>
        <v>-6296.2962962962956</v>
      </c>
      <c r="J160" s="15">
        <v>253</v>
      </c>
      <c r="K160" s="32">
        <f t="shared" si="84"/>
        <v>-6.2962962962962957E-2</v>
      </c>
      <c r="L160" s="18">
        <f>IF(ISNUMBER(J160), $B172 * K160, "")</f>
        <v>-6296.2962962962956</v>
      </c>
      <c r="M160" s="31">
        <v>249</v>
      </c>
      <c r="N160" s="32">
        <f t="shared" si="85"/>
        <v>-7.7777777777777779E-2</v>
      </c>
      <c r="O160" s="18">
        <f>IF(ISNUMBER(M160), $B172 * N160, "")</f>
        <v>-7777.7777777777783</v>
      </c>
      <c r="Q160" s="33"/>
      <c r="R160" s="33"/>
    </row>
    <row r="161" spans="1:19" ht="17.25" thickBot="1">
      <c r="A161" s="130" t="s">
        <v>118</v>
      </c>
      <c r="B161" s="131">
        <v>140</v>
      </c>
      <c r="C161" s="79">
        <v>-1.4084507E-2</v>
      </c>
      <c r="D161" s="24">
        <v>136</v>
      </c>
      <c r="E161" s="25">
        <f t="shared" si="82"/>
        <v>-2.8571428571428571E-2</v>
      </c>
      <c r="F161" s="104">
        <f>IF(ISNUMBER(D161), $B172 * E161, "")</f>
        <v>-2857.1428571428569</v>
      </c>
      <c r="G161" s="102">
        <v>133</v>
      </c>
      <c r="H161" s="25">
        <f t="shared" si="83"/>
        <v>-0.05</v>
      </c>
      <c r="I161" s="103">
        <f>IF(ISNUMBER(G161), $B172 * H161, "")</f>
        <v>-5000</v>
      </c>
      <c r="J161" s="24">
        <v>133</v>
      </c>
      <c r="K161" s="25">
        <f t="shared" si="84"/>
        <v>-0.05</v>
      </c>
      <c r="L161" s="104">
        <f>IF(ISNUMBER(J161), $B172 * K161, "")</f>
        <v>-5000</v>
      </c>
      <c r="M161" s="102">
        <v>133</v>
      </c>
      <c r="N161" s="25">
        <f t="shared" si="85"/>
        <v>-0.05</v>
      </c>
      <c r="O161" s="104">
        <f>IF(ISNUMBER(M161), $B172 * N161, "")</f>
        <v>-5000</v>
      </c>
      <c r="Q161" s="217"/>
      <c r="R161" s="218"/>
      <c r="S161" s="219"/>
    </row>
    <row r="162" spans="1:19">
      <c r="A162" s="123" t="s">
        <v>192</v>
      </c>
      <c r="B162" s="124">
        <v>202</v>
      </c>
      <c r="C162" s="76">
        <v>-1.4634146299999999E-2</v>
      </c>
      <c r="D162" s="13">
        <v>189</v>
      </c>
      <c r="E162" s="14">
        <f>IF(ISNUMBER(D162), (D162 - $B162) / $B162, "")</f>
        <v>-6.4356435643564358E-2</v>
      </c>
      <c r="F162" s="16">
        <f>IF(ISNUMBER(D162), $B172 * E162, "")</f>
        <v>-6435.6435643564355</v>
      </c>
      <c r="G162" s="29">
        <v>181</v>
      </c>
      <c r="H162" s="14">
        <f>IF(ISNUMBER(G162), (G162 - $B162) / $B162, "")</f>
        <v>-0.10396039603960396</v>
      </c>
      <c r="I162" s="100">
        <f>IF(ISNUMBER(G162), $B172 * H162, "")</f>
        <v>-10396.039603960395</v>
      </c>
      <c r="J162" s="13">
        <v>181</v>
      </c>
      <c r="K162" s="14">
        <f>IF(ISNUMBER(J162), (J162 - $B162) / $B162, "")</f>
        <v>-0.10396039603960396</v>
      </c>
      <c r="L162" s="16">
        <f>IF(ISNUMBER(J162), $B172 * K162, "")</f>
        <v>-10396.039603960395</v>
      </c>
      <c r="M162" s="29">
        <v>182</v>
      </c>
      <c r="N162" s="14">
        <f>IF(ISNUMBER(M162), (M162 - $B162) / $B162, "")</f>
        <v>-9.9009900990099015E-2</v>
      </c>
      <c r="O162" s="16">
        <f>IF(ISNUMBER(M162), $B172 * N162, "")</f>
        <v>-9900.9900990099013</v>
      </c>
      <c r="Q162" s="220"/>
      <c r="R162" s="221"/>
      <c r="S162" s="222"/>
    </row>
    <row r="163" spans="1:19" ht="17.25" thickBot="1">
      <c r="A163" s="125" t="s">
        <v>166</v>
      </c>
      <c r="B163" s="126">
        <v>136</v>
      </c>
      <c r="C163" s="77">
        <v>-2.15827338E-2</v>
      </c>
      <c r="D163" s="15">
        <v>127</v>
      </c>
      <c r="E163" s="32">
        <f t="shared" ref="E163:E166" si="86">IF(ISNUMBER(D163), (D163 - $B163) / $B163, "")</f>
        <v>-6.6176470588235295E-2</v>
      </c>
      <c r="F163" s="18">
        <f>IF(ISNUMBER(D163), $B172 * E163, "")</f>
        <v>-6617.6470588235297</v>
      </c>
      <c r="G163" s="31">
        <v>119</v>
      </c>
      <c r="H163" s="32">
        <f t="shared" ref="H163:H166" si="87">IF(ISNUMBER(G163), (G163 - $B163) / $B163, "")</f>
        <v>-0.125</v>
      </c>
      <c r="I163" s="101">
        <f>IF(ISNUMBER(G163), $B172 * H163, "")</f>
        <v>-12500</v>
      </c>
      <c r="J163" s="15">
        <v>121</v>
      </c>
      <c r="K163" s="32">
        <f t="shared" ref="K163:K166" si="88">IF(ISNUMBER(J163), (J163 - $B163) / $B163, "")</f>
        <v>-0.11029411764705882</v>
      </c>
      <c r="L163" s="18">
        <f>IF(ISNUMBER(J163), $B172 * K163, "")</f>
        <v>-11029.411764705883</v>
      </c>
      <c r="M163" s="31">
        <v>120</v>
      </c>
      <c r="N163" s="32">
        <f t="shared" ref="N163:N166" si="89">IF(ISNUMBER(M163), (M163 - $B163) / $B163, "")</f>
        <v>-0.11764705882352941</v>
      </c>
      <c r="O163" s="18">
        <f>IF(ISNUMBER(M163), $B172 * N163, "")</f>
        <v>-11764.705882352941</v>
      </c>
      <c r="Q163" s="223"/>
      <c r="R163" s="224"/>
      <c r="S163" s="225"/>
    </row>
    <row r="164" spans="1:19" ht="17.25" thickBot="1">
      <c r="A164" s="125" t="s">
        <v>228</v>
      </c>
      <c r="B164" s="126">
        <v>316</v>
      </c>
      <c r="C164" s="77">
        <v>-2.4691358E-2</v>
      </c>
      <c r="D164" s="15">
        <v>303</v>
      </c>
      <c r="E164" s="32">
        <f t="shared" si="86"/>
        <v>-4.1139240506329111E-2</v>
      </c>
      <c r="F164" s="18">
        <f>IF(ISNUMBER(D164), $B172 * E164, "")</f>
        <v>-4113.9240506329115</v>
      </c>
      <c r="G164" s="31">
        <v>284</v>
      </c>
      <c r="H164" s="32">
        <f t="shared" si="87"/>
        <v>-0.10126582278481013</v>
      </c>
      <c r="I164" s="101">
        <f>IF(ISNUMBER(G164), $B172 * H164, "")</f>
        <v>-10126.582278481012</v>
      </c>
      <c r="J164" s="15">
        <v>286</v>
      </c>
      <c r="K164" s="32">
        <f t="shared" si="88"/>
        <v>-9.49367088607595E-2</v>
      </c>
      <c r="L164" s="18">
        <f>IF(ISNUMBER(J164), $B172 * K164, "")</f>
        <v>-9493.67088607595</v>
      </c>
      <c r="M164" s="31">
        <v>289</v>
      </c>
      <c r="N164" s="32">
        <f t="shared" si="89"/>
        <v>-8.5443037974683542E-2</v>
      </c>
      <c r="O164" s="18">
        <f>IF(ISNUMBER(M164), $B172 * N164, "")</f>
        <v>-8544.3037974683539</v>
      </c>
      <c r="Q164" s="216"/>
      <c r="R164" s="216"/>
      <c r="S164" s="216"/>
    </row>
    <row r="165" spans="1:19" ht="17.25" thickBot="1">
      <c r="A165" s="125" t="s">
        <v>220</v>
      </c>
      <c r="B165" s="126">
        <v>178</v>
      </c>
      <c r="C165" s="77">
        <v>-2.73224044E-2</v>
      </c>
      <c r="D165" s="15">
        <v>170</v>
      </c>
      <c r="E165" s="32">
        <f t="shared" si="86"/>
        <v>-4.49438202247191E-2</v>
      </c>
      <c r="F165" s="18">
        <f>IF(ISNUMBER(D165), $B172 * E165, "")</f>
        <v>-4494.3820224719102</v>
      </c>
      <c r="G165" s="31">
        <v>161</v>
      </c>
      <c r="H165" s="32">
        <f t="shared" si="87"/>
        <v>-9.5505617977528087E-2</v>
      </c>
      <c r="I165" s="101">
        <f>IF(ISNUMBER(G165), $B172 * H165, "")</f>
        <v>-9550.5617977528091</v>
      </c>
      <c r="J165" s="15">
        <v>161</v>
      </c>
      <c r="K165" s="32">
        <f t="shared" si="88"/>
        <v>-9.5505617977528087E-2</v>
      </c>
      <c r="L165" s="18">
        <f>IF(ISNUMBER(J165), $B172 * K165, "")</f>
        <v>-9550.5617977528091</v>
      </c>
      <c r="M165" s="31">
        <v>168</v>
      </c>
      <c r="N165" s="32">
        <f t="shared" si="89"/>
        <v>-5.6179775280898875E-2</v>
      </c>
      <c r="O165" s="18">
        <f>IF(ISNUMBER(M165), $B172 * N165, "")</f>
        <v>-5617.9775280898875</v>
      </c>
      <c r="Q165" s="226"/>
      <c r="R165" s="226"/>
      <c r="S165" s="226"/>
    </row>
    <row r="166" spans="1:19" ht="17.25" thickBot="1">
      <c r="A166" s="127" t="s">
        <v>194</v>
      </c>
      <c r="B166" s="128">
        <v>131</v>
      </c>
      <c r="C166" s="78">
        <v>-2.9629629599999999E-2</v>
      </c>
      <c r="D166" s="20">
        <v>125</v>
      </c>
      <c r="E166" s="21">
        <f t="shared" si="86"/>
        <v>-4.5801526717557252E-2</v>
      </c>
      <c r="F166" s="22">
        <f>IF(ISNUMBER(D166), $B172 * E166, "")</f>
        <v>-4580.1526717557254</v>
      </c>
      <c r="G166" s="30">
        <v>122</v>
      </c>
      <c r="H166" s="21">
        <f t="shared" si="87"/>
        <v>-6.8702290076335881E-2</v>
      </c>
      <c r="I166" s="105">
        <f>IF(ISNUMBER(G166), $B172 * H166, "")</f>
        <v>-6870.2290076335885</v>
      </c>
      <c r="J166" s="20">
        <v>122</v>
      </c>
      <c r="K166" s="21">
        <f t="shared" si="88"/>
        <v>-6.8702290076335881E-2</v>
      </c>
      <c r="L166" s="22">
        <f>IF(ISNUMBER(J166), $B172 * K166, "")</f>
        <v>-6870.2290076335885</v>
      </c>
      <c r="M166" s="30">
        <v>121</v>
      </c>
      <c r="N166" s="21">
        <f t="shared" si="89"/>
        <v>-7.6335877862595422E-2</v>
      </c>
      <c r="O166" s="22">
        <f>IF(ISNUMBER(M166), $B172 * N166, "")</f>
        <v>-7633.5877862595426</v>
      </c>
      <c r="Q166" s="226"/>
      <c r="R166" s="226"/>
      <c r="S166" s="226"/>
    </row>
    <row r="167" spans="1:19" ht="17.25" thickBot="1">
      <c r="A167" s="125" t="s">
        <v>110</v>
      </c>
      <c r="B167" s="129">
        <v>130</v>
      </c>
      <c r="C167" s="80">
        <v>-2.9850746300000001E-2</v>
      </c>
      <c r="D167" s="106">
        <v>119</v>
      </c>
      <c r="E167" s="107">
        <f>IF(ISNUMBER(D167), (D167 - $B167) / $B167, "")</f>
        <v>-8.461538461538462E-2</v>
      </c>
      <c r="F167" s="108">
        <f>IF(ISNUMBER(D167), $B172 * E167, "")</f>
        <v>-8461.5384615384628</v>
      </c>
      <c r="G167" s="109">
        <v>113</v>
      </c>
      <c r="H167" s="107">
        <f>IF(ISNUMBER(G167), (G167 - $B167) / $B167, "")</f>
        <v>-0.13076923076923078</v>
      </c>
      <c r="I167" s="110">
        <f>IF(ISNUMBER(G167), $B172 * H167, "")</f>
        <v>-13076.923076923078</v>
      </c>
      <c r="J167" s="106">
        <v>112</v>
      </c>
      <c r="K167" s="107">
        <f>IF(ISNUMBER(J167), (J167 - $B167) / $B167, "")</f>
        <v>-0.13846153846153847</v>
      </c>
      <c r="L167" s="108">
        <f>IF(ISNUMBER(J167), $B172 * K167, "")</f>
        <v>-13846.153846153848</v>
      </c>
      <c r="M167" s="109">
        <v>114</v>
      </c>
      <c r="N167" s="107">
        <f>IF(ISNUMBER(M167), (M167 - $B167) / $B167, "")</f>
        <v>-0.12307692307692308</v>
      </c>
      <c r="O167" s="108">
        <f>IF(ISNUMBER(M167), $B172 * N167, "")</f>
        <v>-12307.692307692309</v>
      </c>
      <c r="Q167" s="216"/>
      <c r="R167" s="216"/>
      <c r="S167" s="216"/>
    </row>
    <row r="168" spans="1:19" ht="17.25" thickBot="1">
      <c r="A168" s="125" t="s">
        <v>124</v>
      </c>
      <c r="B168" s="126">
        <v>317</v>
      </c>
      <c r="C168" s="77">
        <v>-3.6474164099999998E-2</v>
      </c>
      <c r="D168" s="15">
        <v>308</v>
      </c>
      <c r="E168" s="32">
        <f t="shared" ref="E168:E171" si="90">IF(ISNUMBER(D168), (D168 - $B168) / $B168, "")</f>
        <v>-2.8391167192429023E-2</v>
      </c>
      <c r="F168" s="18">
        <f>IF(ISNUMBER(D168), $B172 * E168, "")</f>
        <v>-2839.116719242902</v>
      </c>
      <c r="G168" s="31">
        <v>294</v>
      </c>
      <c r="H168" s="32">
        <f t="shared" ref="H168:H171" si="91">IF(ISNUMBER(G168), (G168 - $B168) / $B168, "")</f>
        <v>-7.2555205047318619E-2</v>
      </c>
      <c r="I168" s="101">
        <f>IF(ISNUMBER(G168), $B172 * H168, "")</f>
        <v>-7255.5205047318623</v>
      </c>
      <c r="J168" s="15">
        <v>293</v>
      </c>
      <c r="K168" s="32">
        <f t="shared" ref="K168:K171" si="92">IF(ISNUMBER(J168), (J168 - $B168) / $B168, "")</f>
        <v>-7.5709779179810727E-2</v>
      </c>
      <c r="L168" s="18">
        <f>IF(ISNUMBER(J168), $B172 * K168, "")</f>
        <v>-7570.977917981073</v>
      </c>
      <c r="M168" s="31">
        <v>292</v>
      </c>
      <c r="N168" s="32">
        <f t="shared" ref="N168:N171" si="93">IF(ISNUMBER(M168), (M168 - $B168) / $B168, "")</f>
        <v>-7.8864353312302835E-2</v>
      </c>
      <c r="O168" s="18">
        <f>IF(ISNUMBER(M168), $B172 * N168, "")</f>
        <v>-7886.4353312302837</v>
      </c>
      <c r="Q168" s="216"/>
      <c r="R168" s="216"/>
      <c r="S168" s="216"/>
    </row>
    <row r="169" spans="1:19" ht="17.25" thickBot="1">
      <c r="A169" s="125" t="s">
        <v>253</v>
      </c>
      <c r="B169" s="126">
        <v>858</v>
      </c>
      <c r="C169" s="77">
        <v>-3.8116591900000003E-2</v>
      </c>
      <c r="D169" s="15">
        <v>795</v>
      </c>
      <c r="E169" s="32">
        <f t="shared" si="90"/>
        <v>-7.3426573426573424E-2</v>
      </c>
      <c r="F169" s="18">
        <f>IF(ISNUMBER(D169), $B172 * E169, "")</f>
        <v>-7342.6573426573423</v>
      </c>
      <c r="G169" s="31">
        <v>751</v>
      </c>
      <c r="H169" s="32">
        <f t="shared" si="91"/>
        <v>-0.1247086247086247</v>
      </c>
      <c r="I169" s="101">
        <f>IF(ISNUMBER(G169), $B172 * H169, "")</f>
        <v>-12470.86247086247</v>
      </c>
      <c r="J169" s="15">
        <v>753</v>
      </c>
      <c r="K169" s="32">
        <f t="shared" si="92"/>
        <v>-0.12237762237762238</v>
      </c>
      <c r="L169" s="18">
        <f>IF(ISNUMBER(J169), $B172 * K169, "")</f>
        <v>-12237.762237762237</v>
      </c>
      <c r="M169" s="31">
        <v>763</v>
      </c>
      <c r="N169" s="32">
        <f t="shared" si="93"/>
        <v>-0.11072261072261072</v>
      </c>
      <c r="O169" s="18">
        <f>IF(ISNUMBER(M169), $B172 * N169, "")</f>
        <v>-11072.261072261072</v>
      </c>
      <c r="Q169" s="216"/>
      <c r="R169" s="216"/>
      <c r="S169" s="216"/>
    </row>
    <row r="170" spans="1:19">
      <c r="A170" s="125" t="s">
        <v>200</v>
      </c>
      <c r="B170" s="126">
        <v>123</v>
      </c>
      <c r="C170" s="77">
        <v>-3.90625E-2</v>
      </c>
      <c r="D170" s="15">
        <v>127</v>
      </c>
      <c r="E170" s="32">
        <f t="shared" si="90"/>
        <v>3.2520325203252036E-2</v>
      </c>
      <c r="F170" s="18">
        <f>IF(ISNUMBER(D170), $B172 * E170, "")</f>
        <v>3252.0325203252037</v>
      </c>
      <c r="G170" s="31">
        <v>114</v>
      </c>
      <c r="H170" s="32">
        <f t="shared" si="91"/>
        <v>-7.3170731707317069E-2</v>
      </c>
      <c r="I170" s="101">
        <f>IF(ISNUMBER(G170), $B172 * H170, "")</f>
        <v>-7317.0731707317073</v>
      </c>
      <c r="J170" s="15">
        <v>113</v>
      </c>
      <c r="K170" s="32">
        <f t="shared" si="92"/>
        <v>-8.1300813008130079E-2</v>
      </c>
      <c r="L170" s="18">
        <f>IF(ISNUMBER(J170), $B172 * K170, "")</f>
        <v>-8130.0813008130081</v>
      </c>
      <c r="M170" s="31">
        <v>115</v>
      </c>
      <c r="N170" s="32">
        <f t="shared" si="93"/>
        <v>-6.5040650406504072E-2</v>
      </c>
      <c r="O170" s="18">
        <f>IF(ISNUMBER(M170), $B172 * N170, "")</f>
        <v>-6504.0650406504074</v>
      </c>
      <c r="Q170" s="205"/>
      <c r="R170" s="206"/>
      <c r="S170" s="207"/>
    </row>
    <row r="171" spans="1:19" ht="17.25" thickBot="1">
      <c r="A171" s="130" t="s">
        <v>218</v>
      </c>
      <c r="B171" s="131">
        <v>110</v>
      </c>
      <c r="C171" s="79">
        <v>-4.3478260900000003E-2</v>
      </c>
      <c r="D171" s="24">
        <v>103</v>
      </c>
      <c r="E171" s="25">
        <f t="shared" si="90"/>
        <v>-6.363636363636363E-2</v>
      </c>
      <c r="F171" s="104">
        <f>IF(ISNUMBER(D171), $B172 * E171, "")</f>
        <v>-6363.6363636363631</v>
      </c>
      <c r="G171" s="102">
        <v>99.2</v>
      </c>
      <c r="H171" s="25">
        <f t="shared" si="91"/>
        <v>-9.8181818181818162E-2</v>
      </c>
      <c r="I171" s="103">
        <f>IF(ISNUMBER(G171), $B172 * H171, "")</f>
        <v>-9818.1818181818162</v>
      </c>
      <c r="J171" s="24">
        <v>100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101</v>
      </c>
      <c r="N171" s="25">
        <f t="shared" si="93"/>
        <v>-8.1818181818181818E-2</v>
      </c>
      <c r="O171" s="104">
        <f>IF(ISNUMBER(M171), $B172 * N171, "")</f>
        <v>-8181.818181818182</v>
      </c>
      <c r="Q171" s="208"/>
      <c r="R171" s="209"/>
      <c r="S171" s="210"/>
    </row>
    <row r="172" spans="1:19" ht="17.25" thickBot="1">
      <c r="A172" s="132" t="s">
        <v>271</v>
      </c>
      <c r="B172" s="269">
        <f>$B$37</f>
        <v>100000</v>
      </c>
      <c r="C172" s="270"/>
      <c r="D172" s="26" t="s">
        <v>272</v>
      </c>
      <c r="E172" s="27">
        <f>IF(COUNT(E152:E171), SUM(E152:E171) / COUNT(E152:E171), 0)</f>
        <v>-4.0926391868565018E-2</v>
      </c>
      <c r="F172" s="28">
        <f>SUM(F152:F171)</f>
        <v>-81852.783737130041</v>
      </c>
      <c r="G172" s="26" t="s">
        <v>272</v>
      </c>
      <c r="H172" s="27">
        <f>IF(COUNT(H152:H171), SUM(H152:H171) / COUNT(H152:H171), 0)</f>
        <v>-7.888269979337903E-2</v>
      </c>
      <c r="I172" s="28">
        <f>SUM(I152:I171)</f>
        <v>-157765.39958675805</v>
      </c>
      <c r="J172" s="26" t="s">
        <v>272</v>
      </c>
      <c r="K172" s="27">
        <f>IF(COUNT(K152:K171), SUM(K152:K171) / COUNT(K152:K171), 0)</f>
        <v>-7.7569976242166744E-2</v>
      </c>
      <c r="L172" s="28">
        <f>SUM(L152:L171)</f>
        <v>-155139.95248433351</v>
      </c>
      <c r="M172" s="26" t="s">
        <v>272</v>
      </c>
      <c r="N172" s="27">
        <f>IF(COUNT(N152:N171), SUM(N152:N171) / COUNT(N152:N171), 0)</f>
        <v>-7.0503791503725349E-2</v>
      </c>
      <c r="O172" s="28">
        <f>SUM(O152:O171)</f>
        <v>-141007.58300745071</v>
      </c>
      <c r="Q172" s="211"/>
      <c r="R172" s="212"/>
      <c r="S172" s="213"/>
    </row>
    <row r="174" spans="1:19" ht="17.25" thickBot="1"/>
    <row r="175" spans="1:19" ht="17.25" thickBot="1">
      <c r="A175" s="227" t="s">
        <v>256</v>
      </c>
      <c r="B175" s="228"/>
      <c r="C175" s="228"/>
      <c r="D175" s="228"/>
      <c r="E175" s="228"/>
      <c r="F175" s="228"/>
      <c r="G175" s="228"/>
      <c r="H175" s="228"/>
      <c r="I175" s="228"/>
      <c r="J175" s="228"/>
      <c r="K175" s="228"/>
      <c r="L175" s="228"/>
      <c r="M175" s="228"/>
      <c r="N175" s="228"/>
      <c r="O175" s="229"/>
      <c r="Q175" s="226"/>
      <c r="R175" s="226"/>
      <c r="S175" s="226"/>
    </row>
    <row r="176" spans="1:19" ht="17.25" thickBot="1">
      <c r="A176" s="185" t="s">
        <v>268</v>
      </c>
      <c r="B176" s="227" t="s">
        <v>49</v>
      </c>
      <c r="C176" s="229"/>
      <c r="D176" s="227" t="s">
        <v>58</v>
      </c>
      <c r="E176" s="228"/>
      <c r="F176" s="229"/>
      <c r="G176" s="230">
        <f>_xlfn.IFNA(VLOOKUP(B176, 현재가테이블!$B$2:$D$200, 2, FALSE), "-")</f>
        <v>39916000</v>
      </c>
      <c r="H176" s="231"/>
      <c r="I176" s="232"/>
      <c r="J176" s="227" t="s">
        <v>59</v>
      </c>
      <c r="K176" s="228"/>
      <c r="L176" s="229"/>
      <c r="M176" s="233">
        <f>_xlfn.IFNA(VLOOKUP(B176, 현재가테이블!$B$2:$D$200, 3, FALSE), "-")</f>
        <v>7.3184273000000003E-3</v>
      </c>
      <c r="N176" s="234"/>
      <c r="O176" s="235"/>
      <c r="Q176" s="226"/>
      <c r="R176" s="226"/>
      <c r="S176" s="226"/>
    </row>
    <row r="177" spans="1:19" ht="17.25" thickBot="1">
      <c r="A177" s="271" t="s">
        <v>55</v>
      </c>
      <c r="B177" s="267" t="str">
        <f>TEXT($G$1, "[$-ko-KR]yyyy-mm-dd(ddd) ") &amp; "오전 00:00"</f>
        <v>2021-07-08(목) 오전 00:00</v>
      </c>
      <c r="C177" s="268"/>
      <c r="D177" s="240" t="str">
        <f>TEXT($G$1, "[$-ko-KR]yyyy-mm-dd(ddd) ") &amp; "오후 14:00"</f>
        <v>2021-07-08(목) 오후 14:00</v>
      </c>
      <c r="E177" s="241"/>
      <c r="F177" s="242"/>
      <c r="G177" s="240" t="str">
        <f>TEXT($G$1, "[$-ko-KR]yyyy-mm-dd(ddd) ") &amp; "오후 19:00"</f>
        <v>2021-07-08(목) 오후 19:00</v>
      </c>
      <c r="H177" s="241"/>
      <c r="I177" s="242"/>
      <c r="J177" s="240" t="str">
        <f>TEXT($G$1, "[$-ko-KR]yyyy-mm-dd(ddd) ") &amp; "오후 21:00"</f>
        <v>2021-07-08(목) 오후 21:00</v>
      </c>
      <c r="K177" s="241"/>
      <c r="L177" s="242"/>
      <c r="M177" s="240" t="str">
        <f>TEXT($G$1+1, "[$-ko-KR]yyyy-mm-dd(ddd) ") &amp; "오전 00:00"</f>
        <v>2021-07-09(금) 오전 00:00</v>
      </c>
      <c r="N177" s="241"/>
      <c r="O177" s="242"/>
      <c r="Q177" s="226"/>
      <c r="R177" s="226"/>
      <c r="S177" s="226"/>
    </row>
    <row r="178" spans="1:19" ht="17.25" thickBot="1">
      <c r="A178" s="27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6" t="s">
        <v>58</v>
      </c>
      <c r="H178" s="187" t="s">
        <v>269</v>
      </c>
      <c r="I178" s="18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6"/>
      <c r="R178" s="216"/>
      <c r="S178" s="216"/>
    </row>
    <row r="179" spans="1:19" ht="17.25" thickBot="1">
      <c r="A179" s="123" t="s">
        <v>239</v>
      </c>
      <c r="B179" s="124">
        <v>82.1</v>
      </c>
      <c r="C179" s="76">
        <v>-1.9115890100000001E-2</v>
      </c>
      <c r="D179" s="13">
        <v>76.7</v>
      </c>
      <c r="E179" s="14">
        <f>IF(ISNUMBER(D179), (D179 - $B179) / $B179, "")</f>
        <v>-6.5773447015834249E-2</v>
      </c>
      <c r="F179" s="16">
        <f>IF(ISNUMBER(D179), $B199 * E179, "")</f>
        <v>-6577.3447015834254</v>
      </c>
      <c r="G179" s="29">
        <v>72.3</v>
      </c>
      <c r="H179" s="14">
        <f>IF(ISNUMBER(G179), (G179 - $B179) / $B179, "")</f>
        <v>-0.11936662606577342</v>
      </c>
      <c r="I179" s="100">
        <f>IF(ISNUMBER(G179), $B199 * H179, "")</f>
        <v>-11936.662606577342</v>
      </c>
      <c r="J179" s="13">
        <v>72.8</v>
      </c>
      <c r="K179" s="14">
        <f>IF(ISNUMBER(J179), (J179 - $B179) / $B179, "")</f>
        <v>-0.11327649208282579</v>
      </c>
      <c r="L179" s="16">
        <f>IF(ISNUMBER(J179), $B199 * K179, "")</f>
        <v>-11327.649208282579</v>
      </c>
      <c r="M179" s="29">
        <v>73.2</v>
      </c>
      <c r="N179" s="14">
        <f>IF(ISNUMBER(M179), (M179 - $B179) / $B179, "")</f>
        <v>-0.10840438489646763</v>
      </c>
      <c r="O179" s="16">
        <f>IF(ISNUMBER(M179), $B199 * N179, "")</f>
        <v>-10840.438489646764</v>
      </c>
      <c r="Q179" s="226"/>
      <c r="R179" s="226"/>
      <c r="S179" s="226"/>
    </row>
    <row r="180" spans="1:19" ht="17.25" thickBot="1">
      <c r="A180" s="125" t="s">
        <v>245</v>
      </c>
      <c r="B180" s="126">
        <v>1215</v>
      </c>
      <c r="C180" s="77">
        <v>-2.0161290299999999E-2</v>
      </c>
      <c r="D180" s="15">
        <v>1155</v>
      </c>
      <c r="E180" s="32">
        <f t="shared" ref="E180:E183" si="94">IF(ISNUMBER(D180), (D180 - $B180) / $B180, "")</f>
        <v>-4.9382716049382713E-2</v>
      </c>
      <c r="F180" s="18">
        <f>IF(ISNUMBER(D180), $B199 * E180, "")</f>
        <v>-4938.2716049382716</v>
      </c>
      <c r="G180" s="31">
        <v>1075</v>
      </c>
      <c r="H180" s="32">
        <f t="shared" ref="H180:H183" si="95">IF(ISNUMBER(G180), (G180 - $B180) / $B180, "")</f>
        <v>-0.11522633744855967</v>
      </c>
      <c r="I180" s="101">
        <f>IF(ISNUMBER(G180), $B199 * H180, "")</f>
        <v>-11522.633744855968</v>
      </c>
      <c r="J180" s="15">
        <v>1070</v>
      </c>
      <c r="K180" s="32">
        <f t="shared" ref="K180:K183" si="96">IF(ISNUMBER(J180), (J180 - $B180) / $B180, "")</f>
        <v>-0.11934156378600823</v>
      </c>
      <c r="L180" s="18">
        <f>IF(ISNUMBER(J180), $B199 * K180, "")</f>
        <v>-11934.156378600823</v>
      </c>
      <c r="M180" s="31">
        <v>1095</v>
      </c>
      <c r="N180" s="32">
        <f t="shared" ref="N180:N183" si="97">IF(ISNUMBER(M180), (M180 - $B180) / $B180, "")</f>
        <v>-9.8765432098765427E-2</v>
      </c>
      <c r="O180" s="18">
        <f>IF(ISNUMBER(M180), $B199 * N180, "")</f>
        <v>-9876.5432098765432</v>
      </c>
      <c r="Q180" s="226"/>
      <c r="R180" s="226"/>
      <c r="S180" s="226"/>
    </row>
    <row r="181" spans="1:19" ht="17.25" thickBot="1">
      <c r="A181" s="125" t="s">
        <v>166</v>
      </c>
      <c r="B181" s="126">
        <v>136</v>
      </c>
      <c r="C181" s="77">
        <v>-2.15827338E-2</v>
      </c>
      <c r="D181" s="15">
        <v>127</v>
      </c>
      <c r="E181" s="32">
        <f t="shared" si="94"/>
        <v>-6.6176470588235295E-2</v>
      </c>
      <c r="F181" s="18">
        <f>IF(ISNUMBER(D181), $B199 * E181, "")</f>
        <v>-6617.6470588235297</v>
      </c>
      <c r="G181" s="31">
        <v>119</v>
      </c>
      <c r="H181" s="32">
        <f t="shared" si="95"/>
        <v>-0.125</v>
      </c>
      <c r="I181" s="101">
        <f>IF(ISNUMBER(G181), $B199 * H181, "")</f>
        <v>-12500</v>
      </c>
      <c r="J181" s="15">
        <v>121</v>
      </c>
      <c r="K181" s="32">
        <f t="shared" si="96"/>
        <v>-0.11029411764705882</v>
      </c>
      <c r="L181" s="18">
        <f>IF(ISNUMBER(J181), $B199 * K181, "")</f>
        <v>-11029.411764705883</v>
      </c>
      <c r="M181" s="31">
        <v>120</v>
      </c>
      <c r="N181" s="32">
        <f t="shared" si="97"/>
        <v>-0.11764705882352941</v>
      </c>
      <c r="O181" s="18">
        <f>IF(ISNUMBER(M181), $B199 * N181, "")</f>
        <v>-11764.705882352941</v>
      </c>
      <c r="Q181" s="216"/>
      <c r="R181" s="216"/>
      <c r="S181" s="216"/>
    </row>
    <row r="182" spans="1:19" ht="17.25" thickBot="1">
      <c r="A182" s="125" t="s">
        <v>202</v>
      </c>
      <c r="B182" s="126">
        <v>62.3</v>
      </c>
      <c r="C182" s="77">
        <v>-2.3510971799999999E-2</v>
      </c>
      <c r="D182" s="15">
        <v>58.3</v>
      </c>
      <c r="E182" s="32">
        <f t="shared" si="94"/>
        <v>-6.4205457463884438E-2</v>
      </c>
      <c r="F182" s="18">
        <f>IF(ISNUMBER(D182), $B199 * E182, "")</f>
        <v>-6420.5457463884441</v>
      </c>
      <c r="G182" s="31">
        <v>54.6</v>
      </c>
      <c r="H182" s="32">
        <f t="shared" si="95"/>
        <v>-0.12359550561797747</v>
      </c>
      <c r="I182" s="101">
        <f>IF(ISNUMBER(G182), $B199 * H182, "")</f>
        <v>-12359.550561797747</v>
      </c>
      <c r="J182" s="15">
        <v>54.4</v>
      </c>
      <c r="K182" s="32">
        <f t="shared" si="96"/>
        <v>-0.12680577849117172</v>
      </c>
      <c r="L182" s="18">
        <f>IF(ISNUMBER(J182), $B199 * K182, "")</f>
        <v>-12680.577849117171</v>
      </c>
      <c r="M182" s="31">
        <v>55.4</v>
      </c>
      <c r="N182" s="32">
        <f t="shared" si="97"/>
        <v>-0.11075441412520062</v>
      </c>
      <c r="O182" s="18">
        <f>IF(ISNUMBER(M182), $B199 * N182, "")</f>
        <v>-11075.441412520062</v>
      </c>
      <c r="Q182" s="216"/>
      <c r="R182" s="216"/>
      <c r="S182" s="216"/>
    </row>
    <row r="183" spans="1:19" ht="17.25" thickBot="1">
      <c r="A183" s="127" t="s">
        <v>228</v>
      </c>
      <c r="B183" s="128">
        <v>316</v>
      </c>
      <c r="C183" s="78">
        <v>-2.4691358E-2</v>
      </c>
      <c r="D183" s="20">
        <v>303</v>
      </c>
      <c r="E183" s="21">
        <f t="shared" si="94"/>
        <v>-4.1139240506329111E-2</v>
      </c>
      <c r="F183" s="22">
        <f>IF(ISNUMBER(D183), $B199 * E183, "")</f>
        <v>-4113.9240506329115</v>
      </c>
      <c r="G183" s="30">
        <v>284</v>
      </c>
      <c r="H183" s="21">
        <f t="shared" si="95"/>
        <v>-0.10126582278481013</v>
      </c>
      <c r="I183" s="105">
        <f>IF(ISNUMBER(G183), $B199 * H183, "")</f>
        <v>-10126.582278481012</v>
      </c>
      <c r="J183" s="20">
        <v>286</v>
      </c>
      <c r="K183" s="21">
        <f t="shared" si="96"/>
        <v>-9.49367088607595E-2</v>
      </c>
      <c r="L183" s="22">
        <f>IF(ISNUMBER(J183), $B199 * K183, "")</f>
        <v>-9493.67088607595</v>
      </c>
      <c r="M183" s="30">
        <v>289</v>
      </c>
      <c r="N183" s="21">
        <f t="shared" si="97"/>
        <v>-8.5443037974683542E-2</v>
      </c>
      <c r="O183" s="22">
        <f>IF(ISNUMBER(M183), $B199 * N183, "")</f>
        <v>-8544.3037974683539</v>
      </c>
      <c r="Q183" s="216"/>
      <c r="R183" s="216"/>
      <c r="S183" s="216"/>
    </row>
    <row r="184" spans="1:19" ht="17.25" thickBot="1">
      <c r="A184" s="125" t="s">
        <v>106</v>
      </c>
      <c r="B184" s="129">
        <v>34400</v>
      </c>
      <c r="C184" s="80">
        <v>-2.5219609E-2</v>
      </c>
      <c r="D184" s="106">
        <v>32830</v>
      </c>
      <c r="E184" s="107">
        <f>IF(ISNUMBER(D184), (D184 - $B184) / $B184, "")</f>
        <v>-4.5639534883720932E-2</v>
      </c>
      <c r="F184" s="108">
        <f>IF(ISNUMBER(D184), $B199 * E184, "")</f>
        <v>-4563.9534883720935</v>
      </c>
      <c r="G184" s="109">
        <v>32180</v>
      </c>
      <c r="H184" s="107">
        <f>IF(ISNUMBER(G184), (G184 - $B184) / $B184, "")</f>
        <v>-6.4534883720930233E-2</v>
      </c>
      <c r="I184" s="110">
        <f>IF(ISNUMBER(G184), $B199 * H184, "")</f>
        <v>-6453.4883720930229</v>
      </c>
      <c r="J184" s="106">
        <v>32340</v>
      </c>
      <c r="K184" s="107">
        <f>IF(ISNUMBER(J184), (J184 - $B184) / $B184, "")</f>
        <v>-5.9883720930232559E-2</v>
      </c>
      <c r="L184" s="108">
        <f>IF(ISNUMBER(J184), $B199 * K184, "")</f>
        <v>-5988.3720930232557</v>
      </c>
      <c r="M184" s="109">
        <v>32000</v>
      </c>
      <c r="N184" s="107">
        <f>IF(ISNUMBER(M184), (M184 - $B184) / $B184, "")</f>
        <v>-6.9767441860465115E-2</v>
      </c>
      <c r="O184" s="108">
        <f>IF(ISNUMBER(M184), $B199 * N184, "")</f>
        <v>-6976.7441860465115</v>
      </c>
      <c r="Q184" s="216"/>
      <c r="R184" s="216"/>
      <c r="S184" s="216"/>
    </row>
    <row r="185" spans="1:19" ht="17.25" thickBot="1">
      <c r="A185" s="125" t="s">
        <v>220</v>
      </c>
      <c r="B185" s="126">
        <v>178</v>
      </c>
      <c r="C185" s="77">
        <v>-2.73224044E-2</v>
      </c>
      <c r="D185" s="15">
        <v>170</v>
      </c>
      <c r="E185" s="32">
        <f t="shared" ref="E185:E188" si="98">IF(ISNUMBER(D185), (D185 - $B185) / $B185, "")</f>
        <v>-4.49438202247191E-2</v>
      </c>
      <c r="F185" s="18">
        <f>IF(ISNUMBER(D185), $B199 * E185, "")</f>
        <v>-4494.3820224719102</v>
      </c>
      <c r="G185" s="31">
        <v>161</v>
      </c>
      <c r="H185" s="32">
        <f t="shared" ref="H185:H188" si="99">IF(ISNUMBER(G185), (G185 - $B185) / $B185, "")</f>
        <v>-9.5505617977528087E-2</v>
      </c>
      <c r="I185" s="101">
        <f>IF(ISNUMBER(G185), $B199 * H185, "")</f>
        <v>-9550.5617977528091</v>
      </c>
      <c r="J185" s="15">
        <v>161</v>
      </c>
      <c r="K185" s="32">
        <f t="shared" ref="K185:K188" si="100">IF(ISNUMBER(J185), (J185 - $B185) / $B185, "")</f>
        <v>-9.5505617977528087E-2</v>
      </c>
      <c r="L185" s="18">
        <f>IF(ISNUMBER(J185), $B199 * K185, "")</f>
        <v>-9550.5617977528091</v>
      </c>
      <c r="M185" s="31">
        <v>168</v>
      </c>
      <c r="N185" s="32">
        <f t="shared" ref="N185:N188" si="101">IF(ISNUMBER(M185), (M185 - $B185) / $B185, "")</f>
        <v>-5.6179775280898875E-2</v>
      </c>
      <c r="O185" s="18">
        <f>IF(ISNUMBER(M185), $B199 * N185, "")</f>
        <v>-5617.9775280898875</v>
      </c>
      <c r="Q185" s="216"/>
      <c r="R185" s="216"/>
      <c r="S185" s="216"/>
    </row>
    <row r="186" spans="1:19" ht="17.25" thickBot="1">
      <c r="A186" s="125" t="s">
        <v>241</v>
      </c>
      <c r="B186" s="126">
        <v>56.4</v>
      </c>
      <c r="C186" s="77">
        <v>-2.75862069E-2</v>
      </c>
      <c r="D186" s="15">
        <v>53.4</v>
      </c>
      <c r="E186" s="32">
        <f t="shared" si="98"/>
        <v>-5.3191489361702128E-2</v>
      </c>
      <c r="F186" s="18">
        <f>IF(ISNUMBER(D186), $B199 * E186, "")</f>
        <v>-5319.1489361702124</v>
      </c>
      <c r="G186" s="31">
        <v>49.5</v>
      </c>
      <c r="H186" s="32">
        <f t="shared" si="99"/>
        <v>-0.12234042553191488</v>
      </c>
      <c r="I186" s="101">
        <f>IF(ISNUMBER(G186), $B199 * H186, "")</f>
        <v>-12234.042553191488</v>
      </c>
      <c r="J186" s="15">
        <v>49.8</v>
      </c>
      <c r="K186" s="32">
        <f t="shared" si="100"/>
        <v>-0.11702127659574471</v>
      </c>
      <c r="L186" s="18">
        <f>IF(ISNUMBER(J186), $B199 * K186, "")</f>
        <v>-11702.127659574471</v>
      </c>
      <c r="M186" s="31">
        <v>51.2</v>
      </c>
      <c r="N186" s="32">
        <f t="shared" si="101"/>
        <v>-9.2198581560283613E-2</v>
      </c>
      <c r="O186" s="18">
        <f>IF(ISNUMBER(M186), $B199 * N186, "")</f>
        <v>-9219.8581560283619</v>
      </c>
      <c r="Q186" s="216"/>
      <c r="R186" s="216"/>
      <c r="S186" s="216"/>
    </row>
    <row r="187" spans="1:19" ht="17.25" thickBot="1">
      <c r="A187" s="125" t="s">
        <v>210</v>
      </c>
      <c r="B187" s="126">
        <v>10.4</v>
      </c>
      <c r="C187" s="77">
        <v>-2.8037383200000002E-2</v>
      </c>
      <c r="D187" s="15">
        <v>9.75</v>
      </c>
      <c r="E187" s="32">
        <f t="shared" si="98"/>
        <v>-6.2500000000000028E-2</v>
      </c>
      <c r="F187" s="18">
        <f>IF(ISNUMBER(D187), $B199 * E187, "")</f>
        <v>-6250.0000000000027</v>
      </c>
      <c r="G187" s="31">
        <v>9.27</v>
      </c>
      <c r="H187" s="32">
        <f t="shared" si="99"/>
        <v>-0.10865384615384623</v>
      </c>
      <c r="I187" s="101">
        <f>IF(ISNUMBER(G187), $B199 * H187, "")</f>
        <v>-10865.384615384623</v>
      </c>
      <c r="J187" s="15">
        <v>9.26</v>
      </c>
      <c r="K187" s="32">
        <f t="shared" si="100"/>
        <v>-0.10961538461538467</v>
      </c>
      <c r="L187" s="18">
        <f>IF(ISNUMBER(J187), $B199 * K187, "")</f>
        <v>-10961.538461538466</v>
      </c>
      <c r="M187" s="31">
        <v>9.31</v>
      </c>
      <c r="N187" s="32">
        <f t="shared" si="101"/>
        <v>-0.1048076923076923</v>
      </c>
      <c r="O187" s="18">
        <f>IF(ISNUMBER(M187), $B199 * N187, "")</f>
        <v>-10480.76923076923</v>
      </c>
      <c r="Q187" s="33"/>
      <c r="R187" s="33"/>
    </row>
    <row r="188" spans="1:19" ht="17.25" thickBot="1">
      <c r="A188" s="130" t="s">
        <v>208</v>
      </c>
      <c r="B188" s="131">
        <v>10.3</v>
      </c>
      <c r="C188" s="79">
        <v>-2.8301886799999999E-2</v>
      </c>
      <c r="D188" s="24">
        <v>9.59</v>
      </c>
      <c r="E188" s="25">
        <f t="shared" si="98"/>
        <v>-6.8932038834951539E-2</v>
      </c>
      <c r="F188" s="104">
        <f>IF(ISNUMBER(D188), $B199 * E188, "")</f>
        <v>-6893.2038834951536</v>
      </c>
      <c r="G188" s="102">
        <v>9.2799999999999994</v>
      </c>
      <c r="H188" s="25">
        <f t="shared" si="99"/>
        <v>-9.9029126213592361E-2</v>
      </c>
      <c r="I188" s="103">
        <f>IF(ISNUMBER(G188), $B199 * H188, "")</f>
        <v>-9902.9126213592353</v>
      </c>
      <c r="J188" s="24">
        <v>9.2200000000000006</v>
      </c>
      <c r="K188" s="25">
        <f t="shared" si="100"/>
        <v>-0.10485436893203884</v>
      </c>
      <c r="L188" s="104">
        <f>IF(ISNUMBER(J188), $B199 * K188, "")</f>
        <v>-10485.436893203883</v>
      </c>
      <c r="M188" s="102">
        <v>9.3000000000000007</v>
      </c>
      <c r="N188" s="25">
        <f t="shared" si="101"/>
        <v>-9.7087378640776698E-2</v>
      </c>
      <c r="O188" s="104">
        <f>IF(ISNUMBER(M188), $B199 * N188, "")</f>
        <v>-9708.7378640776697</v>
      </c>
      <c r="Q188" s="217"/>
      <c r="R188" s="218"/>
      <c r="S188" s="219"/>
    </row>
    <row r="189" spans="1:19">
      <c r="A189" s="123" t="s">
        <v>194</v>
      </c>
      <c r="B189" s="124">
        <v>131</v>
      </c>
      <c r="C189" s="76">
        <v>-2.9629629599999999E-2</v>
      </c>
      <c r="D189" s="13">
        <v>125</v>
      </c>
      <c r="E189" s="14">
        <f>IF(ISNUMBER(D189), (D189 - $B189) / $B189, "")</f>
        <v>-4.5801526717557252E-2</v>
      </c>
      <c r="F189" s="16">
        <f>IF(ISNUMBER(D189), $B199 * E189, "")</f>
        <v>-4580.1526717557254</v>
      </c>
      <c r="G189" s="29">
        <v>122</v>
      </c>
      <c r="H189" s="14">
        <f>IF(ISNUMBER(G189), (G189 - $B189) / $B189, "")</f>
        <v>-6.8702290076335881E-2</v>
      </c>
      <c r="I189" s="100">
        <f>IF(ISNUMBER(G189), $B199 * H189, "")</f>
        <v>-6870.2290076335885</v>
      </c>
      <c r="J189" s="13">
        <v>122</v>
      </c>
      <c r="K189" s="14">
        <f>IF(ISNUMBER(J189), (J189 - $B189) / $B189, "")</f>
        <v>-6.8702290076335881E-2</v>
      </c>
      <c r="L189" s="16">
        <f>IF(ISNUMBER(J189), $B199 * K189, "")</f>
        <v>-6870.2290076335885</v>
      </c>
      <c r="M189" s="29">
        <v>121</v>
      </c>
      <c r="N189" s="14">
        <f>IF(ISNUMBER(M189), (M189 - $B189) / $B189, "")</f>
        <v>-7.6335877862595422E-2</v>
      </c>
      <c r="O189" s="16">
        <f>IF(ISNUMBER(M189), $B199 * N189, "")</f>
        <v>-7633.5877862595426</v>
      </c>
      <c r="Q189" s="220"/>
      <c r="R189" s="221"/>
      <c r="S189" s="222"/>
    </row>
    <row r="190" spans="1:19" ht="17.25" thickBot="1">
      <c r="A190" s="125" t="s">
        <v>110</v>
      </c>
      <c r="B190" s="126">
        <v>130</v>
      </c>
      <c r="C190" s="77">
        <v>-2.9850746300000001E-2</v>
      </c>
      <c r="D190" s="15">
        <v>119</v>
      </c>
      <c r="E190" s="32">
        <f t="shared" ref="E190:E193" si="102">IF(ISNUMBER(D190), (D190 - $B190) / $B190, "")</f>
        <v>-8.461538461538462E-2</v>
      </c>
      <c r="F190" s="18">
        <f>IF(ISNUMBER(D190), $B199 * E190, "")</f>
        <v>-8461.5384615384628</v>
      </c>
      <c r="G190" s="31">
        <v>113</v>
      </c>
      <c r="H190" s="32">
        <f t="shared" ref="H190:H193" si="103">IF(ISNUMBER(G190), (G190 - $B190) / $B190, "")</f>
        <v>-0.13076923076923078</v>
      </c>
      <c r="I190" s="101">
        <f>IF(ISNUMBER(G190), $B199 * H190, "")</f>
        <v>-13076.923076923078</v>
      </c>
      <c r="J190" s="15">
        <v>112</v>
      </c>
      <c r="K190" s="32">
        <f t="shared" ref="K190:K193" si="104">IF(ISNUMBER(J190), (J190 - $B190) / $B190, "")</f>
        <v>-0.13846153846153847</v>
      </c>
      <c r="L190" s="18">
        <f>IF(ISNUMBER(J190), $B199 * K190, "")</f>
        <v>-13846.153846153848</v>
      </c>
      <c r="M190" s="31">
        <v>114</v>
      </c>
      <c r="N190" s="32">
        <f t="shared" ref="N190:N193" si="105">IF(ISNUMBER(M190), (M190 - $B190) / $B190, "")</f>
        <v>-0.12307692307692308</v>
      </c>
      <c r="O190" s="18">
        <f>IF(ISNUMBER(M190), $B199 * N190, "")</f>
        <v>-12307.692307692309</v>
      </c>
      <c r="Q190" s="223"/>
      <c r="R190" s="224"/>
      <c r="S190" s="225"/>
    </row>
    <row r="191" spans="1:19" ht="17.25" thickBot="1">
      <c r="A191" s="125" t="s">
        <v>235</v>
      </c>
      <c r="B191" s="126">
        <v>60.6</v>
      </c>
      <c r="C191" s="77">
        <v>-3.04E-2</v>
      </c>
      <c r="D191" s="15">
        <v>55.2</v>
      </c>
      <c r="E191" s="32">
        <f t="shared" si="102"/>
        <v>-8.9108910891089077E-2</v>
      </c>
      <c r="F191" s="18">
        <f>IF(ISNUMBER(D191), $B199 * E191, "")</f>
        <v>-8910.8910891089072</v>
      </c>
      <c r="G191" s="31">
        <v>52.8</v>
      </c>
      <c r="H191" s="32">
        <f t="shared" si="103"/>
        <v>-0.12871287128712877</v>
      </c>
      <c r="I191" s="101">
        <f>IF(ISNUMBER(G191), $B199 * H191, "")</f>
        <v>-12871.287128712876</v>
      </c>
      <c r="J191" s="15">
        <v>53.1</v>
      </c>
      <c r="K191" s="32">
        <f t="shared" si="104"/>
        <v>-0.12376237623762376</v>
      </c>
      <c r="L191" s="18">
        <f>IF(ISNUMBER(J191), $B199 * K191, "")</f>
        <v>-12376.237623762376</v>
      </c>
      <c r="M191" s="31">
        <v>53.4</v>
      </c>
      <c r="N191" s="32">
        <f t="shared" si="105"/>
        <v>-0.11881188118811886</v>
      </c>
      <c r="O191" s="18">
        <f>IF(ISNUMBER(M191), $B199 * N191, "")</f>
        <v>-11881.188118811886</v>
      </c>
      <c r="Q191" s="216"/>
      <c r="R191" s="216"/>
      <c r="S191" s="216"/>
    </row>
    <row r="192" spans="1:19" ht="17.25" thickBot="1">
      <c r="A192" s="125" t="s">
        <v>216</v>
      </c>
      <c r="B192" s="126">
        <v>9.58</v>
      </c>
      <c r="C192" s="77">
        <v>-3.52467271E-2</v>
      </c>
      <c r="D192" s="15">
        <v>8.81</v>
      </c>
      <c r="E192" s="32">
        <f t="shared" si="102"/>
        <v>-8.0375782881002042E-2</v>
      </c>
      <c r="F192" s="18">
        <f>IF(ISNUMBER(D192), $B199 * E192, "")</f>
        <v>-8037.5782881002042</v>
      </c>
      <c r="G192" s="31">
        <v>8.36</v>
      </c>
      <c r="H192" s="32">
        <f t="shared" si="103"/>
        <v>-0.12734864300626311</v>
      </c>
      <c r="I192" s="101">
        <f>IF(ISNUMBER(G192), $B199 * H192, "")</f>
        <v>-12734.864300626312</v>
      </c>
      <c r="J192" s="15">
        <v>8.36</v>
      </c>
      <c r="K192" s="32">
        <f t="shared" si="104"/>
        <v>-0.12734864300626311</v>
      </c>
      <c r="L192" s="18">
        <f>IF(ISNUMBER(J192), $B199 * K192, "")</f>
        <v>-12734.864300626312</v>
      </c>
      <c r="M192" s="31">
        <v>8.44</v>
      </c>
      <c r="N192" s="32">
        <f t="shared" si="105"/>
        <v>-0.11899791231732783</v>
      </c>
      <c r="O192" s="18">
        <f>IF(ISNUMBER(M192), $B199 * N192, "")</f>
        <v>-11899.791231732783</v>
      </c>
      <c r="Q192" s="226"/>
      <c r="R192" s="226"/>
      <c r="S192" s="226"/>
    </row>
    <row r="193" spans="1:19" ht="17.25" thickBot="1">
      <c r="A193" s="127" t="s">
        <v>124</v>
      </c>
      <c r="B193" s="128">
        <v>317</v>
      </c>
      <c r="C193" s="78">
        <v>-3.6474164099999998E-2</v>
      </c>
      <c r="D193" s="20">
        <v>308</v>
      </c>
      <c r="E193" s="21">
        <f t="shared" si="102"/>
        <v>-2.8391167192429023E-2</v>
      </c>
      <c r="F193" s="22">
        <f>IF(ISNUMBER(D193), $B199 * E193, "")</f>
        <v>-2839.116719242902</v>
      </c>
      <c r="G193" s="30">
        <v>294</v>
      </c>
      <c r="H193" s="21">
        <f t="shared" si="103"/>
        <v>-7.2555205047318619E-2</v>
      </c>
      <c r="I193" s="105">
        <f>IF(ISNUMBER(G193), $B199 * H193, "")</f>
        <v>-7255.5205047318623</v>
      </c>
      <c r="J193" s="20">
        <v>293</v>
      </c>
      <c r="K193" s="21">
        <f t="shared" si="104"/>
        <v>-7.5709779179810727E-2</v>
      </c>
      <c r="L193" s="22">
        <f>IF(ISNUMBER(J193), $B199 * K193, "")</f>
        <v>-7570.977917981073</v>
      </c>
      <c r="M193" s="30">
        <v>292</v>
      </c>
      <c r="N193" s="21">
        <f t="shared" si="105"/>
        <v>-7.8864353312302835E-2</v>
      </c>
      <c r="O193" s="22">
        <f>IF(ISNUMBER(M193), $B199 * N193, "")</f>
        <v>-7886.4353312302837</v>
      </c>
      <c r="Q193" s="226"/>
      <c r="R193" s="226"/>
      <c r="S193" s="226"/>
    </row>
    <row r="194" spans="1:19" ht="17.25" thickBot="1">
      <c r="A194" s="125" t="s">
        <v>253</v>
      </c>
      <c r="B194" s="129">
        <v>858</v>
      </c>
      <c r="C194" s="80">
        <v>-3.8116591900000003E-2</v>
      </c>
      <c r="D194" s="106">
        <v>795</v>
      </c>
      <c r="E194" s="107">
        <f>IF(ISNUMBER(D194), (D194 - $B194) / $B194, "")</f>
        <v>-7.3426573426573424E-2</v>
      </c>
      <c r="F194" s="108">
        <f>IF(ISNUMBER(D194), $B199 * E194, "")</f>
        <v>-7342.6573426573423</v>
      </c>
      <c r="G194" s="109">
        <v>751</v>
      </c>
      <c r="H194" s="107">
        <f>IF(ISNUMBER(G194), (G194 - $B194) / $B194, "")</f>
        <v>-0.1247086247086247</v>
      </c>
      <c r="I194" s="110">
        <f>IF(ISNUMBER(G194), $B199 * H194, "")</f>
        <v>-12470.86247086247</v>
      </c>
      <c r="J194" s="106">
        <v>753</v>
      </c>
      <c r="K194" s="107">
        <f>IF(ISNUMBER(J194), (J194 - $B194) / $B194, "")</f>
        <v>-0.12237762237762238</v>
      </c>
      <c r="L194" s="108">
        <f>IF(ISNUMBER(J194), $B199 * K194, "")</f>
        <v>-12237.762237762237</v>
      </c>
      <c r="M194" s="109">
        <v>763</v>
      </c>
      <c r="N194" s="107">
        <f>IF(ISNUMBER(M194), (M194 - $B194) / $B194, "")</f>
        <v>-0.11072261072261072</v>
      </c>
      <c r="O194" s="108">
        <f>IF(ISNUMBER(M194), $B199 * N194, "")</f>
        <v>-11072.261072261072</v>
      </c>
      <c r="Q194" s="216"/>
      <c r="R194" s="216"/>
      <c r="S194" s="216"/>
    </row>
    <row r="195" spans="1:19" ht="17.25" thickBot="1">
      <c r="A195" s="125" t="s">
        <v>200</v>
      </c>
      <c r="B195" s="126">
        <v>123</v>
      </c>
      <c r="C195" s="77">
        <v>-3.90625E-2</v>
      </c>
      <c r="D195" s="15">
        <v>127</v>
      </c>
      <c r="E195" s="32">
        <f t="shared" ref="E195:E198" si="106">IF(ISNUMBER(D195), (D195 - $B195) / $B195, "")</f>
        <v>3.2520325203252036E-2</v>
      </c>
      <c r="F195" s="18">
        <f>IF(ISNUMBER(D195), $B199 * E195, "")</f>
        <v>3252.0325203252037</v>
      </c>
      <c r="G195" s="31">
        <v>114</v>
      </c>
      <c r="H195" s="32">
        <f t="shared" ref="H195:H198" si="107">IF(ISNUMBER(G195), (G195 - $B195) / $B195, "")</f>
        <v>-7.3170731707317069E-2</v>
      </c>
      <c r="I195" s="101">
        <f>IF(ISNUMBER(G195), $B199 * H195, "")</f>
        <v>-7317.0731707317073</v>
      </c>
      <c r="J195" s="15">
        <v>113</v>
      </c>
      <c r="K195" s="32">
        <f t="shared" ref="K195:K198" si="108">IF(ISNUMBER(J195), (J195 - $B195) / $B195, "")</f>
        <v>-8.1300813008130079E-2</v>
      </c>
      <c r="L195" s="18">
        <f>IF(ISNUMBER(J195), $B199 * K195, "")</f>
        <v>-8130.0813008130081</v>
      </c>
      <c r="M195" s="31">
        <v>115</v>
      </c>
      <c r="N195" s="32">
        <f t="shared" ref="N195:N198" si="109">IF(ISNUMBER(M195), (M195 - $B195) / $B195, "")</f>
        <v>-6.5040650406504072E-2</v>
      </c>
      <c r="O195" s="18">
        <f>IF(ISNUMBER(M195), $B199 * N195, "")</f>
        <v>-6504.0650406504074</v>
      </c>
      <c r="Q195" s="216"/>
      <c r="R195" s="216"/>
      <c r="S195" s="216"/>
    </row>
    <row r="196" spans="1:19" ht="17.25" thickBot="1">
      <c r="A196" s="125" t="s">
        <v>218</v>
      </c>
      <c r="B196" s="126">
        <v>110</v>
      </c>
      <c r="C196" s="77">
        <v>-4.3478260900000003E-2</v>
      </c>
      <c r="D196" s="15">
        <v>103</v>
      </c>
      <c r="E196" s="32">
        <f t="shared" si="106"/>
        <v>-6.363636363636363E-2</v>
      </c>
      <c r="F196" s="18">
        <f>IF(ISNUMBER(D196), $B199 * E196, "")</f>
        <v>-6363.6363636363631</v>
      </c>
      <c r="G196" s="31">
        <v>99.2</v>
      </c>
      <c r="H196" s="32">
        <f t="shared" si="107"/>
        <v>-9.8181818181818162E-2</v>
      </c>
      <c r="I196" s="101">
        <f>IF(ISNUMBER(G196), $B199 * H196, "")</f>
        <v>-9818.1818181818162</v>
      </c>
      <c r="J196" s="15">
        <v>100</v>
      </c>
      <c r="K196" s="32">
        <f t="shared" si="108"/>
        <v>-9.0909090909090912E-2</v>
      </c>
      <c r="L196" s="18">
        <f>IF(ISNUMBER(J196), $B199 * K196, "")</f>
        <v>-9090.9090909090919</v>
      </c>
      <c r="M196" s="31">
        <v>101</v>
      </c>
      <c r="N196" s="32">
        <f t="shared" si="109"/>
        <v>-8.1818181818181818E-2</v>
      </c>
      <c r="O196" s="18">
        <f>IF(ISNUMBER(M196), $B199 * N196, "")</f>
        <v>-8181.818181818182</v>
      </c>
      <c r="Q196" s="216"/>
      <c r="R196" s="216"/>
      <c r="S196" s="216"/>
    </row>
    <row r="197" spans="1:19">
      <c r="A197" s="125" t="s">
        <v>150</v>
      </c>
      <c r="B197" s="126">
        <v>10.4</v>
      </c>
      <c r="C197" s="77">
        <v>-4.58715596E-2</v>
      </c>
      <c r="D197" s="15">
        <v>9.77</v>
      </c>
      <c r="E197" s="32">
        <f t="shared" si="106"/>
        <v>-6.0576923076923153E-2</v>
      </c>
      <c r="F197" s="18">
        <f>IF(ISNUMBER(D197), $B199 * E197, "")</f>
        <v>-6057.6923076923149</v>
      </c>
      <c r="G197" s="31">
        <v>9.14</v>
      </c>
      <c r="H197" s="32">
        <f t="shared" si="107"/>
        <v>-0.12115384615384613</v>
      </c>
      <c r="I197" s="101">
        <f>IF(ISNUMBER(G197), $B199 * H197, "")</f>
        <v>-12115.384615384613</v>
      </c>
      <c r="J197" s="15">
        <v>9.1999999999999993</v>
      </c>
      <c r="K197" s="32">
        <f t="shared" si="108"/>
        <v>-0.11538461538461549</v>
      </c>
      <c r="L197" s="18">
        <f>IF(ISNUMBER(J197), $B199 * K197, "")</f>
        <v>-11538.461538461548</v>
      </c>
      <c r="M197" s="31">
        <v>9.32</v>
      </c>
      <c r="N197" s="32">
        <f t="shared" si="109"/>
        <v>-0.10384615384615385</v>
      </c>
      <c r="O197" s="18">
        <f>IF(ISNUMBER(M197), $B199 * N197, "")</f>
        <v>-10384.615384615385</v>
      </c>
      <c r="Q197" s="205"/>
      <c r="R197" s="206"/>
      <c r="S197" s="207"/>
    </row>
    <row r="198" spans="1:19" ht="17.25" thickBot="1">
      <c r="A198" s="130" t="s">
        <v>178</v>
      </c>
      <c r="B198" s="131">
        <v>15.6</v>
      </c>
      <c r="C198" s="79">
        <v>-4.8780487800000001E-2</v>
      </c>
      <c r="D198" s="24">
        <v>14.6</v>
      </c>
      <c r="E198" s="25">
        <f t="shared" si="106"/>
        <v>-6.4102564102564111E-2</v>
      </c>
      <c r="F198" s="104">
        <f>IF(ISNUMBER(D198), $B199 * E198, "")</f>
        <v>-6410.2564102564111</v>
      </c>
      <c r="G198" s="102">
        <v>13.9</v>
      </c>
      <c r="H198" s="25">
        <f t="shared" si="107"/>
        <v>-0.10897435897435893</v>
      </c>
      <c r="I198" s="103">
        <f>IF(ISNUMBER(G198), $B199 * H198, "")</f>
        <v>-10897.435897435893</v>
      </c>
      <c r="J198" s="24">
        <v>14</v>
      </c>
      <c r="K198" s="25">
        <f t="shared" si="108"/>
        <v>-0.10256410256410255</v>
      </c>
      <c r="L198" s="104">
        <f>IF(ISNUMBER(J198), $B199 * K198, "")</f>
        <v>-10256.410256410254</v>
      </c>
      <c r="M198" s="102">
        <v>14.4</v>
      </c>
      <c r="N198" s="25">
        <f t="shared" si="109"/>
        <v>-7.6923076923076886E-2</v>
      </c>
      <c r="O198" s="104">
        <f>IF(ISNUMBER(M198), $B199 * N198, "")</f>
        <v>-7692.3076923076887</v>
      </c>
      <c r="Q198" s="208"/>
      <c r="R198" s="209"/>
      <c r="S198" s="210"/>
    </row>
    <row r="199" spans="1:19" ht="17.25" thickBot="1">
      <c r="A199" s="132" t="s">
        <v>271</v>
      </c>
      <c r="B199" s="269">
        <f>$B$37</f>
        <v>100000</v>
      </c>
      <c r="C199" s="270"/>
      <c r="D199" s="26" t="s">
        <v>272</v>
      </c>
      <c r="E199" s="27">
        <f>IF(COUNT(E179:E198), SUM(E179:E198) / COUNT(E179:E198), 0)</f>
        <v>-5.5969954313269697E-2</v>
      </c>
      <c r="F199" s="28">
        <f>SUM(F179:F198)</f>
        <v>-111939.90862653939</v>
      </c>
      <c r="G199" s="26" t="s">
        <v>272</v>
      </c>
      <c r="H199" s="27">
        <f>IF(COUNT(H179:H198), SUM(H179:H198) / COUNT(H179:H198), 0)</f>
        <v>-0.10643979057135873</v>
      </c>
      <c r="I199" s="28">
        <f>SUM(I179:I198)</f>
        <v>-212879.58114271748</v>
      </c>
      <c r="J199" s="26" t="s">
        <v>272</v>
      </c>
      <c r="K199" s="27">
        <f>IF(COUNT(K179:K198), SUM(K179:K198) / COUNT(K179:K198), 0)</f>
        <v>-0.10490279505619429</v>
      </c>
      <c r="L199" s="28">
        <f>SUM(L179:L198)</f>
        <v>-209805.59011238863</v>
      </c>
      <c r="M199" s="26" t="s">
        <v>272</v>
      </c>
      <c r="N199" s="27">
        <f>IF(COUNT(N179:N198), SUM(N179:N198) / COUNT(N179:N198), 0)</f>
        <v>-9.4774640952127925E-2</v>
      </c>
      <c r="O199" s="28">
        <f>SUM(O179:O198)</f>
        <v>-189549.28190425585</v>
      </c>
      <c r="Q199" s="211"/>
      <c r="R199" s="212"/>
      <c r="S199" s="2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AE6A7-05D7-43D7-B1C8-90762210044B}">
  <sheetPr codeName="Sheet15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7" t="s">
        <v>0</v>
      </c>
      <c r="B1" s="228"/>
      <c r="C1" s="228"/>
      <c r="D1" s="228"/>
      <c r="E1" s="228"/>
      <c r="F1" s="229"/>
      <c r="G1" s="258">
        <v>44386</v>
      </c>
      <c r="H1" s="259"/>
      <c r="I1" s="260"/>
      <c r="J1" s="227" t="s">
        <v>1</v>
      </c>
      <c r="K1" s="228"/>
      <c r="L1" s="228"/>
      <c r="M1" s="228"/>
      <c r="N1" s="228"/>
      <c r="O1" s="229"/>
      <c r="Q1" s="227" t="s">
        <v>2</v>
      </c>
      <c r="R1" s="229"/>
    </row>
    <row r="2" spans="1:19" ht="17.25" customHeight="1">
      <c r="A2" s="117" t="s">
        <v>3</v>
      </c>
      <c r="B2" s="261" t="s">
        <v>8</v>
      </c>
      <c r="C2" s="262"/>
      <c r="D2" s="262"/>
      <c r="E2" s="262"/>
      <c r="F2" s="263"/>
      <c r="G2" s="255" t="s">
        <v>46</v>
      </c>
      <c r="H2" s="256"/>
      <c r="I2" s="257"/>
      <c r="J2" s="1" t="s">
        <v>3</v>
      </c>
      <c r="K2" s="261" t="s">
        <v>321</v>
      </c>
      <c r="L2" s="262"/>
      <c r="M2" s="262"/>
      <c r="N2" s="262"/>
      <c r="O2" s="263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329</v>
      </c>
      <c r="C3" s="253"/>
      <c r="D3" s="253"/>
      <c r="E3" s="253"/>
      <c r="F3" s="254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-9,917 KRW (-0.50%)</v>
      </c>
      <c r="H3" s="249"/>
      <c r="I3" s="250"/>
      <c r="J3" s="4" t="s">
        <v>7</v>
      </c>
      <c r="K3" s="252" t="s">
        <v>322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55" t="s">
        <v>44</v>
      </c>
      <c r="H4" s="256"/>
      <c r="I4" s="257"/>
      <c r="J4" s="4" t="s">
        <v>11</v>
      </c>
      <c r="K4" s="252" t="s">
        <v>323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320</v>
      </c>
      <c r="C5" s="253"/>
      <c r="D5" s="253"/>
      <c r="E5" s="253"/>
      <c r="F5" s="254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-61,760 KRW (-3.09%)</v>
      </c>
      <c r="H5" s="249"/>
      <c r="I5" s="250"/>
      <c r="J5" s="4" t="s">
        <v>15</v>
      </c>
      <c r="K5" s="252" t="s">
        <v>324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55" t="s">
        <v>45</v>
      </c>
      <c r="H6" s="256"/>
      <c r="I6" s="257"/>
      <c r="J6" s="4" t="s">
        <v>18</v>
      </c>
      <c r="K6" s="252" t="s">
        <v>325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387 KRW (0.02%)</v>
      </c>
      <c r="H7" s="249"/>
      <c r="I7" s="250"/>
      <c r="J7" s="4" t="s">
        <v>21</v>
      </c>
      <c r="K7" s="252" t="s">
        <v>326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55" t="s">
        <v>256</v>
      </c>
      <c r="H8" s="256"/>
      <c r="I8" s="257"/>
      <c r="J8" s="4" t="s">
        <v>24</v>
      </c>
      <c r="K8" s="252"/>
      <c r="L8" s="253"/>
      <c r="M8" s="253"/>
      <c r="N8" s="253"/>
      <c r="O8" s="254"/>
      <c r="Q8" s="227" t="s">
        <v>27</v>
      </c>
      <c r="R8" s="229"/>
    </row>
    <row r="9" spans="1:19" ht="17.25" thickBot="1">
      <c r="A9" s="118" t="s">
        <v>28</v>
      </c>
      <c r="B9" s="252"/>
      <c r="C9" s="253"/>
      <c r="D9" s="253"/>
      <c r="E9" s="253"/>
      <c r="F9" s="254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-74,209 KRW (-3.71%)</v>
      </c>
      <c r="H9" s="249"/>
      <c r="I9" s="250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55" t="s">
        <v>47</v>
      </c>
      <c r="H10" s="256"/>
      <c r="I10" s="257"/>
      <c r="J10" s="4" t="s">
        <v>30</v>
      </c>
      <c r="K10" s="252" t="s">
        <v>327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45" t="s">
        <v>328</v>
      </c>
      <c r="C11" s="246"/>
      <c r="D11" s="246"/>
      <c r="E11" s="246"/>
      <c r="F11" s="247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45" t="s">
        <v>319</v>
      </c>
      <c r="L11" s="246"/>
      <c r="M11" s="246"/>
      <c r="N11" s="246"/>
      <c r="O11" s="247"/>
      <c r="Q11" s="65" t="s">
        <v>33</v>
      </c>
      <c r="R11" s="8">
        <v>1000</v>
      </c>
    </row>
    <row r="12" spans="1:19" ht="17.25" thickBot="1"/>
    <row r="13" spans="1:19" ht="17.25" customHeight="1" thickBot="1">
      <c r="A13" s="227" t="s">
        <v>34</v>
      </c>
      <c r="B13" s="228"/>
      <c r="C13" s="228"/>
      <c r="D13" s="228"/>
      <c r="E13" s="228"/>
      <c r="F13" s="228"/>
      <c r="G13" s="228"/>
      <c r="H13" s="228"/>
      <c r="I13" s="228"/>
      <c r="J13" s="228"/>
      <c r="K13" s="228"/>
      <c r="L13" s="228"/>
      <c r="M13" s="228"/>
      <c r="N13" s="228"/>
      <c r="O13" s="229"/>
      <c r="Q13" s="226"/>
      <c r="R13" s="226"/>
      <c r="S13" s="226"/>
    </row>
    <row r="14" spans="1:19" ht="17.25" customHeight="1" thickBot="1">
      <c r="A14" s="189" t="s">
        <v>35</v>
      </c>
      <c r="B14" s="227" t="s">
        <v>36</v>
      </c>
      <c r="C14" s="229"/>
      <c r="D14" s="227" t="s">
        <v>37</v>
      </c>
      <c r="E14" s="228"/>
      <c r="F14" s="229"/>
      <c r="G14" s="230">
        <f>_xlfn.IFNA(VLOOKUP(B14, 현재가테이블!$B$2:$D$200, 2, FALSE), "-")</f>
        <v>39916000</v>
      </c>
      <c r="H14" s="231"/>
      <c r="I14" s="232"/>
      <c r="J14" s="227" t="s">
        <v>38</v>
      </c>
      <c r="K14" s="228"/>
      <c r="L14" s="229"/>
      <c r="M14" s="233">
        <f>_xlfn.IFNA(VLOOKUP(B14, 현재가테이블!$B$2:$D$200, 3, FALSE), "-")</f>
        <v>7.3184273000000003E-3</v>
      </c>
      <c r="N14" s="234"/>
      <c r="O14" s="235"/>
      <c r="Q14" s="226"/>
      <c r="R14" s="226"/>
      <c r="S14" s="226"/>
    </row>
    <row r="15" spans="1:19" ht="17.25" customHeight="1" thickBot="1">
      <c r="A15" s="264" t="s">
        <v>39</v>
      </c>
      <c r="B15" s="265" t="str">
        <f>TEXT($G$1, "[$-ko-KR]yyyy-mm-dd(ddd) ") &amp; "오전 00:00"</f>
        <v>2021-07-09(금) 오전 00:00</v>
      </c>
      <c r="C15" s="266"/>
      <c r="D15" s="240" t="str">
        <f>TEXT($G$1, "[$-ko-KR]yyyy-mm-dd(ddd) ") &amp; "오후 14:00"</f>
        <v>2021-07-09(금) 오후 14:00</v>
      </c>
      <c r="E15" s="241"/>
      <c r="F15" s="242"/>
      <c r="G15" s="240" t="str">
        <f>TEXT($G$1, "[$-ko-KR]yyyy-mm-dd(ddd) ") &amp; "오후 19:00"</f>
        <v>2021-07-09(금) 오후 19:00</v>
      </c>
      <c r="H15" s="241"/>
      <c r="I15" s="242"/>
      <c r="J15" s="240" t="str">
        <f>TEXT($G$1, "[$-ko-KR]yyyy-mm-dd(ddd) ") &amp; "오후 21:00"</f>
        <v>2021-07-09(금) 오후 21:00</v>
      </c>
      <c r="K15" s="241"/>
      <c r="L15" s="242"/>
      <c r="M15" s="240" t="str">
        <f>TEXT($G$1+1, "[$-ko-KR]yyyy-mm-dd(ddd) ") &amp; "오전 00:00"</f>
        <v>2021-07-10(토) 오전 00:00</v>
      </c>
      <c r="N15" s="241"/>
      <c r="O15" s="242"/>
      <c r="Q15" s="226"/>
      <c r="R15" s="226"/>
      <c r="S15" s="226"/>
    </row>
    <row r="16" spans="1:19" ht="17.25" customHeight="1" thickBot="1">
      <c r="A16" s="26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6"/>
      <c r="R16" s="216"/>
      <c r="S16" s="21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6"/>
      <c r="R19" s="216"/>
      <c r="S19" s="21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6"/>
      <c r="R20" s="216"/>
      <c r="S20" s="21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6"/>
      <c r="R21" s="216"/>
      <c r="S21" s="21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6"/>
      <c r="R22" s="216"/>
      <c r="S22" s="21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6"/>
      <c r="R23" s="216"/>
      <c r="S23" s="21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6"/>
      <c r="R24" s="216"/>
      <c r="S24" s="21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6"/>
      <c r="R29" s="216"/>
      <c r="S29" s="21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6"/>
      <c r="R32" s="216"/>
      <c r="S32" s="21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6"/>
      <c r="R33" s="216"/>
      <c r="S33" s="21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6"/>
      <c r="R34" s="216"/>
      <c r="S34" s="21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5"/>
      <c r="R35" s="206"/>
      <c r="S35" s="2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8"/>
      <c r="R36" s="209"/>
      <c r="S36" s="210"/>
    </row>
    <row r="37" spans="1:19" ht="17.25" customHeight="1" thickBot="1">
      <c r="A37" s="132" t="s">
        <v>42</v>
      </c>
      <c r="B37" s="269">
        <v>100000</v>
      </c>
      <c r="C37" s="27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1"/>
      <c r="R37" s="212"/>
      <c r="S37" s="213"/>
    </row>
    <row r="38" spans="1:19" ht="17.25" customHeight="1"/>
    <row r="39" spans="1:19" ht="17.25" customHeight="1" thickBot="1"/>
    <row r="40" spans="1:19" ht="17.25" customHeight="1" thickBot="1">
      <c r="A40" s="227" t="s">
        <v>44</v>
      </c>
      <c r="B40" s="228"/>
      <c r="C40" s="228"/>
      <c r="D40" s="228"/>
      <c r="E40" s="228"/>
      <c r="F40" s="228"/>
      <c r="G40" s="228"/>
      <c r="H40" s="228"/>
      <c r="I40" s="228"/>
      <c r="J40" s="228"/>
      <c r="K40" s="228"/>
      <c r="L40" s="228"/>
      <c r="M40" s="228"/>
      <c r="N40" s="228"/>
      <c r="O40" s="229"/>
      <c r="Q40" s="226"/>
      <c r="R40" s="226"/>
      <c r="S40" s="226"/>
    </row>
    <row r="41" spans="1:19" ht="17.25" customHeight="1" thickBot="1">
      <c r="A41" s="189" t="s">
        <v>268</v>
      </c>
      <c r="B41" s="227" t="s">
        <v>49</v>
      </c>
      <c r="C41" s="229"/>
      <c r="D41" s="227" t="s">
        <v>58</v>
      </c>
      <c r="E41" s="228"/>
      <c r="F41" s="229"/>
      <c r="G41" s="230">
        <f>_xlfn.IFNA(VLOOKUP(B41, 현재가테이블!$B$2:$D$200, 2, FALSE), "-")</f>
        <v>39916000</v>
      </c>
      <c r="H41" s="231"/>
      <c r="I41" s="232"/>
      <c r="J41" s="227" t="s">
        <v>59</v>
      </c>
      <c r="K41" s="228"/>
      <c r="L41" s="229"/>
      <c r="M41" s="233">
        <f>_xlfn.IFNA(VLOOKUP(B41, 현재가테이블!$B$2:$D$200, 3, FALSE), "-")</f>
        <v>7.3184273000000003E-3</v>
      </c>
      <c r="N41" s="234"/>
      <c r="O41" s="235"/>
      <c r="Q41" s="226"/>
      <c r="R41" s="226"/>
      <c r="S41" s="226"/>
    </row>
    <row r="42" spans="1:19" ht="17.25" customHeight="1" thickBot="1">
      <c r="A42" s="271" t="s">
        <v>55</v>
      </c>
      <c r="B42" s="267" t="str">
        <f>TEXT($G$1, "[$-ko-KR]yyyy-mm-dd(ddd) ") &amp; "오전 00:00"</f>
        <v>2021-07-09(금) 오전 00:00</v>
      </c>
      <c r="C42" s="268"/>
      <c r="D42" s="240" t="str">
        <f>TEXT($G$1, "[$-ko-KR]yyyy-mm-dd(ddd) ") &amp; "오후 14:00"</f>
        <v>2021-07-09(금) 오후 14:00</v>
      </c>
      <c r="E42" s="241"/>
      <c r="F42" s="242"/>
      <c r="G42" s="240" t="str">
        <f>TEXT($G$1, "[$-ko-KR]yyyy-mm-dd(ddd) ") &amp; "오후 19:00"</f>
        <v>2021-07-09(금) 오후 19:00</v>
      </c>
      <c r="H42" s="241"/>
      <c r="I42" s="242"/>
      <c r="J42" s="240" t="str">
        <f>TEXT($G$1, "[$-ko-KR]yyyy-mm-dd(ddd) ") &amp; "오후 21:00"</f>
        <v>2021-07-09(금) 오후 21:00</v>
      </c>
      <c r="K42" s="241"/>
      <c r="L42" s="242"/>
      <c r="M42" s="240" t="str">
        <f>TEXT($G$1+1, "[$-ko-KR]yyyy-mm-dd(ddd) ") &amp; "오전 00:00"</f>
        <v>2021-07-10(토) 오전 00:00</v>
      </c>
      <c r="N42" s="241"/>
      <c r="O42" s="242"/>
      <c r="Q42" s="226"/>
      <c r="R42" s="226"/>
      <c r="S42" s="226"/>
    </row>
    <row r="43" spans="1:19" ht="17.25" customHeight="1" thickBot="1">
      <c r="A43" s="27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0" t="s">
        <v>58</v>
      </c>
      <c r="H43" s="191" t="s">
        <v>269</v>
      </c>
      <c r="I43" s="19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6"/>
      <c r="R43" s="216"/>
      <c r="S43" s="216"/>
    </row>
    <row r="44" spans="1:19" ht="17.25" customHeight="1" thickBot="1">
      <c r="A44" s="123" t="s">
        <v>152</v>
      </c>
      <c r="B44" s="124">
        <v>73.3</v>
      </c>
      <c r="C44" s="76">
        <v>-2.9139072799999999E-2</v>
      </c>
      <c r="D44" s="13">
        <v>72.2</v>
      </c>
      <c r="E44" s="14">
        <f>IF(ISNUMBER(D44), (D44 - $B44) / $B44, "")</f>
        <v>-1.5006821282401014E-2</v>
      </c>
      <c r="F44" s="16">
        <f>IF(ISNUMBER(D44), $B64 * E44, "")</f>
        <v>-1500.6821282401015</v>
      </c>
      <c r="G44" s="29">
        <v>71.900000000000006</v>
      </c>
      <c r="H44" s="14">
        <f>IF(ISNUMBER(G44), (G44 - $B44) / $B44, "")</f>
        <v>-1.909959072305582E-2</v>
      </c>
      <c r="I44" s="100">
        <f>IF(ISNUMBER(G44), $B64 * H44, "")</f>
        <v>-1909.9590723055819</v>
      </c>
      <c r="J44" s="13">
        <v>71.3</v>
      </c>
      <c r="K44" s="14">
        <f>IF(ISNUMBER(J44), (J44 - $B44) / $B44, "")</f>
        <v>-2.7285129604365622E-2</v>
      </c>
      <c r="L44" s="16">
        <f>IF(ISNUMBER(J44), $B64 * K44, "")</f>
        <v>-2728.512960436562</v>
      </c>
      <c r="M44" s="29">
        <v>73.5</v>
      </c>
      <c r="N44" s="14">
        <f>IF(ISNUMBER(M44), (M44 - $B44) / $B44, "")</f>
        <v>2.7285129604366011E-3</v>
      </c>
      <c r="O44" s="16">
        <f>IF(ISNUMBER(M44), $B64 * N44, "")</f>
        <v>272.85129604366011</v>
      </c>
      <c r="Q44" s="226"/>
      <c r="R44" s="226"/>
      <c r="S44" s="226"/>
    </row>
    <row r="45" spans="1:19" ht="17.25" customHeight="1" thickBot="1">
      <c r="A45" s="125" t="s">
        <v>98</v>
      </c>
      <c r="B45" s="126">
        <v>3</v>
      </c>
      <c r="C45" s="77">
        <v>-3.5369774899999998E-2</v>
      </c>
      <c r="D45" s="15">
        <v>2.91</v>
      </c>
      <c r="E45" s="32">
        <f t="shared" ref="E45:E48" si="14">IF(ISNUMBER(D45), (D45 - $B45) / $B45, "")</f>
        <v>-2.9999999999999954E-2</v>
      </c>
      <c r="F45" s="18">
        <f>IF(ISNUMBER(D45), $B64 * E45, "")</f>
        <v>-2999.9999999999955</v>
      </c>
      <c r="G45" s="31">
        <v>2.91</v>
      </c>
      <c r="H45" s="32">
        <f t="shared" ref="H45:H48" si="15">IF(ISNUMBER(G45), (G45 - $B45) / $B45, "")</f>
        <v>-2.9999999999999954E-2</v>
      </c>
      <c r="I45" s="101">
        <f>IF(ISNUMBER(G45), $B64 * H45, "")</f>
        <v>-2999.9999999999955</v>
      </c>
      <c r="J45" s="15">
        <v>2.88</v>
      </c>
      <c r="K45" s="32">
        <f t="shared" ref="K45:K48" si="16">IF(ISNUMBER(J45), (J45 - $B45) / $B45, "")</f>
        <v>-4.0000000000000036E-2</v>
      </c>
      <c r="L45" s="18">
        <f>IF(ISNUMBER(J45), $B64 * K45, "")</f>
        <v>-4000.0000000000036</v>
      </c>
      <c r="M45" s="31">
        <v>3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26"/>
      <c r="R45" s="226"/>
      <c r="S45" s="226"/>
    </row>
    <row r="46" spans="1:19" ht="17.25" customHeight="1" thickBot="1">
      <c r="A46" s="125" t="s">
        <v>148</v>
      </c>
      <c r="B46" s="126">
        <v>15.8</v>
      </c>
      <c r="C46" s="77">
        <v>-4.8192771099999997E-2</v>
      </c>
      <c r="D46" s="15">
        <v>15.4</v>
      </c>
      <c r="E46" s="32">
        <f t="shared" si="14"/>
        <v>-2.5316455696202552E-2</v>
      </c>
      <c r="F46" s="18">
        <f>IF(ISNUMBER(D46), $B64 * E46, "")</f>
        <v>-2531.6455696202552</v>
      </c>
      <c r="G46" s="31">
        <v>15.2</v>
      </c>
      <c r="H46" s="32">
        <f t="shared" si="15"/>
        <v>-3.7974683544303889E-2</v>
      </c>
      <c r="I46" s="101">
        <f>IF(ISNUMBER(G46), $B64 * H46, "")</f>
        <v>-3797.4683544303889</v>
      </c>
      <c r="J46" s="15">
        <v>14.9</v>
      </c>
      <c r="K46" s="32">
        <f t="shared" si="16"/>
        <v>-5.6962025316455715E-2</v>
      </c>
      <c r="L46" s="18">
        <f>IF(ISNUMBER(J46), $B64 * K46, "")</f>
        <v>-5696.202531645572</v>
      </c>
      <c r="M46" s="31">
        <v>15.4</v>
      </c>
      <c r="N46" s="32">
        <f t="shared" si="17"/>
        <v>-2.5316455696202552E-2</v>
      </c>
      <c r="O46" s="18">
        <f>IF(ISNUMBER(M46), $B64 * N46, "")</f>
        <v>-2531.6455696202552</v>
      </c>
      <c r="Q46" s="216"/>
      <c r="R46" s="216"/>
      <c r="S46" s="216"/>
    </row>
    <row r="47" spans="1:19" ht="17.25" customHeight="1" thickBot="1">
      <c r="A47" s="125" t="s">
        <v>128</v>
      </c>
      <c r="B47" s="126">
        <v>92.3</v>
      </c>
      <c r="C47" s="77">
        <v>-5.9123343500000002E-2</v>
      </c>
      <c r="D47" s="15">
        <v>89.9</v>
      </c>
      <c r="E47" s="32">
        <f t="shared" si="14"/>
        <v>-2.600216684723718E-2</v>
      </c>
      <c r="F47" s="18">
        <f>IF(ISNUMBER(D47), $B64 * E47, "")</f>
        <v>-2600.2166847237181</v>
      </c>
      <c r="G47" s="31">
        <v>88.6</v>
      </c>
      <c r="H47" s="32">
        <f t="shared" si="15"/>
        <v>-4.0086673889490824E-2</v>
      </c>
      <c r="I47" s="101">
        <f>IF(ISNUMBER(G47), $B64 * H47, "")</f>
        <v>-4008.6673889490826</v>
      </c>
      <c r="J47" s="15">
        <v>87.3</v>
      </c>
      <c r="K47" s="32">
        <f t="shared" si="16"/>
        <v>-5.4171180931744313E-2</v>
      </c>
      <c r="L47" s="18">
        <f>IF(ISNUMBER(J47), $B64 * K47, "")</f>
        <v>-5417.1180931744311</v>
      </c>
      <c r="M47" s="31">
        <v>91.5</v>
      </c>
      <c r="N47" s="32">
        <f t="shared" si="17"/>
        <v>-8.66738894907906E-3</v>
      </c>
      <c r="O47" s="18">
        <f>IF(ISNUMBER(M47), $B64 * N47, "")</f>
        <v>-866.738894907906</v>
      </c>
      <c r="Q47" s="216"/>
      <c r="R47" s="216"/>
      <c r="S47" s="216"/>
    </row>
    <row r="48" spans="1:19" ht="17.25" customHeight="1" thickBot="1">
      <c r="A48" s="127" t="s">
        <v>132</v>
      </c>
      <c r="B48" s="128">
        <v>89.4</v>
      </c>
      <c r="C48" s="78">
        <v>-6.4853556500000006E-2</v>
      </c>
      <c r="D48" s="20">
        <v>87.5</v>
      </c>
      <c r="E48" s="21">
        <f t="shared" si="14"/>
        <v>-2.1252796420581716E-2</v>
      </c>
      <c r="F48" s="22">
        <f>IF(ISNUMBER(D48), $B64 * E48, "")</f>
        <v>-2125.2796420581717</v>
      </c>
      <c r="G48" s="30">
        <v>85.6</v>
      </c>
      <c r="H48" s="21">
        <f t="shared" si="15"/>
        <v>-4.2505592841163432E-2</v>
      </c>
      <c r="I48" s="105">
        <f>IF(ISNUMBER(G48), $B64 * H48, "")</f>
        <v>-4250.5592841163434</v>
      </c>
      <c r="J48" s="20">
        <v>84.5</v>
      </c>
      <c r="K48" s="21">
        <f t="shared" si="16"/>
        <v>-5.4809843400447485E-2</v>
      </c>
      <c r="L48" s="22">
        <f>IF(ISNUMBER(J48), $B64 * K48, "")</f>
        <v>-5480.984340044748</v>
      </c>
      <c r="M48" s="30">
        <v>88</v>
      </c>
      <c r="N48" s="21">
        <f t="shared" si="17"/>
        <v>-1.5659955257270756E-2</v>
      </c>
      <c r="O48" s="22">
        <f>IF(ISNUMBER(M48), $B64 * N48, "")</f>
        <v>-1565.9955257270756</v>
      </c>
      <c r="Q48" s="216"/>
      <c r="R48" s="216"/>
      <c r="S48" s="216"/>
    </row>
    <row r="49" spans="1:19" ht="17.25" customHeight="1" thickBot="1">
      <c r="A49" s="125" t="s">
        <v>144</v>
      </c>
      <c r="B49" s="129">
        <v>86</v>
      </c>
      <c r="C49" s="80">
        <v>-6.6232356100000001E-2</v>
      </c>
      <c r="D49" s="106">
        <v>83.8</v>
      </c>
      <c r="E49" s="107">
        <f>IF(ISNUMBER(D49), (D49 - $B49) / $B49, "")</f>
        <v>-2.5581395348837244E-2</v>
      </c>
      <c r="F49" s="108">
        <f>IF(ISNUMBER(D49), $B64 * E49, "")</f>
        <v>-2558.1395348837245</v>
      </c>
      <c r="G49" s="109">
        <v>81.900000000000006</v>
      </c>
      <c r="H49" s="107">
        <f>IF(ISNUMBER(G49), (G49 - $B49) / $B49, "")</f>
        <v>-4.7674418604651096E-2</v>
      </c>
      <c r="I49" s="110">
        <f>IF(ISNUMBER(G49), $B64 * H49, "")</f>
        <v>-4767.44186046511</v>
      </c>
      <c r="J49" s="106">
        <v>80.8</v>
      </c>
      <c r="K49" s="107">
        <f>IF(ISNUMBER(J49), (J49 - $B49) / $B49, "")</f>
        <v>-6.0465116279069801E-2</v>
      </c>
      <c r="L49" s="108">
        <f>IF(ISNUMBER(J49), $B64 * K49, "")</f>
        <v>-6046.5116279069798</v>
      </c>
      <c r="M49" s="109">
        <v>84.4</v>
      </c>
      <c r="N49" s="107">
        <f>IF(ISNUMBER(M49), (M49 - $B49) / $B49, "")</f>
        <v>-1.8604651162790631E-2</v>
      </c>
      <c r="O49" s="108">
        <f>IF(ISNUMBER(M49), $B64 * N49, "")</f>
        <v>-1860.4651162790631</v>
      </c>
      <c r="Q49" s="216"/>
      <c r="R49" s="216"/>
      <c r="S49" s="216"/>
    </row>
    <row r="50" spans="1:19" ht="17.25" customHeight="1" thickBot="1">
      <c r="A50" s="125" t="s">
        <v>251</v>
      </c>
      <c r="B50" s="126">
        <v>60.5</v>
      </c>
      <c r="C50" s="77">
        <v>-6.6358024700000004E-2</v>
      </c>
      <c r="D50" s="15">
        <v>58.4</v>
      </c>
      <c r="E50" s="32">
        <f t="shared" ref="E50:E53" si="18">IF(ISNUMBER(D50), (D50 - $B50) / $B50, "")</f>
        <v>-3.4710743801652913E-2</v>
      </c>
      <c r="F50" s="18">
        <f>IF(ISNUMBER(D50), $B64 * E50, "")</f>
        <v>-3471.0743801652911</v>
      </c>
      <c r="G50" s="31">
        <v>58.1</v>
      </c>
      <c r="H50" s="32">
        <f t="shared" ref="H50:H53" si="19">IF(ISNUMBER(G50), (G50 - $B50) / $B50, "")</f>
        <v>-3.9669421487603281E-2</v>
      </c>
      <c r="I50" s="101">
        <f>IF(ISNUMBER(G50), $B64 * H50, "")</f>
        <v>-3966.9421487603281</v>
      </c>
      <c r="J50" s="15">
        <v>57.7</v>
      </c>
      <c r="K50" s="32">
        <f t="shared" ref="K50:K53" si="20">IF(ISNUMBER(J50), (J50 - $B50) / $B50, "")</f>
        <v>-4.6280991735537146E-2</v>
      </c>
      <c r="L50" s="18">
        <f>IF(ISNUMBER(J50), $B64 * K50, "")</f>
        <v>-4628.0991735537145</v>
      </c>
      <c r="M50" s="31">
        <v>59.9</v>
      </c>
      <c r="N50" s="32">
        <f t="shared" ref="N50:N53" si="21">IF(ISNUMBER(M50), (M50 - $B50) / $B50, "")</f>
        <v>-9.9173553719008496E-3</v>
      </c>
      <c r="O50" s="18">
        <f>IF(ISNUMBER(M50), $B64 * N50, "")</f>
        <v>-991.73553719008498</v>
      </c>
      <c r="Q50" s="216"/>
      <c r="R50" s="216"/>
      <c r="S50" s="216"/>
    </row>
    <row r="51" spans="1:19" ht="17.25" customHeight="1" thickBot="1">
      <c r="A51" s="125" t="s">
        <v>72</v>
      </c>
      <c r="B51" s="126">
        <v>18</v>
      </c>
      <c r="C51" s="77">
        <v>-7.2164948500000006E-2</v>
      </c>
      <c r="D51" s="15">
        <v>17.100000000000001</v>
      </c>
      <c r="E51" s="32">
        <f t="shared" si="18"/>
        <v>-4.999999999999992E-2</v>
      </c>
      <c r="F51" s="18">
        <f>IF(ISNUMBER(D51), $B64 * E51, "")</f>
        <v>-4999.9999999999918</v>
      </c>
      <c r="G51" s="31">
        <v>17</v>
      </c>
      <c r="H51" s="32">
        <f t="shared" si="19"/>
        <v>-5.5555555555555552E-2</v>
      </c>
      <c r="I51" s="101">
        <f>IF(ISNUMBER(G51), $B64 * H51, "")</f>
        <v>-5555.5555555555557</v>
      </c>
      <c r="J51" s="15">
        <v>16.899999999999999</v>
      </c>
      <c r="K51" s="32">
        <f t="shared" si="20"/>
        <v>-6.1111111111111192E-2</v>
      </c>
      <c r="L51" s="18">
        <f>IF(ISNUMBER(J51), $B64 * K51, "")</f>
        <v>-6111.1111111111195</v>
      </c>
      <c r="M51" s="31">
        <v>17.399999999999999</v>
      </c>
      <c r="N51" s="32">
        <f t="shared" si="21"/>
        <v>-3.3333333333333409E-2</v>
      </c>
      <c r="O51" s="18">
        <f>IF(ISNUMBER(M51), $B64 * N51, "")</f>
        <v>-3333.3333333333408</v>
      </c>
      <c r="Q51" s="216"/>
      <c r="R51" s="216"/>
      <c r="S51" s="216"/>
    </row>
    <row r="52" spans="1:19" ht="17.25" customHeight="1" thickBot="1">
      <c r="A52" s="125" t="s">
        <v>130</v>
      </c>
      <c r="B52" s="126">
        <v>83.9</v>
      </c>
      <c r="C52" s="77">
        <v>-7.7007700799999995E-2</v>
      </c>
      <c r="D52" s="15">
        <v>83.5</v>
      </c>
      <c r="E52" s="32">
        <f t="shared" si="18"/>
        <v>-4.7675804529202104E-3</v>
      </c>
      <c r="F52" s="18">
        <f>IF(ISNUMBER(D52), $B64 * E52, "")</f>
        <v>-476.75804529202105</v>
      </c>
      <c r="G52" s="31">
        <v>80.599999999999994</v>
      </c>
      <c r="H52" s="32">
        <f t="shared" si="19"/>
        <v>-3.9332538736591316E-2</v>
      </c>
      <c r="I52" s="101">
        <f>IF(ISNUMBER(G52), $B64 * H52, "")</f>
        <v>-3933.2538736591314</v>
      </c>
      <c r="J52" s="15">
        <v>80.099999999999994</v>
      </c>
      <c r="K52" s="32">
        <f t="shared" si="20"/>
        <v>-4.529201430274149E-2</v>
      </c>
      <c r="L52" s="18">
        <f>IF(ISNUMBER(J52), $B64 * K52, "")</f>
        <v>-4529.2014302741491</v>
      </c>
      <c r="M52" s="31">
        <v>82.2</v>
      </c>
      <c r="N52" s="32">
        <f t="shared" si="21"/>
        <v>-2.0262216924910641E-2</v>
      </c>
      <c r="O52" s="18">
        <f>IF(ISNUMBER(M52), $B64 * N52, "")</f>
        <v>-2026.221692491064</v>
      </c>
      <c r="Q52" s="33"/>
      <c r="R52" s="33"/>
    </row>
    <row r="53" spans="1:19" ht="17.25" customHeight="1" thickBot="1">
      <c r="A53" s="130" t="s">
        <v>162</v>
      </c>
      <c r="B53" s="131">
        <v>77.599999999999994</v>
      </c>
      <c r="C53" s="79">
        <v>-8.5983509999999999E-2</v>
      </c>
      <c r="D53" s="24">
        <v>74.400000000000006</v>
      </c>
      <c r="E53" s="25">
        <f t="shared" si="18"/>
        <v>-4.1237113402061709E-2</v>
      </c>
      <c r="F53" s="104">
        <f>IF(ISNUMBER(D53), $B64 * E53, "")</f>
        <v>-4123.7113402061714</v>
      </c>
      <c r="G53" s="102">
        <v>72.099999999999994</v>
      </c>
      <c r="H53" s="25">
        <f t="shared" si="19"/>
        <v>-7.0876288659793826E-2</v>
      </c>
      <c r="I53" s="103">
        <f>IF(ISNUMBER(G53), $B64 * H53, "")</f>
        <v>-7087.6288659793827</v>
      </c>
      <c r="J53" s="24">
        <v>70.900000000000006</v>
      </c>
      <c r="K53" s="25">
        <f t="shared" si="20"/>
        <v>-8.634020618556687E-2</v>
      </c>
      <c r="L53" s="104">
        <f>IF(ISNUMBER(J53), $B64 * K53, "")</f>
        <v>-8634.0206185566876</v>
      </c>
      <c r="M53" s="102">
        <v>74.8</v>
      </c>
      <c r="N53" s="25">
        <f t="shared" si="21"/>
        <v>-3.6082474226804093E-2</v>
      </c>
      <c r="O53" s="104">
        <f>IF(ISNUMBER(M53), $B64 * N53, "")</f>
        <v>-3608.2474226804093</v>
      </c>
      <c r="Q53" s="217"/>
      <c r="R53" s="218"/>
      <c r="S53" s="219"/>
    </row>
    <row r="54" spans="1:19" ht="17.25" customHeight="1">
      <c r="A54" s="123" t="s">
        <v>178</v>
      </c>
      <c r="B54" s="124">
        <v>14.4</v>
      </c>
      <c r="C54" s="76">
        <v>-9.4339622600000006E-2</v>
      </c>
      <c r="D54" s="13">
        <v>13.8</v>
      </c>
      <c r="E54" s="14">
        <f>IF(ISNUMBER(D54), (D54 - $B54) / $B54, "")</f>
        <v>-4.1666666666666644E-2</v>
      </c>
      <c r="F54" s="16">
        <f>IF(ISNUMBER(D54), $B64 * E54, "")</f>
        <v>-4166.6666666666642</v>
      </c>
      <c r="G54" s="29">
        <v>13.4</v>
      </c>
      <c r="H54" s="14">
        <f>IF(ISNUMBER(G54), (G54 - $B54) / $B54, "")</f>
        <v>-6.9444444444444448E-2</v>
      </c>
      <c r="I54" s="100">
        <f>IF(ISNUMBER(G54), $B64 * H54, "")</f>
        <v>-6944.4444444444443</v>
      </c>
      <c r="J54" s="13">
        <v>13.2</v>
      </c>
      <c r="K54" s="14">
        <f>IF(ISNUMBER(J54), (J54 - $B54) / $B54, "")</f>
        <v>-8.3333333333333412E-2</v>
      </c>
      <c r="L54" s="16">
        <f>IF(ISNUMBER(J54), $B64 * K54, "")</f>
        <v>-8333.3333333333412</v>
      </c>
      <c r="M54" s="29">
        <v>13.5</v>
      </c>
      <c r="N54" s="14">
        <f>IF(ISNUMBER(M54), (M54 - $B54) / $B54, "")</f>
        <v>-6.2500000000000028E-2</v>
      </c>
      <c r="O54" s="16">
        <f>IF(ISNUMBER(M54), $B64 * N54, "")</f>
        <v>-6250.0000000000027</v>
      </c>
      <c r="Q54" s="220"/>
      <c r="R54" s="221"/>
      <c r="S54" s="222"/>
    </row>
    <row r="55" spans="1:19" ht="17.25" customHeight="1" thickBot="1">
      <c r="A55" s="125" t="s">
        <v>241</v>
      </c>
      <c r="B55" s="126">
        <v>51.2</v>
      </c>
      <c r="C55" s="77">
        <v>-9.7001763699999993E-2</v>
      </c>
      <c r="D55" s="15">
        <v>49.8</v>
      </c>
      <c r="E55" s="32">
        <f t="shared" ref="E55:E58" si="22">IF(ISNUMBER(D55), (D55 - $B55) / $B55, "")</f>
        <v>-2.7343750000000111E-2</v>
      </c>
      <c r="F55" s="18">
        <f>IF(ISNUMBER(D55), $B64 * E55, "")</f>
        <v>-2734.3750000000109</v>
      </c>
      <c r="G55" s="31">
        <v>48.3</v>
      </c>
      <c r="H55" s="32">
        <f t="shared" ref="H55:H58" si="23">IF(ISNUMBER(G55), (G55 - $B55) / $B55, "")</f>
        <v>-5.6640625000000111E-2</v>
      </c>
      <c r="I55" s="101">
        <f>IF(ISNUMBER(G55), $B64 * H55, "")</f>
        <v>-5664.0625000000109</v>
      </c>
      <c r="J55" s="15">
        <v>47.6</v>
      </c>
      <c r="K55" s="32">
        <f t="shared" ref="K55:K58" si="24">IF(ISNUMBER(J55), (J55 - $B55) / $B55, "")</f>
        <v>-7.0312500000000028E-2</v>
      </c>
      <c r="L55" s="18">
        <f>IF(ISNUMBER(J55), $B64 * K55, "")</f>
        <v>-7031.2500000000027</v>
      </c>
      <c r="M55" s="31">
        <v>49.2</v>
      </c>
      <c r="N55" s="32">
        <f t="shared" ref="N55:N58" si="25">IF(ISNUMBER(M55), (M55 - $B55) / $B55, "")</f>
        <v>-3.90625E-2</v>
      </c>
      <c r="O55" s="18">
        <f>IF(ISNUMBER(M55), $B64 * N55, "")</f>
        <v>-3906.25</v>
      </c>
      <c r="Q55" s="223"/>
      <c r="R55" s="224"/>
      <c r="S55" s="225"/>
    </row>
    <row r="56" spans="1:19" ht="17.25" customHeight="1" thickBot="1">
      <c r="A56" s="125" t="s">
        <v>208</v>
      </c>
      <c r="B56" s="126">
        <v>9.3000000000000007</v>
      </c>
      <c r="C56" s="77">
        <v>-9.7087378599999996E-2</v>
      </c>
      <c r="D56" s="15">
        <v>8.91</v>
      </c>
      <c r="E56" s="32">
        <f t="shared" si="22"/>
        <v>-4.19354838709678E-2</v>
      </c>
      <c r="F56" s="18">
        <f>IF(ISNUMBER(D56), $B64 * E56, "")</f>
        <v>-4193.5483870967801</v>
      </c>
      <c r="G56" s="31">
        <v>8.61</v>
      </c>
      <c r="H56" s="32">
        <f t="shared" si="23"/>
        <v>-7.4193548387096908E-2</v>
      </c>
      <c r="I56" s="101">
        <f>IF(ISNUMBER(G56), $B64 * H56, "")</f>
        <v>-7419.3548387096907</v>
      </c>
      <c r="J56" s="15">
        <v>8.52</v>
      </c>
      <c r="K56" s="32">
        <f t="shared" si="24"/>
        <v>-8.3870967741935601E-2</v>
      </c>
      <c r="L56" s="18">
        <f>IF(ISNUMBER(J56), $B64 * K56, "")</f>
        <v>-8387.0967741935601</v>
      </c>
      <c r="M56" s="31">
        <v>8.8699999999999992</v>
      </c>
      <c r="N56" s="32">
        <f t="shared" si="25"/>
        <v>-4.6236559139785104E-2</v>
      </c>
      <c r="O56" s="18">
        <f>IF(ISNUMBER(M56), $B64 * N56, "")</f>
        <v>-4623.6559139785104</v>
      </c>
      <c r="Q56" s="216"/>
      <c r="R56" s="216"/>
      <c r="S56" s="216"/>
    </row>
    <row r="57" spans="1:19" ht="17.25" customHeight="1" thickBot="1">
      <c r="A57" s="125" t="s">
        <v>65</v>
      </c>
      <c r="B57" s="126">
        <v>25.3</v>
      </c>
      <c r="C57" s="77">
        <v>-0.1028368794</v>
      </c>
      <c r="D57" s="15">
        <v>24.6</v>
      </c>
      <c r="E57" s="32">
        <f t="shared" si="22"/>
        <v>-2.7667984189723292E-2</v>
      </c>
      <c r="F57" s="18">
        <f>IF(ISNUMBER(D57), $B64 * E57, "")</f>
        <v>-2766.7984189723293</v>
      </c>
      <c r="G57" s="31">
        <v>23.9</v>
      </c>
      <c r="H57" s="32">
        <f t="shared" si="23"/>
        <v>-5.5335968379446723E-2</v>
      </c>
      <c r="I57" s="101">
        <f>IF(ISNUMBER(G57), $B64 * H57, "")</f>
        <v>-5533.5968379446722</v>
      </c>
      <c r="J57" s="15">
        <v>23.8</v>
      </c>
      <c r="K57" s="32">
        <f t="shared" si="24"/>
        <v>-5.9288537549407112E-2</v>
      </c>
      <c r="L57" s="18">
        <f>IF(ISNUMBER(J57), $B64 * K57, "")</f>
        <v>-5928.853754940711</v>
      </c>
      <c r="M57" s="31">
        <v>24.9</v>
      </c>
      <c r="N57" s="32">
        <f t="shared" si="25"/>
        <v>-1.5810276679841979E-2</v>
      </c>
      <c r="O57" s="18">
        <f>IF(ISNUMBER(M57), $B64 * N57, "")</f>
        <v>-1581.0276679841979</v>
      </c>
      <c r="Q57" s="226"/>
      <c r="R57" s="226"/>
      <c r="S57" s="226"/>
    </row>
    <row r="58" spans="1:19" ht="17.25" customHeight="1" thickBot="1">
      <c r="A58" s="127" t="s">
        <v>210</v>
      </c>
      <c r="B58" s="128">
        <v>9.31</v>
      </c>
      <c r="C58" s="78">
        <v>-0.1048076923</v>
      </c>
      <c r="D58" s="20">
        <v>8.7899999999999991</v>
      </c>
      <c r="E58" s="21">
        <f t="shared" si="22"/>
        <v>-5.5853920515574793E-2</v>
      </c>
      <c r="F58" s="22">
        <f>IF(ISNUMBER(D58), $B64 * E58, "")</f>
        <v>-5585.3920515574791</v>
      </c>
      <c r="G58" s="30">
        <v>8.5500000000000007</v>
      </c>
      <c r="H58" s="21">
        <f t="shared" si="23"/>
        <v>-8.1632653061224469E-2</v>
      </c>
      <c r="I58" s="105">
        <f>IF(ISNUMBER(G58), $B64 * H58, "")</f>
        <v>-8163.2653061224473</v>
      </c>
      <c r="J58" s="20">
        <v>8.5299999999999994</v>
      </c>
      <c r="K58" s="21">
        <f t="shared" si="24"/>
        <v>-8.3780880773362099E-2</v>
      </c>
      <c r="L58" s="22">
        <f>IF(ISNUMBER(J58), $B64 * K58, "")</f>
        <v>-8378.0880773362096</v>
      </c>
      <c r="M58" s="30">
        <v>8.81</v>
      </c>
      <c r="N58" s="21">
        <f t="shared" si="25"/>
        <v>-5.3705692803437163E-2</v>
      </c>
      <c r="O58" s="22">
        <f>IF(ISNUMBER(M58), $B64 * N58, "")</f>
        <v>-5370.5692803437159</v>
      </c>
      <c r="Q58" s="226"/>
      <c r="R58" s="226"/>
      <c r="S58" s="226"/>
    </row>
    <row r="59" spans="1:19" ht="17.25" customHeight="1" thickBot="1">
      <c r="A59" s="125" t="s">
        <v>202</v>
      </c>
      <c r="B59" s="129">
        <v>55.4</v>
      </c>
      <c r="C59" s="80">
        <v>-0.1121794872</v>
      </c>
      <c r="D59" s="106">
        <v>55.4</v>
      </c>
      <c r="E59" s="107">
        <f>IF(ISNUMBER(D59), (D59 - $B59) / $B59, "")</f>
        <v>0</v>
      </c>
      <c r="F59" s="108">
        <f>IF(ISNUMBER(D59), $B64 * E59, "")</f>
        <v>0</v>
      </c>
      <c r="G59" s="109">
        <v>52.3</v>
      </c>
      <c r="H59" s="107">
        <f>IF(ISNUMBER(G59), (G59 - $B59) / $B59, "")</f>
        <v>-5.5956678700361036E-2</v>
      </c>
      <c r="I59" s="110">
        <f>IF(ISNUMBER(G59), $B64 * H59, "")</f>
        <v>-5595.6678700361035</v>
      </c>
      <c r="J59" s="106">
        <v>51.7</v>
      </c>
      <c r="K59" s="107">
        <f>IF(ISNUMBER(J59), (J59 - $B59) / $B59, "")</f>
        <v>-6.6787003610108225E-2</v>
      </c>
      <c r="L59" s="108">
        <f>IF(ISNUMBER(J59), $B64 * K59, "")</f>
        <v>-6678.7003610108222</v>
      </c>
      <c r="M59" s="109">
        <v>53</v>
      </c>
      <c r="N59" s="107">
        <f>IF(ISNUMBER(M59), (M59 - $B59) / $B59, "")</f>
        <v>-4.3321299638989147E-2</v>
      </c>
      <c r="O59" s="108">
        <f>IF(ISNUMBER(M59), $B64 * N59, "")</f>
        <v>-4332.1299638989149</v>
      </c>
      <c r="Q59" s="216"/>
      <c r="R59" s="216"/>
      <c r="S59" s="216"/>
    </row>
    <row r="60" spans="1:19" ht="17.25" customHeight="1" thickBot="1">
      <c r="A60" s="125" t="s">
        <v>122</v>
      </c>
      <c r="B60" s="126">
        <v>21.8</v>
      </c>
      <c r="C60" s="77">
        <v>-0.1138211382</v>
      </c>
      <c r="D60" s="15">
        <v>21.2</v>
      </c>
      <c r="E60" s="32">
        <f t="shared" ref="E60:E63" si="26">IF(ISNUMBER(D60), (D60 - $B60) / $B60, "")</f>
        <v>-2.7522935779816578E-2</v>
      </c>
      <c r="F60" s="18">
        <f>IF(ISNUMBER(D60), $B64 * E60, "")</f>
        <v>-2752.2935779816576</v>
      </c>
      <c r="G60" s="31">
        <v>20.6</v>
      </c>
      <c r="H60" s="32">
        <f t="shared" ref="H60:H63" si="27">IF(ISNUMBER(G60), (G60 - $B60) / $B60, "")</f>
        <v>-5.5045871559632996E-2</v>
      </c>
      <c r="I60" s="101">
        <f>IF(ISNUMBER(G60), $B64 * H60, "")</f>
        <v>-5504.5871559632997</v>
      </c>
      <c r="J60" s="15">
        <v>20.5</v>
      </c>
      <c r="K60" s="32">
        <f t="shared" ref="K60:K63" si="28">IF(ISNUMBER(J60), (J60 - $B60) / $B60, "")</f>
        <v>-5.9633027522935811E-2</v>
      </c>
      <c r="L60" s="18">
        <f>IF(ISNUMBER(J60), $B64 * K60, "")</f>
        <v>-5963.3027522935809</v>
      </c>
      <c r="M60" s="31">
        <v>21.6</v>
      </c>
      <c r="N60" s="32">
        <f t="shared" ref="N60:N63" si="29">IF(ISNUMBER(M60), (M60 - $B60) / $B60, "")</f>
        <v>-9.1743119266054721E-3</v>
      </c>
      <c r="O60" s="18">
        <f>IF(ISNUMBER(M60), $B64 * N60, "")</f>
        <v>-917.43119266054725</v>
      </c>
      <c r="Q60" s="216"/>
      <c r="R60" s="216"/>
      <c r="S60" s="216"/>
    </row>
    <row r="61" spans="1:19" ht="17.25" customHeight="1" thickBot="1">
      <c r="A61" s="125" t="s">
        <v>216</v>
      </c>
      <c r="B61" s="126">
        <v>8.44</v>
      </c>
      <c r="C61" s="77">
        <v>-0.118077325</v>
      </c>
      <c r="D61" s="15">
        <v>8.1999999999999993</v>
      </c>
      <c r="E61" s="32">
        <f t="shared" si="26"/>
        <v>-2.8436018957345998E-2</v>
      </c>
      <c r="F61" s="18">
        <f>IF(ISNUMBER(D61), $B64 * E61, "")</f>
        <v>-2843.6018957346</v>
      </c>
      <c r="G61" s="31">
        <v>7.87</v>
      </c>
      <c r="H61" s="32">
        <f t="shared" si="27"/>
        <v>-6.7535545023696616E-2</v>
      </c>
      <c r="I61" s="101">
        <f>IF(ISNUMBER(G61), $B64 * H61, "")</f>
        <v>-6753.5545023696613</v>
      </c>
      <c r="J61" s="15">
        <v>7.78</v>
      </c>
      <c r="K61" s="32">
        <f t="shared" si="28"/>
        <v>-7.8199052132701341E-2</v>
      </c>
      <c r="L61" s="18">
        <f>IF(ISNUMBER(J61), $B64 * K61, "")</f>
        <v>-7819.9052132701345</v>
      </c>
      <c r="M61" s="31">
        <v>8.09</v>
      </c>
      <c r="N61" s="32">
        <f t="shared" si="29"/>
        <v>-4.1469194312796172E-2</v>
      </c>
      <c r="O61" s="18">
        <f>IF(ISNUMBER(M61), $B64 * N61, "")</f>
        <v>-4146.9194312796171</v>
      </c>
      <c r="Q61" s="216"/>
      <c r="R61" s="216"/>
      <c r="S61" s="216"/>
    </row>
    <row r="62" spans="1:19" ht="17.25" customHeight="1">
      <c r="A62" s="125" t="s">
        <v>204</v>
      </c>
      <c r="B62" s="126">
        <v>12.4</v>
      </c>
      <c r="C62" s="77">
        <v>-0.1205673759</v>
      </c>
      <c r="D62" s="15">
        <v>11.6</v>
      </c>
      <c r="E62" s="32">
        <f t="shared" si="26"/>
        <v>-6.4516129032258118E-2</v>
      </c>
      <c r="F62" s="18">
        <f>IF(ISNUMBER(D62), $B64 * E62, "")</f>
        <v>-6451.6129032258123</v>
      </c>
      <c r="G62" s="31">
        <v>11.1</v>
      </c>
      <c r="H62" s="32">
        <f t="shared" si="27"/>
        <v>-0.10483870967741941</v>
      </c>
      <c r="I62" s="101">
        <f>IF(ISNUMBER(G62), $B64 * H62, "")</f>
        <v>-10483.870967741941</v>
      </c>
      <c r="J62" s="15">
        <v>11.1</v>
      </c>
      <c r="K62" s="32">
        <f t="shared" si="28"/>
        <v>-0.10483870967741941</v>
      </c>
      <c r="L62" s="18">
        <f>IF(ISNUMBER(J62), $B64 * K62, "")</f>
        <v>-10483.870967741941</v>
      </c>
      <c r="M62" s="31">
        <v>11.5</v>
      </c>
      <c r="N62" s="32">
        <f t="shared" si="29"/>
        <v>-7.2580645161290355E-2</v>
      </c>
      <c r="O62" s="18">
        <f>IF(ISNUMBER(M62), $B64 * N62, "")</f>
        <v>-7258.0645161290358</v>
      </c>
      <c r="Q62" s="205"/>
      <c r="R62" s="206"/>
      <c r="S62" s="207"/>
    </row>
    <row r="63" spans="1:19" ht="17.25" customHeight="1" thickBot="1">
      <c r="A63" s="130" t="s">
        <v>188</v>
      </c>
      <c r="B63" s="131">
        <v>10.199999999999999</v>
      </c>
      <c r="C63" s="79">
        <v>-0.1206896552</v>
      </c>
      <c r="D63" s="24">
        <v>9.4700000000000006</v>
      </c>
      <c r="E63" s="25">
        <f t="shared" si="26"/>
        <v>-7.1568627450980263E-2</v>
      </c>
      <c r="F63" s="104">
        <f>IF(ISNUMBER(D63), $B64 * E63, "")</f>
        <v>-7156.8627450980266</v>
      </c>
      <c r="G63" s="102">
        <v>9.2200000000000006</v>
      </c>
      <c r="H63" s="25">
        <f t="shared" si="27"/>
        <v>-9.60784313725489E-2</v>
      </c>
      <c r="I63" s="103">
        <f>IF(ISNUMBER(G63), $B64 * H63, "")</f>
        <v>-9607.8431372548894</v>
      </c>
      <c r="J63" s="24">
        <v>9.17</v>
      </c>
      <c r="K63" s="25">
        <f t="shared" si="28"/>
        <v>-0.10098039215686269</v>
      </c>
      <c r="L63" s="104">
        <f>IF(ISNUMBER(J63), $B64 * K63, "")</f>
        <v>-10098.039215686269</v>
      </c>
      <c r="M63" s="102">
        <v>9.5</v>
      </c>
      <c r="N63" s="25">
        <f t="shared" si="29"/>
        <v>-6.8627450980392093E-2</v>
      </c>
      <c r="O63" s="104">
        <f>IF(ISNUMBER(M63), $B64 * N63, "")</f>
        <v>-6862.7450980392096</v>
      </c>
      <c r="Q63" s="208"/>
      <c r="R63" s="209"/>
      <c r="S63" s="210"/>
    </row>
    <row r="64" spans="1:19" ht="17.25" customHeight="1" thickBot="1">
      <c r="A64" s="132" t="s">
        <v>271</v>
      </c>
      <c r="B64" s="269">
        <f>$B$37</f>
        <v>100000</v>
      </c>
      <c r="C64" s="270"/>
      <c r="D64" s="26" t="s">
        <v>272</v>
      </c>
      <c r="E64" s="27">
        <f>IF(COUNT(E44:E63), SUM(E44:E63) / COUNT(E44:E63), 0)</f>
        <v>-3.3019329485761403E-2</v>
      </c>
      <c r="F64" s="28">
        <f>SUM(F44:F63)</f>
        <v>-66038.658971522804</v>
      </c>
      <c r="G64" s="26" t="s">
        <v>272</v>
      </c>
      <c r="H64" s="27">
        <f>IF(COUNT(H44:H63), SUM(H44:H63) / COUNT(H44:H63), 0)</f>
        <v>-5.6973861982404041E-2</v>
      </c>
      <c r="I64" s="28">
        <f>SUM(I44:I63)</f>
        <v>-113947.72396480806</v>
      </c>
      <c r="J64" s="26" t="s">
        <v>272</v>
      </c>
      <c r="K64" s="27">
        <f>IF(COUNT(K44:K63), SUM(K44:K63) / COUNT(K44:K63), 0)</f>
        <v>-6.6187101168255269E-2</v>
      </c>
      <c r="L64" s="28">
        <f>SUM(L44:L63)</f>
        <v>-132374.20233651053</v>
      </c>
      <c r="M64" s="26" t="s">
        <v>272</v>
      </c>
      <c r="N64" s="27">
        <f>IF(COUNT(N44:N63), SUM(N44:N63) / COUNT(N44:N63), 0)</f>
        <v>-3.0880162430249648E-2</v>
      </c>
      <c r="O64" s="28">
        <f>SUM(O44:O63)</f>
        <v>-61760.324860499284</v>
      </c>
      <c r="Q64" s="211"/>
      <c r="R64" s="212"/>
      <c r="S64" s="213"/>
    </row>
    <row r="65" spans="1:19" ht="17.25" customHeight="1"/>
    <row r="66" spans="1:19" ht="17.25" customHeight="1" thickBot="1"/>
    <row r="67" spans="1:19" ht="17.25" thickBot="1">
      <c r="A67" s="227" t="s">
        <v>45</v>
      </c>
      <c r="B67" s="228"/>
      <c r="C67" s="228"/>
      <c r="D67" s="228"/>
      <c r="E67" s="228"/>
      <c r="F67" s="228"/>
      <c r="G67" s="228"/>
      <c r="H67" s="228"/>
      <c r="I67" s="228"/>
      <c r="J67" s="228"/>
      <c r="K67" s="228"/>
      <c r="L67" s="228"/>
      <c r="M67" s="228"/>
      <c r="N67" s="228"/>
      <c r="O67" s="229"/>
      <c r="Q67" s="226"/>
      <c r="R67" s="226"/>
      <c r="S67" s="226"/>
    </row>
    <row r="68" spans="1:19" ht="17.25" thickBot="1">
      <c r="A68" s="189" t="s">
        <v>268</v>
      </c>
      <c r="B68" s="227" t="s">
        <v>49</v>
      </c>
      <c r="C68" s="229"/>
      <c r="D68" s="227" t="s">
        <v>58</v>
      </c>
      <c r="E68" s="228"/>
      <c r="F68" s="229"/>
      <c r="G68" s="230">
        <f>_xlfn.IFNA(VLOOKUP(B68, 현재가테이블!$B$2:$D$200, 2, FALSE), "-")</f>
        <v>39916000</v>
      </c>
      <c r="H68" s="231"/>
      <c r="I68" s="232"/>
      <c r="J68" s="227" t="s">
        <v>59</v>
      </c>
      <c r="K68" s="228"/>
      <c r="L68" s="229"/>
      <c r="M68" s="233">
        <f>_xlfn.IFNA(VLOOKUP(B68, 현재가테이블!$B$2:$D$200, 3, FALSE), "-")</f>
        <v>7.3184273000000003E-3</v>
      </c>
      <c r="N68" s="234"/>
      <c r="O68" s="235"/>
      <c r="Q68" s="226"/>
      <c r="R68" s="226"/>
      <c r="S68" s="226"/>
    </row>
    <row r="69" spans="1:19" ht="17.25" thickBot="1">
      <c r="A69" s="271" t="s">
        <v>55</v>
      </c>
      <c r="B69" s="267" t="str">
        <f>TEXT($G$1, "[$-ko-KR]yyyy-mm-dd(ddd) ") &amp; "오전 00:00"</f>
        <v>2021-07-09(금) 오전 00:00</v>
      </c>
      <c r="C69" s="268"/>
      <c r="D69" s="240" t="str">
        <f>TEXT($G$1, "[$-ko-KR]yyyy-mm-dd(ddd) ") &amp; "오후 14:00"</f>
        <v>2021-07-09(금) 오후 14:00</v>
      </c>
      <c r="E69" s="241"/>
      <c r="F69" s="242"/>
      <c r="G69" s="240" t="str">
        <f>TEXT($G$1, "[$-ko-KR]yyyy-mm-dd(ddd) ") &amp; "오후 19:00"</f>
        <v>2021-07-09(금) 오후 19:00</v>
      </c>
      <c r="H69" s="241"/>
      <c r="I69" s="242"/>
      <c r="J69" s="240" t="str">
        <f>TEXT($G$1, "[$-ko-KR]yyyy-mm-dd(ddd) ") &amp; "오후 21:00"</f>
        <v>2021-07-09(금) 오후 21:00</v>
      </c>
      <c r="K69" s="241"/>
      <c r="L69" s="242"/>
      <c r="M69" s="240" t="str">
        <f>TEXT($G$1+1, "[$-ko-KR]yyyy-mm-dd(ddd) ") &amp; "오전 00:00"</f>
        <v>2021-07-10(토) 오전 00:00</v>
      </c>
      <c r="N69" s="241"/>
      <c r="O69" s="242"/>
      <c r="Q69" s="226"/>
      <c r="R69" s="226"/>
      <c r="S69" s="226"/>
    </row>
    <row r="70" spans="1:19" ht="17.25" thickBot="1">
      <c r="A70" s="27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0" t="s">
        <v>58</v>
      </c>
      <c r="H70" s="191" t="s">
        <v>269</v>
      </c>
      <c r="I70" s="19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6"/>
      <c r="R70" s="216"/>
      <c r="S70" s="216"/>
    </row>
    <row r="71" spans="1:19" ht="17.25" thickBot="1">
      <c r="A71" s="123" t="s">
        <v>114</v>
      </c>
      <c r="B71" s="124">
        <v>514</v>
      </c>
      <c r="C71" s="76">
        <v>9.1295116800000006E-2</v>
      </c>
      <c r="D71" s="13">
        <v>479</v>
      </c>
      <c r="E71" s="14">
        <f>IF(ISNUMBER(D71), (D71 - $B71) / $B71, "")</f>
        <v>-6.8093385214007776E-2</v>
      </c>
      <c r="F71" s="16">
        <f>IF(ISNUMBER(D71), $B91 * E71, "")</f>
        <v>-6809.3385214007776</v>
      </c>
      <c r="G71" s="29">
        <v>447</v>
      </c>
      <c r="H71" s="14">
        <f>IF(ISNUMBER(G71), (G71 - $B71) / $B71, "")</f>
        <v>-0.13035019455252919</v>
      </c>
      <c r="I71" s="100">
        <f>IF(ISNUMBER(G71), $B91 * H71, "")</f>
        <v>-13035.019455252919</v>
      </c>
      <c r="J71" s="13">
        <v>444</v>
      </c>
      <c r="K71" s="14">
        <f>IF(ISNUMBER(J71), (J71 - $B71) / $B71, "")</f>
        <v>-0.13618677042801555</v>
      </c>
      <c r="L71" s="16">
        <f>IF(ISNUMBER(J71), $B91 * K71, "")</f>
        <v>-13618.677042801555</v>
      </c>
      <c r="M71" s="29">
        <v>487</v>
      </c>
      <c r="N71" s="14">
        <f>IF(ISNUMBER(M71), (M71 - $B71) / $B71, "")</f>
        <v>-5.2529182879377433E-2</v>
      </c>
      <c r="O71" s="16">
        <f>IF(ISNUMBER(M71), $B91 * N71, "")</f>
        <v>-5252.9182879377431</v>
      </c>
      <c r="Q71" s="226"/>
      <c r="R71" s="226"/>
      <c r="S71" s="226"/>
    </row>
    <row r="72" spans="1:19" ht="17.25" thickBot="1">
      <c r="A72" s="125" t="s">
        <v>138</v>
      </c>
      <c r="B72" s="126">
        <v>445</v>
      </c>
      <c r="C72" s="77">
        <v>6.9711538500000003E-2</v>
      </c>
      <c r="D72" s="15">
        <v>422</v>
      </c>
      <c r="E72" s="32">
        <f t="shared" ref="E72:E75" si="30">IF(ISNUMBER(D72), (D72 - $B72) / $B72, "")</f>
        <v>-5.1685393258426963E-2</v>
      </c>
      <c r="F72" s="18">
        <f>IF(ISNUMBER(D72), $B91 * E72, "")</f>
        <v>-5168.5393258426966</v>
      </c>
      <c r="G72" s="31">
        <v>411</v>
      </c>
      <c r="H72" s="32">
        <f t="shared" ref="H72:H75" si="31">IF(ISNUMBER(G72), (G72 - $B72) / $B72, "")</f>
        <v>-7.6404494382022473E-2</v>
      </c>
      <c r="I72" s="101">
        <f>IF(ISNUMBER(G72), $B91 * H72, "")</f>
        <v>-7640.4494382022476</v>
      </c>
      <c r="J72" s="15">
        <v>407</v>
      </c>
      <c r="K72" s="32">
        <f t="shared" ref="K72:K75" si="32">IF(ISNUMBER(J72), (J72 - $B72) / $B72, "")</f>
        <v>-8.5393258426966295E-2</v>
      </c>
      <c r="L72" s="18">
        <f>IF(ISNUMBER(J72), $B91 * K72, "")</f>
        <v>-8539.3258426966295</v>
      </c>
      <c r="M72" s="31">
        <v>422</v>
      </c>
      <c r="N72" s="32">
        <f t="shared" ref="N72:N75" si="33">IF(ISNUMBER(M72), (M72 - $B72) / $B72, "")</f>
        <v>-5.1685393258426963E-2</v>
      </c>
      <c r="O72" s="18">
        <f>IF(ISNUMBER(M72), $B91 * N72, "")</f>
        <v>-5168.5393258426966</v>
      </c>
      <c r="Q72" s="226"/>
      <c r="R72" s="226"/>
      <c r="S72" s="226"/>
    </row>
    <row r="73" spans="1:19" ht="17.25" thickBot="1">
      <c r="A73" s="125" t="s">
        <v>86</v>
      </c>
      <c r="B73" s="126">
        <v>300</v>
      </c>
      <c r="C73" s="77">
        <v>-1.9607843100000001E-2</v>
      </c>
      <c r="D73" s="15">
        <v>289</v>
      </c>
      <c r="E73" s="32">
        <f t="shared" si="30"/>
        <v>-3.6666666666666667E-2</v>
      </c>
      <c r="F73" s="18">
        <f>IF(ISNUMBER(D73), $B91 * E73, "")</f>
        <v>-3666.6666666666665</v>
      </c>
      <c r="G73" s="31">
        <v>282</v>
      </c>
      <c r="H73" s="32">
        <f t="shared" si="31"/>
        <v>-0.06</v>
      </c>
      <c r="I73" s="101">
        <f>IF(ISNUMBER(G73), $B91 * H73, "")</f>
        <v>-6000</v>
      </c>
      <c r="J73" s="15">
        <v>280</v>
      </c>
      <c r="K73" s="32">
        <f t="shared" si="32"/>
        <v>-6.6666666666666666E-2</v>
      </c>
      <c r="L73" s="18">
        <f>IF(ISNUMBER(J73), $B91 * K73, "")</f>
        <v>-6666.666666666667</v>
      </c>
      <c r="M73" s="31">
        <v>289</v>
      </c>
      <c r="N73" s="32">
        <f t="shared" si="33"/>
        <v>-3.6666666666666667E-2</v>
      </c>
      <c r="O73" s="18">
        <f>IF(ISNUMBER(M73), $B91 * N73, "")</f>
        <v>-3666.6666666666665</v>
      </c>
      <c r="Q73" s="216"/>
      <c r="R73" s="216"/>
      <c r="S73" s="216"/>
    </row>
    <row r="74" spans="1:19" ht="17.25" thickBot="1">
      <c r="A74" s="125" t="s">
        <v>90</v>
      </c>
      <c r="B74" s="126">
        <v>746</v>
      </c>
      <c r="C74" s="77">
        <v>-2.48366013E-2</v>
      </c>
      <c r="D74" s="15">
        <v>734</v>
      </c>
      <c r="E74" s="32">
        <f t="shared" si="30"/>
        <v>-1.6085790884718499E-2</v>
      </c>
      <c r="F74" s="18">
        <f>IF(ISNUMBER(D74), $B91 * E74, "")</f>
        <v>-1608.5790884718499</v>
      </c>
      <c r="G74" s="31">
        <v>726</v>
      </c>
      <c r="H74" s="32">
        <f t="shared" si="31"/>
        <v>-2.6809651474530832E-2</v>
      </c>
      <c r="I74" s="101">
        <f>IF(ISNUMBER(G74), $B91 * H74, "")</f>
        <v>-2680.9651474530833</v>
      </c>
      <c r="J74" s="15">
        <v>722</v>
      </c>
      <c r="K74" s="32">
        <f t="shared" si="32"/>
        <v>-3.2171581769436998E-2</v>
      </c>
      <c r="L74" s="18">
        <f>IF(ISNUMBER(J74), $B91 * K74, "")</f>
        <v>-3217.1581769436998</v>
      </c>
      <c r="M74" s="31">
        <v>751</v>
      </c>
      <c r="N74" s="32">
        <f t="shared" si="33"/>
        <v>6.7024128686327079E-3</v>
      </c>
      <c r="O74" s="18">
        <f>IF(ISNUMBER(M74), $B91 * N74, "")</f>
        <v>670.24128686327083</v>
      </c>
      <c r="Q74" s="216"/>
      <c r="R74" s="216"/>
      <c r="S74" s="216"/>
    </row>
    <row r="75" spans="1:19" ht="17.25" thickBot="1">
      <c r="A75" s="127" t="s">
        <v>54</v>
      </c>
      <c r="B75" s="128">
        <v>210</v>
      </c>
      <c r="C75" s="78">
        <v>-3.2258064500000003E-2</v>
      </c>
      <c r="D75" s="20">
        <v>205</v>
      </c>
      <c r="E75" s="21">
        <f t="shared" si="30"/>
        <v>-2.3809523809523808E-2</v>
      </c>
      <c r="F75" s="22">
        <f>IF(ISNUMBER(D75), $B91 * E75, "")</f>
        <v>-2380.9523809523807</v>
      </c>
      <c r="G75" s="30">
        <v>202</v>
      </c>
      <c r="H75" s="21">
        <f t="shared" si="31"/>
        <v>-3.8095238095238099E-2</v>
      </c>
      <c r="I75" s="105">
        <f>IF(ISNUMBER(G75), $B91 * H75, "")</f>
        <v>-3809.5238095238101</v>
      </c>
      <c r="J75" s="20">
        <v>199</v>
      </c>
      <c r="K75" s="21">
        <f t="shared" si="32"/>
        <v>-5.2380952380952382E-2</v>
      </c>
      <c r="L75" s="22">
        <f>IF(ISNUMBER(J75), $B91 * K75, "")</f>
        <v>-5238.0952380952385</v>
      </c>
      <c r="M75" s="30">
        <v>209</v>
      </c>
      <c r="N75" s="21">
        <f t="shared" si="33"/>
        <v>-4.7619047619047623E-3</v>
      </c>
      <c r="O75" s="22">
        <f>IF(ISNUMBER(M75), $B91 * N75, "")</f>
        <v>-476.19047619047626</v>
      </c>
      <c r="Q75" s="216"/>
      <c r="R75" s="216"/>
      <c r="S75" s="216"/>
    </row>
    <row r="76" spans="1:19" ht="17.25" thickBot="1">
      <c r="A76" s="125" t="s">
        <v>51</v>
      </c>
      <c r="B76" s="129">
        <v>291</v>
      </c>
      <c r="C76" s="80">
        <v>-3.3222591400000001E-2</v>
      </c>
      <c r="D76" s="106">
        <v>285</v>
      </c>
      <c r="E76" s="107">
        <f>IF(ISNUMBER(D76), (D76 - $B76) / $B76, "")</f>
        <v>-2.0618556701030927E-2</v>
      </c>
      <c r="F76" s="108">
        <f>IF(ISNUMBER(D76), $B91 * E76, "")</f>
        <v>-2061.855670103093</v>
      </c>
      <c r="G76" s="109">
        <v>281</v>
      </c>
      <c r="H76" s="107">
        <f>IF(ISNUMBER(G76), (G76 - $B76) / $B76, "")</f>
        <v>-3.4364261168384883E-2</v>
      </c>
      <c r="I76" s="110">
        <f>IF(ISNUMBER(G76), $B91 * H76, "")</f>
        <v>-3436.4261168384883</v>
      </c>
      <c r="J76" s="106">
        <v>279</v>
      </c>
      <c r="K76" s="107">
        <f>IF(ISNUMBER(J76), (J76 - $B76) / $B76, "")</f>
        <v>-4.1237113402061855E-2</v>
      </c>
      <c r="L76" s="108">
        <f>IF(ISNUMBER(J76), $B91 * K76, "")</f>
        <v>-4123.7113402061859</v>
      </c>
      <c r="M76" s="109">
        <v>291</v>
      </c>
      <c r="N76" s="107">
        <f>IF(ISNUMBER(M76), (M76 - $B76) / $B76, "")</f>
        <v>0</v>
      </c>
      <c r="O76" s="108">
        <f>IF(ISNUMBER(M76), $B91 * N76, "")</f>
        <v>0</v>
      </c>
      <c r="Q76" s="216"/>
      <c r="R76" s="216"/>
      <c r="S76" s="216"/>
    </row>
    <row r="77" spans="1:19" ht="17.25" thickBot="1">
      <c r="A77" s="125" t="s">
        <v>61</v>
      </c>
      <c r="B77" s="126">
        <v>814</v>
      </c>
      <c r="C77" s="77">
        <v>-3.8961039000000003E-2</v>
      </c>
      <c r="D77" s="15">
        <v>764</v>
      </c>
      <c r="E77" s="32">
        <f t="shared" ref="E77:E80" si="34">IF(ISNUMBER(D77), (D77 - $B77) / $B77, "")</f>
        <v>-6.1425061425061427E-2</v>
      </c>
      <c r="F77" s="18">
        <f>IF(ISNUMBER(D77), $B91 * E77, "")</f>
        <v>-6142.5061425061431</v>
      </c>
      <c r="G77" s="31">
        <v>736</v>
      </c>
      <c r="H77" s="32">
        <f t="shared" ref="H77:H80" si="35">IF(ISNUMBER(G77), (G77 - $B77) / $B77, "")</f>
        <v>-9.5823095823095825E-2</v>
      </c>
      <c r="I77" s="101">
        <f>IF(ISNUMBER(G77), $B91 * H77, "")</f>
        <v>-9582.3095823095828</v>
      </c>
      <c r="J77" s="15">
        <v>723</v>
      </c>
      <c r="K77" s="32">
        <f t="shared" ref="K77:K80" si="36">IF(ISNUMBER(J77), (J77 - $B77) / $B77, "")</f>
        <v>-0.11179361179361179</v>
      </c>
      <c r="L77" s="18">
        <f>IF(ISNUMBER(J77), $B91 * K77, "")</f>
        <v>-11179.361179361178</v>
      </c>
      <c r="M77" s="31">
        <v>784</v>
      </c>
      <c r="N77" s="32">
        <f t="shared" ref="N77:N80" si="37">IF(ISNUMBER(M77), (M77 - $B77) / $B77, "")</f>
        <v>-3.6855036855036855E-2</v>
      </c>
      <c r="O77" s="18">
        <f>IF(ISNUMBER(M77), $B91 * N77, "")</f>
        <v>-3685.5036855036856</v>
      </c>
      <c r="Q77" s="216"/>
      <c r="R77" s="216"/>
      <c r="S77" s="216"/>
    </row>
    <row r="78" spans="1:19" ht="17.25" thickBot="1">
      <c r="A78" s="125" t="s">
        <v>118</v>
      </c>
      <c r="B78" s="126">
        <v>133</v>
      </c>
      <c r="C78" s="77">
        <v>-4.31654676E-2</v>
      </c>
      <c r="D78" s="15">
        <v>135</v>
      </c>
      <c r="E78" s="32">
        <f t="shared" si="34"/>
        <v>1.5037593984962405E-2</v>
      </c>
      <c r="F78" s="18">
        <f>IF(ISNUMBER(D78), $B91 * E78, "")</f>
        <v>1503.7593984962405</v>
      </c>
      <c r="G78" s="31">
        <v>137</v>
      </c>
      <c r="H78" s="32">
        <f t="shared" si="35"/>
        <v>3.007518796992481E-2</v>
      </c>
      <c r="I78" s="101">
        <f>IF(ISNUMBER(G78), $B91 * H78, "")</f>
        <v>3007.5187969924809</v>
      </c>
      <c r="J78" s="15">
        <v>138</v>
      </c>
      <c r="K78" s="32">
        <f t="shared" si="36"/>
        <v>3.7593984962406013E-2</v>
      </c>
      <c r="L78" s="18">
        <f>IF(ISNUMBER(J78), $B91 * K78, "")</f>
        <v>3759.3984962406012</v>
      </c>
      <c r="M78" s="31">
        <v>141</v>
      </c>
      <c r="N78" s="32">
        <f t="shared" si="37"/>
        <v>6.0150375939849621E-2</v>
      </c>
      <c r="O78" s="18">
        <f>IF(ISNUMBER(M78), $B91 * N78, "")</f>
        <v>6015.0375939849619</v>
      </c>
      <c r="Q78" s="216"/>
      <c r="R78" s="216"/>
      <c r="S78" s="216"/>
    </row>
    <row r="79" spans="1:19" ht="17.25" thickBot="1">
      <c r="A79" s="125" t="s">
        <v>267</v>
      </c>
      <c r="B79" s="126">
        <v>249</v>
      </c>
      <c r="C79" s="77">
        <v>-5.6818181799999999E-2</v>
      </c>
      <c r="D79" s="15">
        <v>244</v>
      </c>
      <c r="E79" s="32">
        <f t="shared" si="34"/>
        <v>-2.0080321285140562E-2</v>
      </c>
      <c r="F79" s="18">
        <f>IF(ISNUMBER(D79), $B91 * E79, "")</f>
        <v>-2008.0321285140562</v>
      </c>
      <c r="G79" s="31">
        <v>261</v>
      </c>
      <c r="H79" s="32">
        <f t="shared" si="35"/>
        <v>4.8192771084337352E-2</v>
      </c>
      <c r="I79" s="101">
        <f>IF(ISNUMBER(G79), $B91 * H79, "")</f>
        <v>4819.2771084337355</v>
      </c>
      <c r="J79" s="15">
        <v>257</v>
      </c>
      <c r="K79" s="32">
        <f t="shared" si="36"/>
        <v>3.2128514056224897E-2</v>
      </c>
      <c r="L79" s="18">
        <f>IF(ISNUMBER(J79), $B91 * K79, "")</f>
        <v>3212.8514056224894</v>
      </c>
      <c r="M79" s="31">
        <v>261</v>
      </c>
      <c r="N79" s="32">
        <f t="shared" si="37"/>
        <v>4.8192771084337352E-2</v>
      </c>
      <c r="O79" s="18">
        <f>IF(ISNUMBER(M79), $B91 * N79, "")</f>
        <v>4819.2771084337355</v>
      </c>
      <c r="Q79" s="33"/>
      <c r="R79" s="33"/>
    </row>
    <row r="80" spans="1:19" ht="17.25" thickBot="1">
      <c r="A80" s="130" t="s">
        <v>80</v>
      </c>
      <c r="B80" s="131">
        <v>678</v>
      </c>
      <c r="C80" s="79">
        <v>-5.7023643899999997E-2</v>
      </c>
      <c r="D80" s="24">
        <v>661</v>
      </c>
      <c r="E80" s="25">
        <f t="shared" si="34"/>
        <v>-2.5073746312684365E-2</v>
      </c>
      <c r="F80" s="104">
        <f>IF(ISNUMBER(D80), $B91 * E80, "")</f>
        <v>-2507.3746312684366</v>
      </c>
      <c r="G80" s="102">
        <v>649</v>
      </c>
      <c r="H80" s="25">
        <f t="shared" si="35"/>
        <v>-4.2772861356932153E-2</v>
      </c>
      <c r="I80" s="103">
        <f>IF(ISNUMBER(G80), $B91 * H80, "")</f>
        <v>-4277.2861356932153</v>
      </c>
      <c r="J80" s="24">
        <v>643</v>
      </c>
      <c r="K80" s="25">
        <f t="shared" si="36"/>
        <v>-5.1622418879056046E-2</v>
      </c>
      <c r="L80" s="104">
        <f>IF(ISNUMBER(J80), $B91 * K80, "")</f>
        <v>-5162.2418879056049</v>
      </c>
      <c r="M80" s="102">
        <v>667</v>
      </c>
      <c r="N80" s="25">
        <f t="shared" si="37"/>
        <v>-1.6224188790560472E-2</v>
      </c>
      <c r="O80" s="104">
        <f>IF(ISNUMBER(M80), $B91 * N80, "")</f>
        <v>-1622.4188790560472</v>
      </c>
      <c r="Q80" s="217"/>
      <c r="R80" s="218"/>
      <c r="S80" s="219"/>
    </row>
    <row r="81" spans="1:19">
      <c r="A81" s="123" t="s">
        <v>57</v>
      </c>
      <c r="B81" s="124">
        <v>147</v>
      </c>
      <c r="C81" s="76">
        <v>-5.7692307700000001E-2</v>
      </c>
      <c r="D81" s="13">
        <v>143</v>
      </c>
      <c r="E81" s="14">
        <f>IF(ISNUMBER(D81), (D81 - $B81) / $B81, "")</f>
        <v>-2.7210884353741496E-2</v>
      </c>
      <c r="F81" s="16">
        <f>IF(ISNUMBER(D81), $B91 * E81, "")</f>
        <v>-2721.0884353741494</v>
      </c>
      <c r="G81" s="29">
        <v>140</v>
      </c>
      <c r="H81" s="14">
        <f>IF(ISNUMBER(G81), (G81 - $B81) / $B81, "")</f>
        <v>-4.7619047619047616E-2</v>
      </c>
      <c r="I81" s="100">
        <f>IF(ISNUMBER(G81), $B91 * H81, "")</f>
        <v>-4761.9047619047615</v>
      </c>
      <c r="J81" s="13">
        <v>139</v>
      </c>
      <c r="K81" s="14">
        <f>IF(ISNUMBER(J81), (J81 - $B81) / $B81, "")</f>
        <v>-5.4421768707482991E-2</v>
      </c>
      <c r="L81" s="16">
        <f>IF(ISNUMBER(J81), $B91 * K81, "")</f>
        <v>-5442.1768707482988</v>
      </c>
      <c r="M81" s="29">
        <v>143</v>
      </c>
      <c r="N81" s="14">
        <f>IF(ISNUMBER(M81), (M81 - $B81) / $B81, "")</f>
        <v>-2.7210884353741496E-2</v>
      </c>
      <c r="O81" s="16">
        <f>IF(ISNUMBER(M81), $B91 * N81, "")</f>
        <v>-2721.0884353741494</v>
      </c>
      <c r="Q81" s="220"/>
      <c r="R81" s="221"/>
      <c r="S81" s="222"/>
    </row>
    <row r="82" spans="1:19" ht="17.25" thickBot="1">
      <c r="A82" s="125" t="s">
        <v>102</v>
      </c>
      <c r="B82" s="126">
        <v>844</v>
      </c>
      <c r="C82" s="77">
        <v>-6.0133630299999997E-2</v>
      </c>
      <c r="D82" s="15">
        <v>818</v>
      </c>
      <c r="E82" s="32">
        <f t="shared" ref="E82:E85" si="38">IF(ISNUMBER(D82), (D82 - $B82) / $B82, "")</f>
        <v>-3.0805687203791468E-2</v>
      </c>
      <c r="F82" s="18">
        <f>IF(ISNUMBER(D82), $B91 * E82, "")</f>
        <v>-3080.5687203791467</v>
      </c>
      <c r="G82" s="31">
        <v>804</v>
      </c>
      <c r="H82" s="32">
        <f t="shared" ref="H82:H85" si="39">IF(ISNUMBER(G82), (G82 - $B82) / $B82, "")</f>
        <v>-4.7393364928909949E-2</v>
      </c>
      <c r="I82" s="101">
        <f>IF(ISNUMBER(G82), $B91 * H82, "")</f>
        <v>-4739.336492890995</v>
      </c>
      <c r="J82" s="15">
        <v>795</v>
      </c>
      <c r="K82" s="32">
        <f t="shared" ref="K82:K85" si="40">IF(ISNUMBER(J82), (J82 - $B82) / $B82, "")</f>
        <v>-5.8056872037914695E-2</v>
      </c>
      <c r="L82" s="18">
        <f>IF(ISNUMBER(J82), $B91 * K82, "")</f>
        <v>-5805.6872037914691</v>
      </c>
      <c r="M82" s="31">
        <v>830</v>
      </c>
      <c r="N82" s="32">
        <f t="shared" ref="N82:N85" si="41">IF(ISNUMBER(M82), (M82 - $B82) / $B82, "")</f>
        <v>-1.6587677725118485E-2</v>
      </c>
      <c r="O82" s="18">
        <f>IF(ISNUMBER(M82), $B91 * N82, "")</f>
        <v>-1658.7677725118485</v>
      </c>
      <c r="Q82" s="223"/>
      <c r="R82" s="224"/>
      <c r="S82" s="225"/>
    </row>
    <row r="83" spans="1:19" ht="17.25" thickBot="1">
      <c r="A83" s="125" t="s">
        <v>104</v>
      </c>
      <c r="B83" s="126">
        <v>871</v>
      </c>
      <c r="C83" s="77">
        <v>-6.0409924500000003E-2</v>
      </c>
      <c r="D83" s="15">
        <v>969</v>
      </c>
      <c r="E83" s="32">
        <f t="shared" si="38"/>
        <v>0.11251435132032148</v>
      </c>
      <c r="F83" s="18">
        <f>IF(ISNUMBER(D83), $B91 * E83, "")</f>
        <v>11251.435132032148</v>
      </c>
      <c r="G83" s="31">
        <v>1010</v>
      </c>
      <c r="H83" s="32">
        <f t="shared" si="39"/>
        <v>0.15958668197474168</v>
      </c>
      <c r="I83" s="101">
        <f>IF(ISNUMBER(G83), $B91 * H83, "")</f>
        <v>15958.668197474168</v>
      </c>
      <c r="J83" s="15">
        <v>1015</v>
      </c>
      <c r="K83" s="32">
        <f t="shared" si="40"/>
        <v>0.16532721010332951</v>
      </c>
      <c r="L83" s="18">
        <f>IF(ISNUMBER(J83), $B91 * K83, "")</f>
        <v>16532.721010332953</v>
      </c>
      <c r="M83" s="31">
        <v>1045</v>
      </c>
      <c r="N83" s="32">
        <f t="shared" si="41"/>
        <v>0.19977037887485649</v>
      </c>
      <c r="O83" s="18">
        <f>IF(ISNUMBER(M83), $B91 * N83, "")</f>
        <v>19977.037887485651</v>
      </c>
      <c r="Q83" s="216"/>
      <c r="R83" s="216"/>
      <c r="S83" s="216"/>
    </row>
    <row r="84" spans="1:19" ht="17.25" thickBot="1">
      <c r="A84" s="125" t="s">
        <v>200</v>
      </c>
      <c r="B84" s="126">
        <v>115</v>
      </c>
      <c r="C84" s="77">
        <v>-7.2580645200000002E-2</v>
      </c>
      <c r="D84" s="15">
        <v>117</v>
      </c>
      <c r="E84" s="32">
        <f t="shared" si="38"/>
        <v>1.7391304347826087E-2</v>
      </c>
      <c r="F84" s="18">
        <f>IF(ISNUMBER(D84), $B91 * E84, "")</f>
        <v>1739.1304347826087</v>
      </c>
      <c r="G84" s="31">
        <v>111</v>
      </c>
      <c r="H84" s="32">
        <f t="shared" si="39"/>
        <v>-3.4782608695652174E-2</v>
      </c>
      <c r="I84" s="101">
        <f>IF(ISNUMBER(G84), $B91 * H84, "")</f>
        <v>-3478.2608695652175</v>
      </c>
      <c r="J84" s="15">
        <v>112</v>
      </c>
      <c r="K84" s="32">
        <f t="shared" si="40"/>
        <v>-2.6086956521739129E-2</v>
      </c>
      <c r="L84" s="18">
        <f>IF(ISNUMBER(J84), $B91 * K84, "")</f>
        <v>-2608.695652173913</v>
      </c>
      <c r="M84" s="31">
        <v>112</v>
      </c>
      <c r="N84" s="32">
        <f t="shared" si="41"/>
        <v>-2.6086956521739129E-2</v>
      </c>
      <c r="O84" s="18">
        <f>IF(ISNUMBER(M84), $B91 * N84, "")</f>
        <v>-2608.695652173913</v>
      </c>
      <c r="Q84" s="226"/>
      <c r="R84" s="226"/>
      <c r="S84" s="226"/>
    </row>
    <row r="85" spans="1:19" ht="17.25" thickBot="1">
      <c r="A85" s="127" t="s">
        <v>220</v>
      </c>
      <c r="B85" s="128">
        <v>168</v>
      </c>
      <c r="C85" s="78">
        <v>-7.6923076899999998E-2</v>
      </c>
      <c r="D85" s="20">
        <v>171</v>
      </c>
      <c r="E85" s="21">
        <f t="shared" si="38"/>
        <v>1.7857142857142856E-2</v>
      </c>
      <c r="F85" s="22">
        <f>IF(ISNUMBER(D85), $B91 * E85, "")</f>
        <v>1785.7142857142856</v>
      </c>
      <c r="G85" s="30">
        <v>165</v>
      </c>
      <c r="H85" s="21">
        <f t="shared" si="39"/>
        <v>-1.7857142857142856E-2</v>
      </c>
      <c r="I85" s="105">
        <f>IF(ISNUMBER(G85), $B91 * H85, "")</f>
        <v>-1785.7142857142856</v>
      </c>
      <c r="J85" s="20">
        <v>165</v>
      </c>
      <c r="K85" s="21">
        <f t="shared" si="40"/>
        <v>-1.7857142857142856E-2</v>
      </c>
      <c r="L85" s="22">
        <f>IF(ISNUMBER(J85), $B91 * K85, "")</f>
        <v>-1785.7142857142856</v>
      </c>
      <c r="M85" s="30">
        <v>166</v>
      </c>
      <c r="N85" s="21">
        <f t="shared" si="41"/>
        <v>-1.1904761904761904E-2</v>
      </c>
      <c r="O85" s="22">
        <f>IF(ISNUMBER(M85), $B91 * N85, "")</f>
        <v>-1190.4761904761904</v>
      </c>
      <c r="Q85" s="226"/>
      <c r="R85" s="226"/>
      <c r="S85" s="226"/>
    </row>
    <row r="86" spans="1:19" ht="17.25" thickBot="1">
      <c r="A86" s="125" t="s">
        <v>231</v>
      </c>
      <c r="B86" s="129">
        <v>156</v>
      </c>
      <c r="C86" s="80">
        <v>-7.6923076899999998E-2</v>
      </c>
      <c r="D86" s="106">
        <v>145</v>
      </c>
      <c r="E86" s="107">
        <f>IF(ISNUMBER(D86), (D86 - $B86) / $B86, "")</f>
        <v>-7.0512820512820512E-2</v>
      </c>
      <c r="F86" s="108">
        <f>IF(ISNUMBER(D86), $B91 * E86, "")</f>
        <v>-7051.2820512820508</v>
      </c>
      <c r="G86" s="109">
        <v>142</v>
      </c>
      <c r="H86" s="107">
        <f>IF(ISNUMBER(G86), (G86 - $B86) / $B86, "")</f>
        <v>-8.9743589743589744E-2</v>
      </c>
      <c r="I86" s="110">
        <f>IF(ISNUMBER(G86), $B91 * H86, "")</f>
        <v>-8974.3589743589746</v>
      </c>
      <c r="J86" s="106">
        <v>142</v>
      </c>
      <c r="K86" s="107">
        <f>IF(ISNUMBER(J86), (J86 - $B86) / $B86, "")</f>
        <v>-8.9743589743589744E-2</v>
      </c>
      <c r="L86" s="108">
        <f>IF(ISNUMBER(J86), $B91 * K86, "")</f>
        <v>-8974.3589743589746</v>
      </c>
      <c r="M86" s="109">
        <v>148</v>
      </c>
      <c r="N86" s="107">
        <f>IF(ISNUMBER(M86), (M86 - $B86) / $B86, "")</f>
        <v>-5.128205128205128E-2</v>
      </c>
      <c r="O86" s="108">
        <f>IF(ISNUMBER(M86), $B91 * N86, "")</f>
        <v>-5128.2051282051279</v>
      </c>
      <c r="Q86" s="216"/>
      <c r="R86" s="216"/>
      <c r="S86" s="216"/>
    </row>
    <row r="87" spans="1:19" ht="17.25" thickBot="1">
      <c r="A87" s="125" t="s">
        <v>243</v>
      </c>
      <c r="B87" s="126">
        <v>360</v>
      </c>
      <c r="C87" s="77">
        <v>-8.1632653099999994E-2</v>
      </c>
      <c r="D87" s="15">
        <v>359</v>
      </c>
      <c r="E87" s="32">
        <f t="shared" ref="E87:E90" si="42">IF(ISNUMBER(D87), (D87 - $B87) / $B87, "")</f>
        <v>-2.7777777777777779E-3</v>
      </c>
      <c r="F87" s="18">
        <f>IF(ISNUMBER(D87), $B91 * E87, "")</f>
        <v>-277.77777777777777</v>
      </c>
      <c r="G87" s="31">
        <v>350</v>
      </c>
      <c r="H87" s="32">
        <f t="shared" ref="H87:H90" si="43">IF(ISNUMBER(G87), (G87 - $B87) / $B87, "")</f>
        <v>-2.7777777777777776E-2</v>
      </c>
      <c r="I87" s="101">
        <f>IF(ISNUMBER(G87), $B91 * H87, "")</f>
        <v>-2777.7777777777778</v>
      </c>
      <c r="J87" s="15">
        <v>348</v>
      </c>
      <c r="K87" s="32">
        <f t="shared" ref="K87:K90" si="44">IF(ISNUMBER(J87), (J87 - $B87) / $B87, "")</f>
        <v>-3.3333333333333333E-2</v>
      </c>
      <c r="L87" s="18">
        <f>IF(ISNUMBER(J87), $B91 * K87, "")</f>
        <v>-3333.3333333333335</v>
      </c>
      <c r="M87" s="31">
        <v>366</v>
      </c>
      <c r="N87" s="32">
        <f t="shared" ref="N87:N90" si="45">IF(ISNUMBER(M87), (M87 - $B87) / $B87, "")</f>
        <v>1.6666666666666666E-2</v>
      </c>
      <c r="O87" s="18">
        <f>IF(ISNUMBER(M87), $B91 * N87, "")</f>
        <v>1666.6666666666667</v>
      </c>
      <c r="Q87" s="216"/>
      <c r="R87" s="216"/>
      <c r="S87" s="216"/>
    </row>
    <row r="88" spans="1:19" ht="17.25" thickBot="1">
      <c r="A88" s="125" t="s">
        <v>194</v>
      </c>
      <c r="B88" s="126">
        <v>121</v>
      </c>
      <c r="C88" s="77">
        <v>-8.3333333300000006E-2</v>
      </c>
      <c r="D88" s="15">
        <v>127</v>
      </c>
      <c r="E88" s="32">
        <f t="shared" si="42"/>
        <v>4.9586776859504134E-2</v>
      </c>
      <c r="F88" s="18">
        <f>IF(ISNUMBER(D88), $B91 * E88, "")</f>
        <v>4958.6776859504134</v>
      </c>
      <c r="G88" s="31">
        <v>120</v>
      </c>
      <c r="H88" s="32">
        <f t="shared" si="43"/>
        <v>-8.2644628099173556E-3</v>
      </c>
      <c r="I88" s="101">
        <f>IF(ISNUMBER(G88), $B91 * H88, "")</f>
        <v>-826.44628099173553</v>
      </c>
      <c r="J88" s="15">
        <v>120</v>
      </c>
      <c r="K88" s="32">
        <f t="shared" si="44"/>
        <v>-8.2644628099173556E-3</v>
      </c>
      <c r="L88" s="18">
        <f>IF(ISNUMBER(J88), $B91 * K88, "")</f>
        <v>-826.44628099173553</v>
      </c>
      <c r="M88" s="31">
        <v>121</v>
      </c>
      <c r="N88" s="32">
        <f t="shared" si="45"/>
        <v>0</v>
      </c>
      <c r="O88" s="18">
        <f>IF(ISNUMBER(M88), $B91 * N88, "")</f>
        <v>0</v>
      </c>
      <c r="Q88" s="216"/>
      <c r="R88" s="216"/>
      <c r="S88" s="216"/>
    </row>
    <row r="89" spans="1:19">
      <c r="A89" s="125" t="s">
        <v>214</v>
      </c>
      <c r="B89" s="126">
        <v>239</v>
      </c>
      <c r="C89" s="77">
        <v>-8.4291187700000006E-2</v>
      </c>
      <c r="D89" s="15">
        <v>240</v>
      </c>
      <c r="E89" s="32">
        <f t="shared" si="42"/>
        <v>4.1841004184100415E-3</v>
      </c>
      <c r="F89" s="18">
        <f>IF(ISNUMBER(D89), $B91 * E89, "")</f>
        <v>418.41004184100416</v>
      </c>
      <c r="G89" s="31">
        <v>236</v>
      </c>
      <c r="H89" s="32">
        <f t="shared" si="43"/>
        <v>-1.2552301255230125E-2</v>
      </c>
      <c r="I89" s="101">
        <f>IF(ISNUMBER(G89), $B91 * H89, "")</f>
        <v>-1255.2301255230125</v>
      </c>
      <c r="J89" s="15">
        <v>234</v>
      </c>
      <c r="K89" s="32">
        <f t="shared" si="44"/>
        <v>-2.0920502092050208E-2</v>
      </c>
      <c r="L89" s="18">
        <f>IF(ISNUMBER(J89), $B91 * K89, "")</f>
        <v>-2092.050209205021</v>
      </c>
      <c r="M89" s="31">
        <v>240</v>
      </c>
      <c r="N89" s="32">
        <f t="shared" si="45"/>
        <v>4.1841004184100415E-3</v>
      </c>
      <c r="O89" s="18">
        <f>IF(ISNUMBER(M89), $B91 * N89, "")</f>
        <v>418.41004184100416</v>
      </c>
      <c r="Q89" s="205"/>
      <c r="R89" s="206"/>
      <c r="S89" s="207"/>
    </row>
    <row r="90" spans="1:19" ht="17.25" thickBot="1">
      <c r="A90" s="130" t="s">
        <v>218</v>
      </c>
      <c r="B90" s="131">
        <v>101</v>
      </c>
      <c r="C90" s="79">
        <v>-9.0090090100000006E-2</v>
      </c>
      <c r="D90" s="24">
        <v>103</v>
      </c>
      <c r="E90" s="25">
        <f t="shared" si="42"/>
        <v>1.9801980198019802E-2</v>
      </c>
      <c r="F90" s="104">
        <f>IF(ISNUMBER(D90), $B91 * E90, "")</f>
        <v>1980.1980198019803</v>
      </c>
      <c r="G90" s="102">
        <v>99.7</v>
      </c>
      <c r="H90" s="25">
        <f t="shared" si="43"/>
        <v>-1.2871287128712843E-2</v>
      </c>
      <c r="I90" s="103">
        <f>IF(ISNUMBER(G90), $B91 * H90, "")</f>
        <v>-1287.1287128712843</v>
      </c>
      <c r="J90" s="24">
        <v>101</v>
      </c>
      <c r="K90" s="25">
        <f t="shared" si="44"/>
        <v>0</v>
      </c>
      <c r="L90" s="104">
        <f>IF(ISNUMBER(J90), $B91 * K90, "")</f>
        <v>0</v>
      </c>
      <c r="M90" s="102">
        <v>101</v>
      </c>
      <c r="N90" s="25">
        <f t="shared" si="45"/>
        <v>0</v>
      </c>
      <c r="O90" s="104">
        <f>IF(ISNUMBER(M90), $B91 * N90, "")</f>
        <v>0</v>
      </c>
      <c r="Q90" s="208"/>
      <c r="R90" s="209"/>
      <c r="S90" s="210"/>
    </row>
    <row r="91" spans="1:19" ht="17.25" thickBot="1">
      <c r="A91" s="132" t="s">
        <v>271</v>
      </c>
      <c r="B91" s="269">
        <f>$B$37</f>
        <v>100000</v>
      </c>
      <c r="C91" s="270"/>
      <c r="D91" s="26" t="s">
        <v>272</v>
      </c>
      <c r="E91" s="27">
        <f>IF(COUNT(E71:E90), SUM(E71:E90) / COUNT(E71:E90), 0)</f>
        <v>-1.0923618270960275E-2</v>
      </c>
      <c r="F91" s="28">
        <f>SUM(F71:F90)</f>
        <v>-21847.236541920545</v>
      </c>
      <c r="G91" s="26" t="s">
        <v>272</v>
      </c>
      <c r="H91" s="27">
        <f>IF(COUNT(H71:H90), SUM(H71:H90) / COUNT(H71:H90), 0)</f>
        <v>-2.82813369319855E-2</v>
      </c>
      <c r="I91" s="28">
        <f>SUM(I71:I90)</f>
        <v>-56562.673863971009</v>
      </c>
      <c r="J91" s="26" t="s">
        <v>272</v>
      </c>
      <c r="K91" s="27">
        <f>IF(COUNT(K71:K90), SUM(K71:K90) / COUNT(K71:K90), 0)</f>
        <v>-3.2554364636398866E-2</v>
      </c>
      <c r="L91" s="28">
        <f>SUM(L71:L90)</f>
        <v>-65108.729272797747</v>
      </c>
      <c r="M91" s="26" t="s">
        <v>272</v>
      </c>
      <c r="N91" s="27">
        <f>IF(COUNT(N71:N90), SUM(N71:N90) / COUNT(N71:N90), 0)</f>
        <v>1.9360004266837124E-4</v>
      </c>
      <c r="O91" s="28">
        <f>SUM(O71:O90)</f>
        <v>387.20008533674445</v>
      </c>
      <c r="Q91" s="211"/>
      <c r="R91" s="212"/>
      <c r="S91" s="213"/>
    </row>
    <row r="93" spans="1:19" ht="17.25" thickBot="1"/>
    <row r="94" spans="1:19" ht="17.25" thickBot="1">
      <c r="A94" s="227" t="s">
        <v>46</v>
      </c>
      <c r="B94" s="228"/>
      <c r="C94" s="228"/>
      <c r="D94" s="228"/>
      <c r="E94" s="228"/>
      <c r="F94" s="228"/>
      <c r="G94" s="228"/>
      <c r="H94" s="228"/>
      <c r="I94" s="228"/>
      <c r="J94" s="228"/>
      <c r="K94" s="228"/>
      <c r="L94" s="228"/>
      <c r="M94" s="228"/>
      <c r="N94" s="228"/>
      <c r="O94" s="229"/>
      <c r="Q94" s="226"/>
      <c r="R94" s="226"/>
      <c r="S94" s="226"/>
    </row>
    <row r="95" spans="1:19" ht="17.25" thickBot="1">
      <c r="A95" s="189" t="s">
        <v>268</v>
      </c>
      <c r="B95" s="227" t="s">
        <v>49</v>
      </c>
      <c r="C95" s="229"/>
      <c r="D95" s="227" t="s">
        <v>58</v>
      </c>
      <c r="E95" s="228"/>
      <c r="F95" s="229"/>
      <c r="G95" s="230">
        <f>_xlfn.IFNA(VLOOKUP(B95, 현재가테이블!$B$2:$D$200, 2, FALSE), "-")</f>
        <v>39916000</v>
      </c>
      <c r="H95" s="231"/>
      <c r="I95" s="232"/>
      <c r="J95" s="227" t="s">
        <v>59</v>
      </c>
      <c r="K95" s="228"/>
      <c r="L95" s="229"/>
      <c r="M95" s="233">
        <f>_xlfn.IFNA(VLOOKUP(B95, 현재가테이블!$B$2:$D$200, 3, FALSE), "-")</f>
        <v>7.3184273000000003E-3</v>
      </c>
      <c r="N95" s="234"/>
      <c r="O95" s="235"/>
      <c r="Q95" s="226"/>
      <c r="R95" s="226"/>
      <c r="S95" s="226"/>
    </row>
    <row r="96" spans="1:19" ht="17.25" thickBot="1">
      <c r="A96" s="271" t="s">
        <v>55</v>
      </c>
      <c r="B96" s="267" t="str">
        <f>TEXT($G$1, "[$-ko-KR]yyyy-mm-dd(ddd) ") &amp; "오전 00:00"</f>
        <v>2021-07-09(금) 오전 00:00</v>
      </c>
      <c r="C96" s="268"/>
      <c r="D96" s="240" t="str">
        <f>TEXT($G$1, "[$-ko-KR]yyyy-mm-dd(ddd) ") &amp; "오후 14:00"</f>
        <v>2021-07-09(금) 오후 14:00</v>
      </c>
      <c r="E96" s="241"/>
      <c r="F96" s="242"/>
      <c r="G96" s="240" t="str">
        <f>TEXT($G$1, "[$-ko-KR]yyyy-mm-dd(ddd) ") &amp; "오후 19:00"</f>
        <v>2021-07-09(금) 오후 19:00</v>
      </c>
      <c r="H96" s="241"/>
      <c r="I96" s="242"/>
      <c r="J96" s="240" t="str">
        <f>TEXT($G$1, "[$-ko-KR]yyyy-mm-dd(ddd) ") &amp; "오후 21:00"</f>
        <v>2021-07-09(금) 오후 21:00</v>
      </c>
      <c r="K96" s="241"/>
      <c r="L96" s="242"/>
      <c r="M96" s="240" t="str">
        <f>TEXT($G$1+1, "[$-ko-KR]yyyy-mm-dd(ddd) ") &amp; "오전 00:00"</f>
        <v>2021-07-10(토) 오전 00:00</v>
      </c>
      <c r="N96" s="241"/>
      <c r="O96" s="242"/>
      <c r="Q96" s="226"/>
      <c r="R96" s="226"/>
      <c r="S96" s="226"/>
    </row>
    <row r="97" spans="1:19" ht="17.25" thickBot="1">
      <c r="A97" s="27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0" t="s">
        <v>58</v>
      </c>
      <c r="H97" s="191" t="s">
        <v>269</v>
      </c>
      <c r="I97" s="19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6"/>
      <c r="R97" s="216"/>
      <c r="S97" s="216"/>
    </row>
    <row r="98" spans="1:19" ht="17.25" thickBot="1">
      <c r="A98" s="123" t="s">
        <v>168</v>
      </c>
      <c r="B98" s="124">
        <v>1310</v>
      </c>
      <c r="C98" s="76">
        <v>0.14410480349999999</v>
      </c>
      <c r="D98" s="13">
        <v>1280</v>
      </c>
      <c r="E98" s="14">
        <f>IF(ISNUMBER(D98), (D98 - $B98) / $B98, "")</f>
        <v>-2.2900763358778626E-2</v>
      </c>
      <c r="F98" s="16">
        <f>IF(ISNUMBER(D98), $B118 * E98, "")</f>
        <v>-2290.0763358778627</v>
      </c>
      <c r="G98" s="29">
        <v>1210</v>
      </c>
      <c r="H98" s="14">
        <f>IF(ISNUMBER(G98), (G98 - $B98) / $B98, "")</f>
        <v>-7.6335877862595422E-2</v>
      </c>
      <c r="I98" s="100">
        <f>IF(ISNUMBER(G98), $B118 * H98, "")</f>
        <v>-7633.5877862595426</v>
      </c>
      <c r="J98" s="13">
        <v>1200</v>
      </c>
      <c r="K98" s="14">
        <f>IF(ISNUMBER(J98), (J98 - $B98) / $B98, "")</f>
        <v>-8.3969465648854963E-2</v>
      </c>
      <c r="L98" s="16">
        <f>IF(ISNUMBER(J98), $B118 * K98, "")</f>
        <v>-8396.9465648854966</v>
      </c>
      <c r="M98" s="29">
        <v>1305</v>
      </c>
      <c r="N98" s="14">
        <f>IF(ISNUMBER(M98), (M98 - $B98) / $B98, "")</f>
        <v>-3.8167938931297708E-3</v>
      </c>
      <c r="O98" s="16">
        <f>IF(ISNUMBER(M98), $B118 * N98, "")</f>
        <v>-381.67938931297709</v>
      </c>
      <c r="Q98" s="226"/>
      <c r="R98" s="226"/>
      <c r="S98" s="226"/>
    </row>
    <row r="99" spans="1:19" ht="17.25" thickBot="1">
      <c r="A99" s="125" t="s">
        <v>114</v>
      </c>
      <c r="B99" s="126">
        <v>514</v>
      </c>
      <c r="C99" s="77">
        <v>9.1295116800000006E-2</v>
      </c>
      <c r="D99" s="15">
        <v>479</v>
      </c>
      <c r="E99" s="32">
        <f t="shared" ref="E99:E102" si="46">IF(ISNUMBER(D99), (D99 - $B99) / $B99, "")</f>
        <v>-6.8093385214007776E-2</v>
      </c>
      <c r="F99" s="18">
        <f>IF(ISNUMBER(D99), $B118 * E99, "")</f>
        <v>-6809.3385214007776</v>
      </c>
      <c r="G99" s="31">
        <v>447</v>
      </c>
      <c r="H99" s="32">
        <f t="shared" ref="H99:H102" si="47">IF(ISNUMBER(G99), (G99 - $B99) / $B99, "")</f>
        <v>-0.13035019455252919</v>
      </c>
      <c r="I99" s="101">
        <f>IF(ISNUMBER(G99), $B118 * H99, "")</f>
        <v>-13035.019455252919</v>
      </c>
      <c r="J99" s="15">
        <v>444</v>
      </c>
      <c r="K99" s="32">
        <f t="shared" ref="K99:K102" si="48">IF(ISNUMBER(J99), (J99 - $B99) / $B99, "")</f>
        <v>-0.13618677042801555</v>
      </c>
      <c r="L99" s="18">
        <f>IF(ISNUMBER(J99), $B118 * K99, "")</f>
        <v>-13618.677042801555</v>
      </c>
      <c r="M99" s="31">
        <v>487</v>
      </c>
      <c r="N99" s="32">
        <f t="shared" ref="N99:N102" si="49">IF(ISNUMBER(M99), (M99 - $B99) / $B99, "")</f>
        <v>-5.2529182879377433E-2</v>
      </c>
      <c r="O99" s="18">
        <f>IF(ISNUMBER(M99), $B118 * N99, "")</f>
        <v>-5252.9182879377431</v>
      </c>
      <c r="Q99" s="226"/>
      <c r="R99" s="226"/>
      <c r="S99" s="226"/>
    </row>
    <row r="100" spans="1:19" ht="17.25" thickBot="1">
      <c r="A100" s="125" t="s">
        <v>138</v>
      </c>
      <c r="B100" s="126">
        <v>445</v>
      </c>
      <c r="C100" s="77">
        <v>6.9711538500000003E-2</v>
      </c>
      <c r="D100" s="15">
        <v>422</v>
      </c>
      <c r="E100" s="32">
        <f t="shared" si="46"/>
        <v>-5.1685393258426963E-2</v>
      </c>
      <c r="F100" s="18">
        <f>IF(ISNUMBER(D100), $B118 * E100, "")</f>
        <v>-5168.5393258426966</v>
      </c>
      <c r="G100" s="31">
        <v>411</v>
      </c>
      <c r="H100" s="32">
        <f t="shared" si="47"/>
        <v>-7.6404494382022473E-2</v>
      </c>
      <c r="I100" s="101">
        <f>IF(ISNUMBER(G100), $B118 * H100, "")</f>
        <v>-7640.4494382022476</v>
      </c>
      <c r="J100" s="15">
        <v>407</v>
      </c>
      <c r="K100" s="32">
        <f t="shared" si="48"/>
        <v>-8.5393258426966295E-2</v>
      </c>
      <c r="L100" s="18">
        <f>IF(ISNUMBER(J100), $B118 * K100, "")</f>
        <v>-8539.3258426966295</v>
      </c>
      <c r="M100" s="31">
        <v>422</v>
      </c>
      <c r="N100" s="32">
        <f t="shared" si="49"/>
        <v>-5.1685393258426963E-2</v>
      </c>
      <c r="O100" s="18">
        <f>IF(ISNUMBER(M100), $B118 * N100, "")</f>
        <v>-5168.5393258426966</v>
      </c>
      <c r="Q100" s="216"/>
      <c r="R100" s="216"/>
      <c r="S100" s="216"/>
    </row>
    <row r="101" spans="1:19" ht="17.25" thickBot="1">
      <c r="A101" s="125" t="s">
        <v>108</v>
      </c>
      <c r="B101" s="126">
        <v>1130</v>
      </c>
      <c r="C101" s="77">
        <v>3.6697247699999998E-2</v>
      </c>
      <c r="D101" s="15">
        <v>1130</v>
      </c>
      <c r="E101" s="32">
        <f t="shared" si="46"/>
        <v>0</v>
      </c>
      <c r="F101" s="18">
        <f>IF(ISNUMBER(D101), $B118 * E101, "")</f>
        <v>0</v>
      </c>
      <c r="G101" s="31">
        <v>1080</v>
      </c>
      <c r="H101" s="32">
        <f t="shared" si="47"/>
        <v>-4.4247787610619468E-2</v>
      </c>
      <c r="I101" s="101">
        <f>IF(ISNUMBER(G101), $B118 * H101, "")</f>
        <v>-4424.7787610619471</v>
      </c>
      <c r="J101" s="15">
        <v>1075</v>
      </c>
      <c r="K101" s="32">
        <f t="shared" si="48"/>
        <v>-4.8672566371681415E-2</v>
      </c>
      <c r="L101" s="18">
        <f>IF(ISNUMBER(J101), $B118 * K101, "")</f>
        <v>-4867.2566371681414</v>
      </c>
      <c r="M101" s="31">
        <v>1120</v>
      </c>
      <c r="N101" s="32">
        <f t="shared" si="49"/>
        <v>-8.8495575221238937E-3</v>
      </c>
      <c r="O101" s="18">
        <f>IF(ISNUMBER(M101), $B118 * N101, "")</f>
        <v>-884.95575221238937</v>
      </c>
      <c r="Q101" s="216"/>
      <c r="R101" s="216"/>
      <c r="S101" s="216"/>
    </row>
    <row r="102" spans="1:19" ht="17.25" thickBot="1">
      <c r="A102" s="127" t="s">
        <v>112</v>
      </c>
      <c r="B102" s="128">
        <v>7600</v>
      </c>
      <c r="C102" s="78">
        <v>1.53640615E-2</v>
      </c>
      <c r="D102" s="20">
        <v>7085</v>
      </c>
      <c r="E102" s="21">
        <f t="shared" si="46"/>
        <v>-6.7763157894736845E-2</v>
      </c>
      <c r="F102" s="22">
        <f>IF(ISNUMBER(D102), $B118 * E102, "")</f>
        <v>-6776.3157894736842</v>
      </c>
      <c r="G102" s="30">
        <v>7065</v>
      </c>
      <c r="H102" s="21">
        <f t="shared" si="47"/>
        <v>-7.039473684210526E-2</v>
      </c>
      <c r="I102" s="105">
        <f>IF(ISNUMBER(G102), $B118 * H102, "")</f>
        <v>-7039.4736842105258</v>
      </c>
      <c r="J102" s="20">
        <v>6990</v>
      </c>
      <c r="K102" s="21">
        <f t="shared" si="48"/>
        <v>-8.0263157894736842E-2</v>
      </c>
      <c r="L102" s="22">
        <f>IF(ISNUMBER(J102), $B118 * K102, "")</f>
        <v>-8026.3157894736842</v>
      </c>
      <c r="M102" s="30">
        <v>7250</v>
      </c>
      <c r="N102" s="21">
        <f t="shared" si="49"/>
        <v>-4.6052631578947366E-2</v>
      </c>
      <c r="O102" s="22">
        <f>IF(ISNUMBER(M102), $B118 * N102, "")</f>
        <v>-4605.2631578947367</v>
      </c>
      <c r="Q102" s="216"/>
      <c r="R102" s="216"/>
      <c r="S102" s="216"/>
    </row>
    <row r="103" spans="1:19" ht="17.25" thickBot="1">
      <c r="A103" s="125" t="s">
        <v>88</v>
      </c>
      <c r="B103" s="129">
        <v>166250</v>
      </c>
      <c r="C103" s="80">
        <v>1.3719512200000001E-2</v>
      </c>
      <c r="D103" s="106">
        <v>163350</v>
      </c>
      <c r="E103" s="107">
        <f>IF(ISNUMBER(D103), (D103 - $B103) / $B103, "")</f>
        <v>-1.744360902255639E-2</v>
      </c>
      <c r="F103" s="108">
        <f>IF(ISNUMBER(D103), $B118 * E103, "")</f>
        <v>-1744.3609022556388</v>
      </c>
      <c r="G103" s="109">
        <v>161050</v>
      </c>
      <c r="H103" s="107">
        <f>IF(ISNUMBER(G103), (G103 - $B103) / $B103, "")</f>
        <v>-3.1278195488721808E-2</v>
      </c>
      <c r="I103" s="110">
        <f>IF(ISNUMBER(G103), $B118 * H103, "")</f>
        <v>-3127.8195488721808</v>
      </c>
      <c r="J103" s="106">
        <v>160150</v>
      </c>
      <c r="K103" s="107">
        <f>IF(ISNUMBER(J103), (J103 - $B103) / $B103, "")</f>
        <v>-3.6691729323308268E-2</v>
      </c>
      <c r="L103" s="108">
        <f>IF(ISNUMBER(J103), $B118 * K103, "")</f>
        <v>-3669.1729323308268</v>
      </c>
      <c r="M103" s="109">
        <v>165250</v>
      </c>
      <c r="N103" s="107">
        <f>IF(ISNUMBER(M103), (M103 - $B103) / $B103, "")</f>
        <v>-6.0150375939849628E-3</v>
      </c>
      <c r="O103" s="108">
        <f>IF(ISNUMBER(M103), $B118 * N103, "")</f>
        <v>-601.5037593984963</v>
      </c>
      <c r="Q103" s="216"/>
      <c r="R103" s="216"/>
      <c r="S103" s="216"/>
    </row>
    <row r="104" spans="1:19" ht="17.25" thickBot="1">
      <c r="A104" s="125" t="s">
        <v>82</v>
      </c>
      <c r="B104" s="126">
        <v>1625</v>
      </c>
      <c r="C104" s="77">
        <v>-1.21580547E-2</v>
      </c>
      <c r="D104" s="15">
        <v>1585</v>
      </c>
      <c r="E104" s="32">
        <f t="shared" ref="E104:E107" si="50">IF(ISNUMBER(D104), (D104 - $B104) / $B104, "")</f>
        <v>-2.4615384615384615E-2</v>
      </c>
      <c r="F104" s="18">
        <f>IF(ISNUMBER(D104), $B118 * E104, "")</f>
        <v>-2461.5384615384614</v>
      </c>
      <c r="G104" s="31">
        <v>1570</v>
      </c>
      <c r="H104" s="32">
        <f t="shared" ref="H104:H107" si="51">IF(ISNUMBER(G104), (G104 - $B104) / $B104, "")</f>
        <v>-3.3846153846153845E-2</v>
      </c>
      <c r="I104" s="101">
        <f>IF(ISNUMBER(G104), $B118 * H104, "")</f>
        <v>-3384.6153846153843</v>
      </c>
      <c r="J104" s="15">
        <v>1565</v>
      </c>
      <c r="K104" s="32">
        <f t="shared" ref="K104:K107" si="52">IF(ISNUMBER(J104), (J104 - $B104) / $B104, "")</f>
        <v>-3.6923076923076927E-2</v>
      </c>
      <c r="L104" s="18">
        <f>IF(ISNUMBER(J104), $B118 * K104, "")</f>
        <v>-3692.3076923076928</v>
      </c>
      <c r="M104" s="31">
        <v>1605</v>
      </c>
      <c r="N104" s="32">
        <f t="shared" ref="N104:N107" si="53">IF(ISNUMBER(M104), (M104 - $B104) / $B104, "")</f>
        <v>-1.2307692307692308E-2</v>
      </c>
      <c r="O104" s="18">
        <f>IF(ISNUMBER(M104), $B118 * N104, "")</f>
        <v>-1230.7692307692307</v>
      </c>
      <c r="Q104" s="216"/>
      <c r="R104" s="216"/>
      <c r="S104" s="216"/>
    </row>
    <row r="105" spans="1:19" ht="17.25" thickBot="1">
      <c r="A105" s="125" t="s">
        <v>49</v>
      </c>
      <c r="B105" s="126">
        <v>39094000</v>
      </c>
      <c r="C105" s="77">
        <v>-1.6329919700000001E-2</v>
      </c>
      <c r="D105" s="15">
        <v>39031000</v>
      </c>
      <c r="E105" s="32">
        <f t="shared" si="50"/>
        <v>-1.611500486008083E-3</v>
      </c>
      <c r="F105" s="18">
        <f>IF(ISNUMBER(D105), $B118 * E105, "")</f>
        <v>-161.1500486008083</v>
      </c>
      <c r="G105" s="31">
        <v>38983000</v>
      </c>
      <c r="H105" s="32">
        <f t="shared" si="51"/>
        <v>-2.8393103801094798E-3</v>
      </c>
      <c r="I105" s="101">
        <f>IF(ISNUMBER(G105), $B118 * H105, "")</f>
        <v>-283.93103801094799</v>
      </c>
      <c r="J105" s="15">
        <v>38756000</v>
      </c>
      <c r="K105" s="32">
        <f t="shared" si="52"/>
        <v>-8.6458280042973346E-3</v>
      </c>
      <c r="L105" s="18">
        <f>IF(ISNUMBER(J105), $B118 * K105, "")</f>
        <v>-864.58280042973342</v>
      </c>
      <c r="M105" s="31">
        <v>39570000</v>
      </c>
      <c r="N105" s="32">
        <f t="shared" si="53"/>
        <v>1.217578144983885E-2</v>
      </c>
      <c r="O105" s="18">
        <f>IF(ISNUMBER(M105), $B118 * N105, "")</f>
        <v>1217.5781449838851</v>
      </c>
      <c r="Q105" s="216"/>
      <c r="R105" s="216"/>
      <c r="S105" s="216"/>
    </row>
    <row r="106" spans="1:19" ht="17.25" thickBot="1">
      <c r="A106" s="125" t="s">
        <v>78</v>
      </c>
      <c r="B106" s="126">
        <v>587800</v>
      </c>
      <c r="C106" s="77">
        <v>-1.6728002700000001E-2</v>
      </c>
      <c r="D106" s="15">
        <v>579200</v>
      </c>
      <c r="E106" s="32">
        <f t="shared" si="50"/>
        <v>-1.4630826811840763E-2</v>
      </c>
      <c r="F106" s="18">
        <f>IF(ISNUMBER(D106), $B118 * E106, "")</f>
        <v>-1463.0826811840764</v>
      </c>
      <c r="G106" s="31">
        <v>570400</v>
      </c>
      <c r="H106" s="32">
        <f t="shared" si="51"/>
        <v>-2.9601905410003404E-2</v>
      </c>
      <c r="I106" s="101">
        <f>IF(ISNUMBER(G106), $B118 * H106, "")</f>
        <v>-2960.1905410003405</v>
      </c>
      <c r="J106" s="15">
        <v>566200</v>
      </c>
      <c r="K106" s="32">
        <f t="shared" si="52"/>
        <v>-3.6747192922762843E-2</v>
      </c>
      <c r="L106" s="18">
        <f>IF(ISNUMBER(J106), $B118 * K106, "")</f>
        <v>-3674.7192922762842</v>
      </c>
      <c r="M106" s="31">
        <v>594000</v>
      </c>
      <c r="N106" s="32">
        <f t="shared" si="53"/>
        <v>1.0547805375978225E-2</v>
      </c>
      <c r="O106" s="18">
        <f>IF(ISNUMBER(M106), $B118 * N106, "")</f>
        <v>1054.7805375978226</v>
      </c>
      <c r="Q106" s="33"/>
      <c r="R106" s="33"/>
    </row>
    <row r="107" spans="1:19" ht="17.25" thickBot="1">
      <c r="A107" s="130" t="s">
        <v>86</v>
      </c>
      <c r="B107" s="131">
        <v>300</v>
      </c>
      <c r="C107" s="79">
        <v>-1.9607843100000001E-2</v>
      </c>
      <c r="D107" s="24">
        <v>289</v>
      </c>
      <c r="E107" s="25">
        <f t="shared" si="50"/>
        <v>-3.6666666666666667E-2</v>
      </c>
      <c r="F107" s="104">
        <f>IF(ISNUMBER(D107), $B118 * E107, "")</f>
        <v>-3666.6666666666665</v>
      </c>
      <c r="G107" s="102">
        <v>282</v>
      </c>
      <c r="H107" s="25">
        <f t="shared" si="51"/>
        <v>-0.06</v>
      </c>
      <c r="I107" s="103">
        <f>IF(ISNUMBER(G107), $B118 * H107, "")</f>
        <v>-6000</v>
      </c>
      <c r="J107" s="24">
        <v>280</v>
      </c>
      <c r="K107" s="25">
        <f t="shared" si="52"/>
        <v>-6.6666666666666666E-2</v>
      </c>
      <c r="L107" s="104">
        <f>IF(ISNUMBER(J107), $B118 * K107, "")</f>
        <v>-6666.666666666667</v>
      </c>
      <c r="M107" s="102">
        <v>289</v>
      </c>
      <c r="N107" s="25">
        <f t="shared" si="53"/>
        <v>-3.6666666666666667E-2</v>
      </c>
      <c r="O107" s="104">
        <f>IF(ISNUMBER(M107), $B118 * N107, "")</f>
        <v>-3666.6666666666665</v>
      </c>
      <c r="Q107" s="217"/>
      <c r="R107" s="218"/>
      <c r="S107" s="219"/>
    </row>
    <row r="108" spans="1:19">
      <c r="A108" s="123" t="s">
        <v>90</v>
      </c>
      <c r="B108" s="124">
        <v>746</v>
      </c>
      <c r="C108" s="76">
        <v>-2.48366013E-2</v>
      </c>
      <c r="D108" s="13">
        <v>734</v>
      </c>
      <c r="E108" s="14">
        <f>IF(ISNUMBER(D108), (D108 - $B108) / $B108, "")</f>
        <v>-1.6085790884718499E-2</v>
      </c>
      <c r="F108" s="16">
        <f>IF(ISNUMBER(D108), $B118 * E108, "")</f>
        <v>-1608.5790884718499</v>
      </c>
      <c r="G108" s="29">
        <v>726</v>
      </c>
      <c r="H108" s="14">
        <f>IF(ISNUMBER(G108), (G108 - $B108) / $B108, "")</f>
        <v>-2.6809651474530832E-2</v>
      </c>
      <c r="I108" s="100">
        <f>IF(ISNUMBER(G108), $B118 * H108, "")</f>
        <v>-2680.9651474530833</v>
      </c>
      <c r="J108" s="13">
        <v>722</v>
      </c>
      <c r="K108" s="14">
        <f>IF(ISNUMBER(J108), (J108 - $B108) / $B108, "")</f>
        <v>-3.2171581769436998E-2</v>
      </c>
      <c r="L108" s="16">
        <f>IF(ISNUMBER(J108), $B118 * K108, "")</f>
        <v>-3217.1581769436998</v>
      </c>
      <c r="M108" s="29">
        <v>751</v>
      </c>
      <c r="N108" s="14">
        <f>IF(ISNUMBER(M108), (M108 - $B108) / $B108, "")</f>
        <v>6.7024128686327079E-3</v>
      </c>
      <c r="O108" s="16">
        <f>IF(ISNUMBER(M108), $B118 * N108, "")</f>
        <v>670.24128686327083</v>
      </c>
      <c r="Q108" s="220"/>
      <c r="R108" s="221"/>
      <c r="S108" s="222"/>
    </row>
    <row r="109" spans="1:19" ht="17.25" thickBot="1">
      <c r="A109" s="125" t="s">
        <v>92</v>
      </c>
      <c r="B109" s="126">
        <v>53880</v>
      </c>
      <c r="C109" s="77">
        <v>-2.6206397999999999E-2</v>
      </c>
      <c r="D109" s="15">
        <v>52710</v>
      </c>
      <c r="E109" s="32">
        <f t="shared" ref="E109:E112" si="54">IF(ISNUMBER(D109), (D109 - $B109) / $B109, "")</f>
        <v>-2.1714922048997772E-2</v>
      </c>
      <c r="F109" s="18">
        <f>IF(ISNUMBER(D109), $B118 * E109, "")</f>
        <v>-2171.4922048997773</v>
      </c>
      <c r="G109" s="31">
        <v>51740</v>
      </c>
      <c r="H109" s="32">
        <f t="shared" ref="H109:H112" si="55">IF(ISNUMBER(G109), (G109 - $B109) / $B109, "")</f>
        <v>-3.9717891610987377E-2</v>
      </c>
      <c r="I109" s="101">
        <f>IF(ISNUMBER(G109), $B118 * H109, "")</f>
        <v>-3971.7891610987376</v>
      </c>
      <c r="J109" s="15">
        <v>51350</v>
      </c>
      <c r="K109" s="32">
        <f t="shared" ref="K109:K112" si="56">IF(ISNUMBER(J109), (J109 - $B109) / $B109, "")</f>
        <v>-4.6956198960653305E-2</v>
      </c>
      <c r="L109" s="18">
        <f>IF(ISNUMBER(J109), $B118 * K109, "")</f>
        <v>-4695.6198960653301</v>
      </c>
      <c r="M109" s="31">
        <v>53060</v>
      </c>
      <c r="N109" s="32">
        <f t="shared" ref="N109:N112" si="57">IF(ISNUMBER(M109), (M109 - $B109) / $B109, "")</f>
        <v>-1.5219005196733483E-2</v>
      </c>
      <c r="O109" s="18">
        <f>IF(ISNUMBER(M109), $B118 * N109, "")</f>
        <v>-1521.9005196733483</v>
      </c>
      <c r="Q109" s="223"/>
      <c r="R109" s="224"/>
      <c r="S109" s="225"/>
    </row>
    <row r="110" spans="1:19" ht="17.25" thickBot="1">
      <c r="A110" s="125" t="s">
        <v>152</v>
      </c>
      <c r="B110" s="126">
        <v>73.3</v>
      </c>
      <c r="C110" s="77">
        <v>-2.9139072799999999E-2</v>
      </c>
      <c r="D110" s="15">
        <v>72.2</v>
      </c>
      <c r="E110" s="32">
        <f t="shared" si="54"/>
        <v>-1.5006821282401014E-2</v>
      </c>
      <c r="F110" s="18">
        <f>IF(ISNUMBER(D110), $B118 * E110, "")</f>
        <v>-1500.6821282401015</v>
      </c>
      <c r="G110" s="31">
        <v>71.900000000000006</v>
      </c>
      <c r="H110" s="32">
        <f t="shared" si="55"/>
        <v>-1.909959072305582E-2</v>
      </c>
      <c r="I110" s="101">
        <f>IF(ISNUMBER(G110), $B118 * H110, "")</f>
        <v>-1909.9590723055819</v>
      </c>
      <c r="J110" s="15">
        <v>71.3</v>
      </c>
      <c r="K110" s="32">
        <f t="shared" si="56"/>
        <v>-2.7285129604365622E-2</v>
      </c>
      <c r="L110" s="18">
        <f>IF(ISNUMBER(J110), $B118 * K110, "")</f>
        <v>-2728.512960436562</v>
      </c>
      <c r="M110" s="31">
        <v>73.5</v>
      </c>
      <c r="N110" s="32">
        <f t="shared" si="57"/>
        <v>2.7285129604366011E-3</v>
      </c>
      <c r="O110" s="18">
        <f>IF(ISNUMBER(M110), $B118 * N110, "")</f>
        <v>272.85129604366011</v>
      </c>
      <c r="Q110" s="216"/>
      <c r="R110" s="216"/>
      <c r="S110" s="216"/>
    </row>
    <row r="111" spans="1:19" ht="17.25" thickBot="1">
      <c r="A111" s="125" t="s">
        <v>76</v>
      </c>
      <c r="B111" s="126">
        <v>22500</v>
      </c>
      <c r="C111" s="77">
        <v>-3.1007751900000002E-2</v>
      </c>
      <c r="D111" s="15">
        <v>21660</v>
      </c>
      <c r="E111" s="32">
        <f t="shared" si="54"/>
        <v>-3.7333333333333336E-2</v>
      </c>
      <c r="F111" s="18">
        <f>IF(ISNUMBER(D111), $B118 * E111, "")</f>
        <v>-3733.3333333333335</v>
      </c>
      <c r="G111" s="31">
        <v>21230</v>
      </c>
      <c r="H111" s="32">
        <f t="shared" si="55"/>
        <v>-5.6444444444444443E-2</v>
      </c>
      <c r="I111" s="101">
        <f>IF(ISNUMBER(G111), $B118 * H111, "")</f>
        <v>-5644.4444444444443</v>
      </c>
      <c r="J111" s="15">
        <v>21100</v>
      </c>
      <c r="K111" s="32">
        <f t="shared" si="56"/>
        <v>-6.222222222222222E-2</v>
      </c>
      <c r="L111" s="18">
        <f>IF(ISNUMBER(J111), $B118 * K111, "")</f>
        <v>-6222.2222222222217</v>
      </c>
      <c r="M111" s="31">
        <v>21970</v>
      </c>
      <c r="N111" s="32">
        <f t="shared" si="57"/>
        <v>-2.3555555555555555E-2</v>
      </c>
      <c r="O111" s="18">
        <f>IF(ISNUMBER(M111), $B118 * N111, "")</f>
        <v>-2355.5555555555557</v>
      </c>
      <c r="Q111" s="226"/>
      <c r="R111" s="226"/>
      <c r="S111" s="226"/>
    </row>
    <row r="112" spans="1:19" ht="17.25" thickBot="1">
      <c r="A112" s="127" t="s">
        <v>126</v>
      </c>
      <c r="B112" s="128">
        <v>156150</v>
      </c>
      <c r="C112" s="78">
        <v>-3.1327543399999998E-2</v>
      </c>
      <c r="D112" s="20">
        <v>155750</v>
      </c>
      <c r="E112" s="21">
        <f t="shared" si="54"/>
        <v>-2.5616394492475182E-3</v>
      </c>
      <c r="F112" s="22">
        <f>IF(ISNUMBER(D112), $B118 * E112, "")</f>
        <v>-256.16394492475183</v>
      </c>
      <c r="G112" s="30">
        <v>154100</v>
      </c>
      <c r="H112" s="21">
        <f t="shared" si="55"/>
        <v>-1.3128402177393531E-2</v>
      </c>
      <c r="I112" s="105">
        <f>IF(ISNUMBER(G112), $B118 * H112, "")</f>
        <v>-1312.8402177393532</v>
      </c>
      <c r="J112" s="20">
        <v>152500</v>
      </c>
      <c r="K112" s="21">
        <f t="shared" si="56"/>
        <v>-2.3374959974383606E-2</v>
      </c>
      <c r="L112" s="22">
        <f>IF(ISNUMBER(J112), $B118 * K112, "")</f>
        <v>-2337.4959974383605</v>
      </c>
      <c r="M112" s="30">
        <v>158900</v>
      </c>
      <c r="N112" s="21">
        <f t="shared" si="57"/>
        <v>1.7611271213576689E-2</v>
      </c>
      <c r="O112" s="22">
        <f>IF(ISNUMBER(M112), $B118 * N112, "")</f>
        <v>1761.1271213576688</v>
      </c>
      <c r="Q112" s="226"/>
      <c r="R112" s="226"/>
      <c r="S112" s="226"/>
    </row>
    <row r="113" spans="1:19" ht="17.25" thickBot="1">
      <c r="A113" s="125" t="s">
        <v>54</v>
      </c>
      <c r="B113" s="129">
        <v>210</v>
      </c>
      <c r="C113" s="80">
        <v>-3.2258064500000003E-2</v>
      </c>
      <c r="D113" s="106">
        <v>205</v>
      </c>
      <c r="E113" s="107">
        <f>IF(ISNUMBER(D113), (D113 - $B113) / $B113, "")</f>
        <v>-2.3809523809523808E-2</v>
      </c>
      <c r="F113" s="108">
        <f>IF(ISNUMBER(D113), $B118 * E113, "")</f>
        <v>-2380.9523809523807</v>
      </c>
      <c r="G113" s="109">
        <v>202</v>
      </c>
      <c r="H113" s="107">
        <f>IF(ISNUMBER(G113), (G113 - $B113) / $B113, "")</f>
        <v>-3.8095238095238099E-2</v>
      </c>
      <c r="I113" s="110">
        <f>IF(ISNUMBER(G113), $B118 * H113, "")</f>
        <v>-3809.5238095238101</v>
      </c>
      <c r="J113" s="106">
        <v>199</v>
      </c>
      <c r="K113" s="107">
        <f>IF(ISNUMBER(J113), (J113 - $B113) / $B113, "")</f>
        <v>-5.2380952380952382E-2</v>
      </c>
      <c r="L113" s="108">
        <f>IF(ISNUMBER(J113), $B118 * K113, "")</f>
        <v>-5238.0952380952385</v>
      </c>
      <c r="M113" s="109">
        <v>209</v>
      </c>
      <c r="N113" s="107">
        <f>IF(ISNUMBER(M113), (M113 - $B113) / $B113, "")</f>
        <v>-4.7619047619047623E-3</v>
      </c>
      <c r="O113" s="108">
        <f>IF(ISNUMBER(M113), $B118 * N113, "")</f>
        <v>-476.19047619047626</v>
      </c>
      <c r="Q113" s="216"/>
      <c r="R113" s="216"/>
      <c r="S113" s="216"/>
    </row>
    <row r="114" spans="1:19" ht="17.25" thickBot="1">
      <c r="A114" s="125" t="s">
        <v>51</v>
      </c>
      <c r="B114" s="126">
        <v>291</v>
      </c>
      <c r="C114" s="77">
        <v>-3.3222591400000001E-2</v>
      </c>
      <c r="D114" s="15">
        <v>285</v>
      </c>
      <c r="E114" s="32">
        <f t="shared" ref="E114:E117" si="58">IF(ISNUMBER(D114), (D114 - $B114) / $B114, "")</f>
        <v>-2.0618556701030927E-2</v>
      </c>
      <c r="F114" s="18">
        <f>IF(ISNUMBER(D114), $B118 * E114, "")</f>
        <v>-2061.855670103093</v>
      </c>
      <c r="G114" s="31">
        <v>281</v>
      </c>
      <c r="H114" s="32">
        <f t="shared" ref="H114:H117" si="59">IF(ISNUMBER(G114), (G114 - $B114) / $B114, "")</f>
        <v>-3.4364261168384883E-2</v>
      </c>
      <c r="I114" s="101">
        <f>IF(ISNUMBER(G114), $B118 * H114, "")</f>
        <v>-3436.4261168384883</v>
      </c>
      <c r="J114" s="15">
        <v>279</v>
      </c>
      <c r="K114" s="32">
        <f t="shared" ref="K114:K117" si="60">IF(ISNUMBER(J114), (J114 - $B114) / $B114, "")</f>
        <v>-4.1237113402061855E-2</v>
      </c>
      <c r="L114" s="18">
        <f>IF(ISNUMBER(J114), $B118 * K114, "")</f>
        <v>-4123.7113402061859</v>
      </c>
      <c r="M114" s="31">
        <v>291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16"/>
      <c r="R114" s="216"/>
      <c r="S114" s="216"/>
    </row>
    <row r="115" spans="1:19" ht="17.25" thickBot="1">
      <c r="A115" s="125" t="s">
        <v>84</v>
      </c>
      <c r="B115" s="126">
        <v>4335</v>
      </c>
      <c r="C115" s="77">
        <v>-3.4521158099999998E-2</v>
      </c>
      <c r="D115" s="15">
        <v>4240</v>
      </c>
      <c r="E115" s="32">
        <f t="shared" si="58"/>
        <v>-2.1914648212226068E-2</v>
      </c>
      <c r="F115" s="18">
        <f>IF(ISNUMBER(D115), $B118 * E115, "")</f>
        <v>-2191.464821222607</v>
      </c>
      <c r="G115" s="31">
        <v>4235</v>
      </c>
      <c r="H115" s="32">
        <f t="shared" si="59"/>
        <v>-2.306805074971165E-2</v>
      </c>
      <c r="I115" s="101">
        <f>IF(ISNUMBER(G115), $B118 * H115, "")</f>
        <v>-2306.8050749711651</v>
      </c>
      <c r="J115" s="15">
        <v>4195</v>
      </c>
      <c r="K115" s="32">
        <f t="shared" si="60"/>
        <v>-3.2295271049596307E-2</v>
      </c>
      <c r="L115" s="18">
        <f>IF(ISNUMBER(J115), $B118 * K115, "")</f>
        <v>-3229.5271049596308</v>
      </c>
      <c r="M115" s="31">
        <v>4830</v>
      </c>
      <c r="N115" s="32">
        <f t="shared" si="61"/>
        <v>0.11418685121107267</v>
      </c>
      <c r="O115" s="18">
        <f>IF(ISNUMBER(M115), $B118 * N115, "")</f>
        <v>11418.685121107266</v>
      </c>
      <c r="Q115" s="216"/>
      <c r="R115" s="216"/>
      <c r="S115" s="216"/>
    </row>
    <row r="116" spans="1:19">
      <c r="A116" s="125" t="s">
        <v>98</v>
      </c>
      <c r="B116" s="126">
        <v>3</v>
      </c>
      <c r="C116" s="77">
        <v>-3.5369774899999998E-2</v>
      </c>
      <c r="D116" s="15">
        <v>2.91</v>
      </c>
      <c r="E116" s="32">
        <f t="shared" si="58"/>
        <v>-2.9999999999999954E-2</v>
      </c>
      <c r="F116" s="18">
        <f>IF(ISNUMBER(D116), $B118 * E116, "")</f>
        <v>-2999.9999999999955</v>
      </c>
      <c r="G116" s="31">
        <v>2.91</v>
      </c>
      <c r="H116" s="32">
        <f t="shared" si="59"/>
        <v>-2.9999999999999954E-2</v>
      </c>
      <c r="I116" s="101">
        <f>IF(ISNUMBER(G116), $B118 * H116, "")</f>
        <v>-2999.9999999999955</v>
      </c>
      <c r="J116" s="15">
        <v>2.88</v>
      </c>
      <c r="K116" s="32">
        <f t="shared" si="60"/>
        <v>-4.0000000000000036E-2</v>
      </c>
      <c r="L116" s="18">
        <f>IF(ISNUMBER(J116), $B118 * K116, "")</f>
        <v>-4000.0000000000036</v>
      </c>
      <c r="M116" s="31">
        <v>3</v>
      </c>
      <c r="N116" s="32">
        <f t="shared" si="61"/>
        <v>0</v>
      </c>
      <c r="O116" s="18">
        <f>IF(ISNUMBER(M116), $B118 * N116, "")</f>
        <v>0</v>
      </c>
      <c r="Q116" s="205"/>
      <c r="R116" s="206"/>
      <c r="S116" s="207"/>
    </row>
    <row r="117" spans="1:19" ht="17.25" thickBot="1">
      <c r="A117" s="130" t="s">
        <v>100</v>
      </c>
      <c r="B117" s="131">
        <v>60050</v>
      </c>
      <c r="C117" s="79">
        <v>-3.6115569799999997E-2</v>
      </c>
      <c r="D117" s="24">
        <v>59530</v>
      </c>
      <c r="E117" s="25">
        <f t="shared" si="58"/>
        <v>-8.6594504579517069E-3</v>
      </c>
      <c r="F117" s="104">
        <f>IF(ISNUMBER(D117), $B118 * E117, "")</f>
        <v>-865.9450457951707</v>
      </c>
      <c r="G117" s="102">
        <v>58400</v>
      </c>
      <c r="H117" s="25">
        <f t="shared" si="59"/>
        <v>-2.7477102414654453E-2</v>
      </c>
      <c r="I117" s="103">
        <f>IF(ISNUMBER(G117), $B118 * H117, "")</f>
        <v>-2747.7102414654455</v>
      </c>
      <c r="J117" s="24">
        <v>57760</v>
      </c>
      <c r="K117" s="25">
        <f t="shared" si="60"/>
        <v>-3.8134887593671937E-2</v>
      </c>
      <c r="L117" s="104">
        <f>IF(ISNUMBER(J117), $B118 * K117, "")</f>
        <v>-3813.4887593671938</v>
      </c>
      <c r="M117" s="102">
        <v>59950</v>
      </c>
      <c r="N117" s="25">
        <f t="shared" si="61"/>
        <v>-1.6652789342214821E-3</v>
      </c>
      <c r="O117" s="104">
        <f>IF(ISNUMBER(M117), $B118 * N117, "")</f>
        <v>-166.52789342214822</v>
      </c>
      <c r="Q117" s="208"/>
      <c r="R117" s="209"/>
      <c r="S117" s="210"/>
    </row>
    <row r="118" spans="1:19" ht="17.25" thickBot="1">
      <c r="A118" s="132" t="s">
        <v>271</v>
      </c>
      <c r="B118" s="269">
        <f>$B$37</f>
        <v>100000</v>
      </c>
      <c r="C118" s="270"/>
      <c r="D118" s="26" t="s">
        <v>272</v>
      </c>
      <c r="E118" s="27">
        <f>IF(COUNT(E98:E117), SUM(E98:E117) / COUNT(E98:E117), 0)</f>
        <v>-2.5155768675391869E-2</v>
      </c>
      <c r="F118" s="28">
        <f>SUM(F98:F117)</f>
        <v>-50311.537350783728</v>
      </c>
      <c r="G118" s="26" t="s">
        <v>272</v>
      </c>
      <c r="H118" s="27">
        <f>IF(COUNT(H98:H117), SUM(H98:H117) / COUNT(H98:H117), 0)</f>
        <v>-4.3175164461663064E-2</v>
      </c>
      <c r="I118" s="28">
        <f>SUM(I98:I117)</f>
        <v>-86350.32892332616</v>
      </c>
      <c r="J118" s="26" t="s">
        <v>272</v>
      </c>
      <c r="K118" s="27">
        <f>IF(COUNT(K98:K117), SUM(K98:K117) / COUNT(K98:K117), 0)</f>
        <v>-5.0810901478385573E-2</v>
      </c>
      <c r="L118" s="28">
        <f>SUM(L98:L117)</f>
        <v>-101621.80295677113</v>
      </c>
      <c r="M118" s="26" t="s">
        <v>272</v>
      </c>
      <c r="N118" s="27">
        <f>IF(COUNT(N98:N117), SUM(N98:N117) / COUNT(N98:N117), 0)</f>
        <v>-4.9586032534614435E-3</v>
      </c>
      <c r="O118" s="28">
        <f>SUM(O98:O117)</f>
        <v>-9917.206506922892</v>
      </c>
      <c r="Q118" s="211"/>
      <c r="R118" s="212"/>
      <c r="S118" s="213"/>
    </row>
    <row r="120" spans="1:19" ht="17.25" thickBot="1"/>
    <row r="121" spans="1:19" ht="17.25" thickBot="1">
      <c r="A121" s="227" t="s">
        <v>259</v>
      </c>
      <c r="B121" s="228"/>
      <c r="C121" s="228"/>
      <c r="D121" s="228"/>
      <c r="E121" s="228"/>
      <c r="F121" s="228"/>
      <c r="G121" s="228"/>
      <c r="H121" s="228"/>
      <c r="I121" s="228"/>
      <c r="J121" s="228"/>
      <c r="K121" s="228"/>
      <c r="L121" s="228"/>
      <c r="M121" s="228"/>
      <c r="N121" s="228"/>
      <c r="O121" s="229"/>
      <c r="Q121" s="226"/>
      <c r="R121" s="226"/>
      <c r="S121" s="226"/>
    </row>
    <row r="122" spans="1:19" ht="17.25" thickBot="1">
      <c r="A122" s="189" t="s">
        <v>268</v>
      </c>
      <c r="B122" s="227" t="s">
        <v>49</v>
      </c>
      <c r="C122" s="229"/>
      <c r="D122" s="227" t="s">
        <v>58</v>
      </c>
      <c r="E122" s="228"/>
      <c r="F122" s="229"/>
      <c r="G122" s="230">
        <f>_xlfn.IFNA(VLOOKUP(B122, 현재가테이블!$B$2:$D$200, 2, FALSE), "-")</f>
        <v>39916000</v>
      </c>
      <c r="H122" s="231"/>
      <c r="I122" s="232"/>
      <c r="J122" s="227" t="s">
        <v>59</v>
      </c>
      <c r="K122" s="228"/>
      <c r="L122" s="229"/>
      <c r="M122" s="233">
        <f>_xlfn.IFNA(VLOOKUP(B122, 현재가테이블!$B$2:$D$200, 3, FALSE), "-")</f>
        <v>7.3184273000000003E-3</v>
      </c>
      <c r="N122" s="234"/>
      <c r="O122" s="235"/>
      <c r="Q122" s="226"/>
      <c r="R122" s="226"/>
      <c r="S122" s="226"/>
    </row>
    <row r="123" spans="1:19" ht="17.25" thickBot="1">
      <c r="A123" s="271" t="s">
        <v>55</v>
      </c>
      <c r="B123" s="267" t="str">
        <f>TEXT($G$1, "[$-ko-KR]yyyy-mm-dd(ddd) ") &amp; "오전 00:00"</f>
        <v>2021-07-09(금) 오전 00:00</v>
      </c>
      <c r="C123" s="268"/>
      <c r="D123" s="240" t="str">
        <f>TEXT($G$1, "[$-ko-KR]yyyy-mm-dd(ddd) ") &amp; "오후 14:00"</f>
        <v>2021-07-09(금) 오후 14:00</v>
      </c>
      <c r="E123" s="241"/>
      <c r="F123" s="242"/>
      <c r="G123" s="240" t="str">
        <f>TEXT($G$1, "[$-ko-KR]yyyy-mm-dd(ddd) ") &amp; "오후 19:00"</f>
        <v>2021-07-09(금) 오후 19:00</v>
      </c>
      <c r="H123" s="241"/>
      <c r="I123" s="242"/>
      <c r="J123" s="240" t="str">
        <f>TEXT($G$1, "[$-ko-KR]yyyy-mm-dd(ddd) ") &amp; "오후 21:00"</f>
        <v>2021-07-09(금) 오후 21:00</v>
      </c>
      <c r="K123" s="241"/>
      <c r="L123" s="242"/>
      <c r="M123" s="240" t="str">
        <f>TEXT($G$1+1, "[$-ko-KR]yyyy-mm-dd(ddd) ") &amp; "오전 00:00"</f>
        <v>2021-07-10(토) 오전 00:00</v>
      </c>
      <c r="N123" s="241"/>
      <c r="O123" s="242"/>
      <c r="Q123" s="226"/>
      <c r="R123" s="226"/>
      <c r="S123" s="226"/>
    </row>
    <row r="124" spans="1:19" ht="17.25" thickBot="1">
      <c r="A124" s="27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0" t="s">
        <v>58</v>
      </c>
      <c r="H124" s="191" t="s">
        <v>269</v>
      </c>
      <c r="I124" s="19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6"/>
      <c r="R124" s="216"/>
      <c r="S124" s="216"/>
    </row>
    <row r="125" spans="1:19" ht="17.25" thickBot="1">
      <c r="A125" s="123" t="s">
        <v>132</v>
      </c>
      <c r="B125" s="124">
        <v>89.4</v>
      </c>
      <c r="C125" s="76">
        <v>-6.4853556500000006E-2</v>
      </c>
      <c r="D125" s="13">
        <v>87.5</v>
      </c>
      <c r="E125" s="14">
        <f>IF(ISNUMBER(D125), (D125 - $B125) / $B125, "")</f>
        <v>-2.1252796420581716E-2</v>
      </c>
      <c r="F125" s="16">
        <f>IF(ISNUMBER(D125), $B145 * E125, "")</f>
        <v>-2125.2796420581717</v>
      </c>
      <c r="G125" s="29">
        <v>85.6</v>
      </c>
      <c r="H125" s="14">
        <f>IF(ISNUMBER(G125), (G125 - $B125) / $B125, "")</f>
        <v>-4.2505592841163432E-2</v>
      </c>
      <c r="I125" s="100">
        <f>IF(ISNUMBER(G125), $B145 * H125, "")</f>
        <v>-4250.5592841163434</v>
      </c>
      <c r="J125" s="13">
        <v>84.5</v>
      </c>
      <c r="K125" s="14">
        <f>IF(ISNUMBER(J125), (J125 - $B125) / $B125, "")</f>
        <v>-5.4809843400447485E-2</v>
      </c>
      <c r="L125" s="16">
        <f>IF(ISNUMBER(J125), $B145 * K125, "")</f>
        <v>-5480.984340044748</v>
      </c>
      <c r="M125" s="29">
        <v>88</v>
      </c>
      <c r="N125" s="14">
        <f>IF(ISNUMBER(M125), (M125 - $B125) / $B125, "")</f>
        <v>-1.5659955257270756E-2</v>
      </c>
      <c r="O125" s="16">
        <f>IF(ISNUMBER(M125), $B145 * N125, "")</f>
        <v>-1565.9955257270756</v>
      </c>
      <c r="Q125" s="226"/>
      <c r="R125" s="226"/>
      <c r="S125" s="226"/>
    </row>
    <row r="126" spans="1:19" ht="17.25" thickBot="1">
      <c r="A126" s="125" t="s">
        <v>144</v>
      </c>
      <c r="B126" s="126">
        <v>86</v>
      </c>
      <c r="C126" s="77">
        <v>-6.6232356100000001E-2</v>
      </c>
      <c r="D126" s="15">
        <v>83.8</v>
      </c>
      <c r="E126" s="32">
        <f t="shared" ref="E126:E129" si="62">IF(ISNUMBER(D126), (D126 - $B126) / $B126, "")</f>
        <v>-2.5581395348837244E-2</v>
      </c>
      <c r="F126" s="18">
        <f>IF(ISNUMBER(D126), $B145 * E126, "")</f>
        <v>-2558.1395348837245</v>
      </c>
      <c r="G126" s="31">
        <v>81.900000000000006</v>
      </c>
      <c r="H126" s="32">
        <f t="shared" ref="H126:H129" si="63">IF(ISNUMBER(G126), (G126 - $B126) / $B126, "")</f>
        <v>-4.7674418604651096E-2</v>
      </c>
      <c r="I126" s="101">
        <f>IF(ISNUMBER(G126), $B145 * H126, "")</f>
        <v>-4767.44186046511</v>
      </c>
      <c r="J126" s="15">
        <v>80.8</v>
      </c>
      <c r="K126" s="32">
        <f t="shared" ref="K126:K129" si="64">IF(ISNUMBER(J126), (J126 - $B126) / $B126, "")</f>
        <v>-6.0465116279069801E-2</v>
      </c>
      <c r="L126" s="18">
        <f>IF(ISNUMBER(J126), $B145 * K126, "")</f>
        <v>-6046.5116279069798</v>
      </c>
      <c r="M126" s="31">
        <v>84.4</v>
      </c>
      <c r="N126" s="32">
        <f t="shared" ref="N126:N129" si="65">IF(ISNUMBER(M126), (M126 - $B126) / $B126, "")</f>
        <v>-1.8604651162790631E-2</v>
      </c>
      <c r="O126" s="18">
        <f>IF(ISNUMBER(M126), $B145 * N126, "")</f>
        <v>-1860.4651162790631</v>
      </c>
      <c r="Q126" s="226"/>
      <c r="R126" s="226"/>
      <c r="S126" s="226"/>
    </row>
    <row r="127" spans="1:19" ht="17.25" thickBot="1">
      <c r="A127" s="125" t="s">
        <v>251</v>
      </c>
      <c r="B127" s="126">
        <v>60.5</v>
      </c>
      <c r="C127" s="77">
        <v>-6.6358024700000004E-2</v>
      </c>
      <c r="D127" s="15">
        <v>58.4</v>
      </c>
      <c r="E127" s="32">
        <f t="shared" si="62"/>
        <v>-3.4710743801652913E-2</v>
      </c>
      <c r="F127" s="18">
        <f>IF(ISNUMBER(D127), $B145 * E127, "")</f>
        <v>-3471.0743801652911</v>
      </c>
      <c r="G127" s="31">
        <v>58.1</v>
      </c>
      <c r="H127" s="32">
        <f t="shared" si="63"/>
        <v>-3.9669421487603281E-2</v>
      </c>
      <c r="I127" s="101">
        <f>IF(ISNUMBER(G127), $B145 * H127, "")</f>
        <v>-3966.9421487603281</v>
      </c>
      <c r="J127" s="15">
        <v>57.7</v>
      </c>
      <c r="K127" s="32">
        <f t="shared" si="64"/>
        <v>-4.6280991735537146E-2</v>
      </c>
      <c r="L127" s="18">
        <f>IF(ISNUMBER(J127), $B145 * K127, "")</f>
        <v>-4628.0991735537145</v>
      </c>
      <c r="M127" s="31">
        <v>59.9</v>
      </c>
      <c r="N127" s="32">
        <f t="shared" si="65"/>
        <v>-9.9173553719008496E-3</v>
      </c>
      <c r="O127" s="18">
        <f>IF(ISNUMBER(M127), $B145 * N127, "")</f>
        <v>-991.73553719008498</v>
      </c>
      <c r="Q127" s="216"/>
      <c r="R127" s="216"/>
      <c r="S127" s="216"/>
    </row>
    <row r="128" spans="1:19" ht="17.25" thickBot="1">
      <c r="A128" s="125" t="s">
        <v>72</v>
      </c>
      <c r="B128" s="126">
        <v>18</v>
      </c>
      <c r="C128" s="77">
        <v>-7.2164948500000006E-2</v>
      </c>
      <c r="D128" s="15">
        <v>17.100000000000001</v>
      </c>
      <c r="E128" s="32">
        <f t="shared" si="62"/>
        <v>-4.999999999999992E-2</v>
      </c>
      <c r="F128" s="18">
        <f>IF(ISNUMBER(D128), $B145 * E128, "")</f>
        <v>-4999.9999999999918</v>
      </c>
      <c r="G128" s="31">
        <v>17</v>
      </c>
      <c r="H128" s="32">
        <f t="shared" si="63"/>
        <v>-5.5555555555555552E-2</v>
      </c>
      <c r="I128" s="101">
        <f>IF(ISNUMBER(G128), $B145 * H128, "")</f>
        <v>-5555.5555555555557</v>
      </c>
      <c r="J128" s="15">
        <v>16.899999999999999</v>
      </c>
      <c r="K128" s="32">
        <f t="shared" si="64"/>
        <v>-6.1111111111111192E-2</v>
      </c>
      <c r="L128" s="18">
        <f>IF(ISNUMBER(J128), $B145 * K128, "")</f>
        <v>-6111.1111111111195</v>
      </c>
      <c r="M128" s="31">
        <v>17.399999999999999</v>
      </c>
      <c r="N128" s="32">
        <f t="shared" si="65"/>
        <v>-3.3333333333333409E-2</v>
      </c>
      <c r="O128" s="18">
        <f>IF(ISNUMBER(M128), $B145 * N128, "")</f>
        <v>-3333.3333333333408</v>
      </c>
      <c r="Q128" s="216"/>
      <c r="R128" s="216"/>
      <c r="S128" s="216"/>
    </row>
    <row r="129" spans="1:19" ht="17.25" thickBot="1">
      <c r="A129" s="127" t="s">
        <v>130</v>
      </c>
      <c r="B129" s="128">
        <v>83.9</v>
      </c>
      <c r="C129" s="78">
        <v>-7.7007700799999995E-2</v>
      </c>
      <c r="D129" s="20">
        <v>83.5</v>
      </c>
      <c r="E129" s="21">
        <f t="shared" si="62"/>
        <v>-4.7675804529202104E-3</v>
      </c>
      <c r="F129" s="22">
        <f>IF(ISNUMBER(D129), $B145 * E129, "")</f>
        <v>-476.75804529202105</v>
      </c>
      <c r="G129" s="30">
        <v>80.599999999999994</v>
      </c>
      <c r="H129" s="21">
        <f t="shared" si="63"/>
        <v>-3.9332538736591316E-2</v>
      </c>
      <c r="I129" s="105">
        <f>IF(ISNUMBER(G129), $B145 * H129, "")</f>
        <v>-3933.2538736591314</v>
      </c>
      <c r="J129" s="20">
        <v>80.099999999999994</v>
      </c>
      <c r="K129" s="21">
        <f t="shared" si="64"/>
        <v>-4.529201430274149E-2</v>
      </c>
      <c r="L129" s="22">
        <f>IF(ISNUMBER(J129), $B145 * K129, "")</f>
        <v>-4529.2014302741491</v>
      </c>
      <c r="M129" s="30">
        <v>82.2</v>
      </c>
      <c r="N129" s="21">
        <f t="shared" si="65"/>
        <v>-2.0262216924910641E-2</v>
      </c>
      <c r="O129" s="22">
        <f>IF(ISNUMBER(M129), $B145 * N129, "")</f>
        <v>-2026.221692491064</v>
      </c>
      <c r="Q129" s="216"/>
      <c r="R129" s="216"/>
      <c r="S129" s="216"/>
    </row>
    <row r="130" spans="1:19" ht="17.25" thickBot="1">
      <c r="A130" s="125" t="s">
        <v>162</v>
      </c>
      <c r="B130" s="129">
        <v>77.599999999999994</v>
      </c>
      <c r="C130" s="80">
        <v>-8.5983509999999999E-2</v>
      </c>
      <c r="D130" s="106">
        <v>74.400000000000006</v>
      </c>
      <c r="E130" s="107">
        <f>IF(ISNUMBER(D130), (D130 - $B130) / $B130, "")</f>
        <v>-4.1237113402061709E-2</v>
      </c>
      <c r="F130" s="108">
        <f>IF(ISNUMBER(D130), $B145 * E130, "")</f>
        <v>-4123.7113402061714</v>
      </c>
      <c r="G130" s="109">
        <v>72.099999999999994</v>
      </c>
      <c r="H130" s="107">
        <f>IF(ISNUMBER(G130), (G130 - $B130) / $B130, "")</f>
        <v>-7.0876288659793826E-2</v>
      </c>
      <c r="I130" s="110">
        <f>IF(ISNUMBER(G130), $B145 * H130, "")</f>
        <v>-7087.6288659793827</v>
      </c>
      <c r="J130" s="106">
        <v>70.900000000000006</v>
      </c>
      <c r="K130" s="107">
        <f>IF(ISNUMBER(J130), (J130 - $B130) / $B130, "")</f>
        <v>-8.634020618556687E-2</v>
      </c>
      <c r="L130" s="108">
        <f>IF(ISNUMBER(J130), $B145 * K130, "")</f>
        <v>-8634.0206185566876</v>
      </c>
      <c r="M130" s="109">
        <v>74.8</v>
      </c>
      <c r="N130" s="107">
        <f>IF(ISNUMBER(M130), (M130 - $B130) / $B130, "")</f>
        <v>-3.6082474226804093E-2</v>
      </c>
      <c r="O130" s="108">
        <f>IF(ISNUMBER(M130), $B145 * N130, "")</f>
        <v>-3608.2474226804093</v>
      </c>
      <c r="Q130" s="216"/>
      <c r="R130" s="216"/>
      <c r="S130" s="216"/>
    </row>
    <row r="131" spans="1:19" ht="17.25" thickBot="1">
      <c r="A131" s="125" t="s">
        <v>178</v>
      </c>
      <c r="B131" s="126">
        <v>14.4</v>
      </c>
      <c r="C131" s="77">
        <v>-9.4339622600000006E-2</v>
      </c>
      <c r="D131" s="15">
        <v>13.8</v>
      </c>
      <c r="E131" s="32">
        <f t="shared" ref="E131:E134" si="66">IF(ISNUMBER(D131), (D131 - $B131) / $B131, "")</f>
        <v>-4.1666666666666644E-2</v>
      </c>
      <c r="F131" s="18">
        <f>IF(ISNUMBER(D131), $B145 * E131, "")</f>
        <v>-4166.6666666666642</v>
      </c>
      <c r="G131" s="31">
        <v>13.4</v>
      </c>
      <c r="H131" s="32">
        <f t="shared" ref="H131:H134" si="67">IF(ISNUMBER(G131), (G131 - $B131) / $B131, "")</f>
        <v>-6.9444444444444448E-2</v>
      </c>
      <c r="I131" s="101">
        <f>IF(ISNUMBER(G131), $B145 * H131, "")</f>
        <v>-6944.4444444444443</v>
      </c>
      <c r="J131" s="15">
        <v>13.2</v>
      </c>
      <c r="K131" s="32">
        <f t="shared" ref="K131:K134" si="68">IF(ISNUMBER(J131), (J131 - $B131) / $B131, "")</f>
        <v>-8.3333333333333412E-2</v>
      </c>
      <c r="L131" s="18">
        <f>IF(ISNUMBER(J131), $B145 * K131, "")</f>
        <v>-8333.3333333333412</v>
      </c>
      <c r="M131" s="31">
        <v>13.5</v>
      </c>
      <c r="N131" s="32">
        <f t="shared" ref="N131:N134" si="69">IF(ISNUMBER(M131), (M131 - $B131) / $B131, "")</f>
        <v>-6.2500000000000028E-2</v>
      </c>
      <c r="O131" s="18">
        <f>IF(ISNUMBER(M131), $B145 * N131, "")</f>
        <v>-6250.0000000000027</v>
      </c>
      <c r="Q131" s="216"/>
      <c r="R131" s="216"/>
      <c r="S131" s="216"/>
    </row>
    <row r="132" spans="1:19" ht="17.25" thickBot="1">
      <c r="A132" s="125" t="s">
        <v>241</v>
      </c>
      <c r="B132" s="126">
        <v>51.2</v>
      </c>
      <c r="C132" s="77">
        <v>-9.7001763699999993E-2</v>
      </c>
      <c r="D132" s="15">
        <v>49.8</v>
      </c>
      <c r="E132" s="32">
        <f t="shared" si="66"/>
        <v>-2.7343750000000111E-2</v>
      </c>
      <c r="F132" s="18">
        <f>IF(ISNUMBER(D132), $B145 * E132, "")</f>
        <v>-2734.3750000000109</v>
      </c>
      <c r="G132" s="31">
        <v>48.3</v>
      </c>
      <c r="H132" s="32">
        <f t="shared" si="67"/>
        <v>-5.6640625000000111E-2</v>
      </c>
      <c r="I132" s="101">
        <f>IF(ISNUMBER(G132), $B145 * H132, "")</f>
        <v>-5664.0625000000109</v>
      </c>
      <c r="J132" s="15">
        <v>47.6</v>
      </c>
      <c r="K132" s="32">
        <f t="shared" si="68"/>
        <v>-7.0312500000000028E-2</v>
      </c>
      <c r="L132" s="18">
        <f>IF(ISNUMBER(J132), $B145 * K132, "")</f>
        <v>-7031.2500000000027</v>
      </c>
      <c r="M132" s="31">
        <v>49.2</v>
      </c>
      <c r="N132" s="32">
        <f t="shared" si="69"/>
        <v>-3.90625E-2</v>
      </c>
      <c r="O132" s="18">
        <f>IF(ISNUMBER(M132), $B145 * N132, "")</f>
        <v>-3906.25</v>
      </c>
      <c r="Q132" s="216"/>
      <c r="R132" s="216"/>
      <c r="S132" s="216"/>
    </row>
    <row r="133" spans="1:19" ht="17.25" thickBot="1">
      <c r="A133" s="125" t="s">
        <v>208</v>
      </c>
      <c r="B133" s="126">
        <v>9.3000000000000007</v>
      </c>
      <c r="C133" s="77">
        <v>-9.7087378599999996E-2</v>
      </c>
      <c r="D133" s="15">
        <v>8.91</v>
      </c>
      <c r="E133" s="32">
        <f t="shared" si="66"/>
        <v>-4.19354838709678E-2</v>
      </c>
      <c r="F133" s="18">
        <f>IF(ISNUMBER(D133), $B145 * E133, "")</f>
        <v>-4193.5483870967801</v>
      </c>
      <c r="G133" s="31">
        <v>8.61</v>
      </c>
      <c r="H133" s="32">
        <f t="shared" si="67"/>
        <v>-7.4193548387096908E-2</v>
      </c>
      <c r="I133" s="101">
        <f>IF(ISNUMBER(G133), $B145 * H133, "")</f>
        <v>-7419.3548387096907</v>
      </c>
      <c r="J133" s="15">
        <v>8.52</v>
      </c>
      <c r="K133" s="32">
        <f t="shared" si="68"/>
        <v>-8.3870967741935601E-2</v>
      </c>
      <c r="L133" s="18">
        <f>IF(ISNUMBER(J133), $B145 * K133, "")</f>
        <v>-8387.0967741935601</v>
      </c>
      <c r="M133" s="31">
        <v>8.8699999999999992</v>
      </c>
      <c r="N133" s="32">
        <f t="shared" si="69"/>
        <v>-4.6236559139785104E-2</v>
      </c>
      <c r="O133" s="18">
        <f>IF(ISNUMBER(M133), $B145 * N133, "")</f>
        <v>-4623.6559139785104</v>
      </c>
      <c r="Q133" s="33"/>
      <c r="R133" s="33"/>
    </row>
    <row r="134" spans="1:19" ht="17.25" thickBot="1">
      <c r="A134" s="130" t="s">
        <v>65</v>
      </c>
      <c r="B134" s="131">
        <v>25.3</v>
      </c>
      <c r="C134" s="79">
        <v>-0.1028368794</v>
      </c>
      <c r="D134" s="24">
        <v>24.6</v>
      </c>
      <c r="E134" s="25">
        <f t="shared" si="66"/>
        <v>-2.7667984189723292E-2</v>
      </c>
      <c r="F134" s="104">
        <f>IF(ISNUMBER(D134), $B145 * E134, "")</f>
        <v>-2766.7984189723293</v>
      </c>
      <c r="G134" s="102">
        <v>23.9</v>
      </c>
      <c r="H134" s="25">
        <f t="shared" si="67"/>
        <v>-5.5335968379446723E-2</v>
      </c>
      <c r="I134" s="103">
        <f>IF(ISNUMBER(G134), $B145 * H134, "")</f>
        <v>-5533.5968379446722</v>
      </c>
      <c r="J134" s="24">
        <v>23.8</v>
      </c>
      <c r="K134" s="25">
        <f t="shared" si="68"/>
        <v>-5.9288537549407112E-2</v>
      </c>
      <c r="L134" s="104">
        <f>IF(ISNUMBER(J134), $B145 * K134, "")</f>
        <v>-5928.853754940711</v>
      </c>
      <c r="M134" s="102">
        <v>24.9</v>
      </c>
      <c r="N134" s="25">
        <f t="shared" si="69"/>
        <v>-1.5810276679841979E-2</v>
      </c>
      <c r="O134" s="104">
        <f>IF(ISNUMBER(M134), $B145 * N134, "")</f>
        <v>-1581.0276679841979</v>
      </c>
      <c r="Q134" s="217"/>
      <c r="R134" s="218"/>
      <c r="S134" s="219"/>
    </row>
    <row r="135" spans="1:19">
      <c r="A135" s="123" t="s">
        <v>210</v>
      </c>
      <c r="B135" s="124">
        <v>9.31</v>
      </c>
      <c r="C135" s="76">
        <v>-0.1048076923</v>
      </c>
      <c r="D135" s="13">
        <v>8.7899999999999991</v>
      </c>
      <c r="E135" s="14">
        <f>IF(ISNUMBER(D135), (D135 - $B135) / $B135, "")</f>
        <v>-5.5853920515574793E-2</v>
      </c>
      <c r="F135" s="16">
        <f>IF(ISNUMBER(D135), $B145 * E135, "")</f>
        <v>-5585.3920515574791</v>
      </c>
      <c r="G135" s="29">
        <v>8.5500000000000007</v>
      </c>
      <c r="H135" s="14">
        <f>IF(ISNUMBER(G135), (G135 - $B135) / $B135, "")</f>
        <v>-8.1632653061224469E-2</v>
      </c>
      <c r="I135" s="100">
        <f>IF(ISNUMBER(G135), $B145 * H135, "")</f>
        <v>-8163.2653061224473</v>
      </c>
      <c r="J135" s="13">
        <v>8.5299999999999994</v>
      </c>
      <c r="K135" s="14">
        <f>IF(ISNUMBER(J135), (J135 - $B135) / $B135, "")</f>
        <v>-8.3780880773362099E-2</v>
      </c>
      <c r="L135" s="16">
        <f>IF(ISNUMBER(J135), $B145 * K135, "")</f>
        <v>-8378.0880773362096</v>
      </c>
      <c r="M135" s="29">
        <v>8.81</v>
      </c>
      <c r="N135" s="14">
        <f>IF(ISNUMBER(M135), (M135 - $B135) / $B135, "")</f>
        <v>-5.3705692803437163E-2</v>
      </c>
      <c r="O135" s="16">
        <f>IF(ISNUMBER(M135), $B145 * N135, "")</f>
        <v>-5370.5692803437159</v>
      </c>
      <c r="Q135" s="220"/>
      <c r="R135" s="221"/>
      <c r="S135" s="222"/>
    </row>
    <row r="136" spans="1:19" ht="17.25" thickBot="1">
      <c r="A136" s="125" t="s">
        <v>202</v>
      </c>
      <c r="B136" s="126">
        <v>55.4</v>
      </c>
      <c r="C136" s="77">
        <v>-0.1121794872</v>
      </c>
      <c r="D136" s="15">
        <v>55.4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52.3</v>
      </c>
      <c r="H136" s="32">
        <f t="shared" ref="H136:H139" si="71">IF(ISNUMBER(G136), (G136 - $B136) / $B136, "")</f>
        <v>-5.5956678700361036E-2</v>
      </c>
      <c r="I136" s="101">
        <f>IF(ISNUMBER(G136), $B145 * H136, "")</f>
        <v>-5595.6678700361035</v>
      </c>
      <c r="J136" s="15">
        <v>51.7</v>
      </c>
      <c r="K136" s="32">
        <f t="shared" ref="K136:K139" si="72">IF(ISNUMBER(J136), (J136 - $B136) / $B136, "")</f>
        <v>-6.6787003610108225E-2</v>
      </c>
      <c r="L136" s="18">
        <f>IF(ISNUMBER(J136), $B145 * K136, "")</f>
        <v>-6678.7003610108222</v>
      </c>
      <c r="M136" s="31">
        <v>53</v>
      </c>
      <c r="N136" s="32">
        <f t="shared" ref="N136:N139" si="73">IF(ISNUMBER(M136), (M136 - $B136) / $B136, "")</f>
        <v>-4.3321299638989147E-2</v>
      </c>
      <c r="O136" s="18">
        <f>IF(ISNUMBER(M136), $B145 * N136, "")</f>
        <v>-4332.1299638989149</v>
      </c>
      <c r="Q136" s="223"/>
      <c r="R136" s="224"/>
      <c r="S136" s="225"/>
    </row>
    <row r="137" spans="1:19" ht="17.25" thickBot="1">
      <c r="A137" s="125" t="s">
        <v>122</v>
      </c>
      <c r="B137" s="126">
        <v>21.8</v>
      </c>
      <c r="C137" s="77">
        <v>-0.1138211382</v>
      </c>
      <c r="D137" s="15">
        <v>21.2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20.6</v>
      </c>
      <c r="H137" s="32">
        <f t="shared" si="71"/>
        <v>-5.5045871559632996E-2</v>
      </c>
      <c r="I137" s="101">
        <f>IF(ISNUMBER(G137), $B145 * H137, "")</f>
        <v>-5504.5871559632997</v>
      </c>
      <c r="J137" s="15">
        <v>20.5</v>
      </c>
      <c r="K137" s="32">
        <f t="shared" si="72"/>
        <v>-5.9633027522935811E-2</v>
      </c>
      <c r="L137" s="18">
        <f>IF(ISNUMBER(J137), $B145 * K137, "")</f>
        <v>-5963.3027522935809</v>
      </c>
      <c r="M137" s="31">
        <v>21.6</v>
      </c>
      <c r="N137" s="32">
        <f t="shared" si="73"/>
        <v>-9.1743119266054721E-3</v>
      </c>
      <c r="O137" s="18">
        <f>IF(ISNUMBER(M137), $B145 * N137, "")</f>
        <v>-917.43119266054725</v>
      </c>
      <c r="Q137" s="216"/>
      <c r="R137" s="216"/>
      <c r="S137" s="216"/>
    </row>
    <row r="138" spans="1:19" ht="17.25" thickBot="1">
      <c r="A138" s="125" t="s">
        <v>216</v>
      </c>
      <c r="B138" s="126">
        <v>8.44</v>
      </c>
      <c r="C138" s="77">
        <v>-0.118077325</v>
      </c>
      <c r="D138" s="15">
        <v>8.1999999999999993</v>
      </c>
      <c r="E138" s="32">
        <f t="shared" si="70"/>
        <v>-2.8436018957345998E-2</v>
      </c>
      <c r="F138" s="18">
        <f>IF(ISNUMBER(D138), $B145 * E138, "")</f>
        <v>-2843.6018957346</v>
      </c>
      <c r="G138" s="31">
        <v>7.87</v>
      </c>
      <c r="H138" s="32">
        <f t="shared" si="71"/>
        <v>-6.7535545023696616E-2</v>
      </c>
      <c r="I138" s="101">
        <f>IF(ISNUMBER(G138), $B145 * H138, "")</f>
        <v>-6753.5545023696613</v>
      </c>
      <c r="J138" s="15">
        <v>7.78</v>
      </c>
      <c r="K138" s="32">
        <f t="shared" si="72"/>
        <v>-7.8199052132701341E-2</v>
      </c>
      <c r="L138" s="18">
        <f>IF(ISNUMBER(J138), $B145 * K138, "")</f>
        <v>-7819.9052132701345</v>
      </c>
      <c r="M138" s="31">
        <v>8.09</v>
      </c>
      <c r="N138" s="32">
        <f t="shared" si="73"/>
        <v>-4.1469194312796172E-2</v>
      </c>
      <c r="O138" s="18">
        <f>IF(ISNUMBER(M138), $B145 * N138, "")</f>
        <v>-4146.9194312796171</v>
      </c>
      <c r="Q138" s="226"/>
      <c r="R138" s="226"/>
      <c r="S138" s="226"/>
    </row>
    <row r="139" spans="1:19" ht="17.25" thickBot="1">
      <c r="A139" s="127" t="s">
        <v>204</v>
      </c>
      <c r="B139" s="128">
        <v>12.4</v>
      </c>
      <c r="C139" s="78">
        <v>-0.1205673759</v>
      </c>
      <c r="D139" s="20">
        <v>11.6</v>
      </c>
      <c r="E139" s="21">
        <f t="shared" si="70"/>
        <v>-6.4516129032258118E-2</v>
      </c>
      <c r="F139" s="22">
        <f>IF(ISNUMBER(D139), $B145 * E139, "")</f>
        <v>-6451.6129032258123</v>
      </c>
      <c r="G139" s="30">
        <v>11.1</v>
      </c>
      <c r="H139" s="21">
        <f t="shared" si="71"/>
        <v>-0.10483870967741941</v>
      </c>
      <c r="I139" s="105">
        <f>IF(ISNUMBER(G139), $B145 * H139, "")</f>
        <v>-10483.870967741941</v>
      </c>
      <c r="J139" s="20">
        <v>11.1</v>
      </c>
      <c r="K139" s="21">
        <f t="shared" si="72"/>
        <v>-0.10483870967741941</v>
      </c>
      <c r="L139" s="22">
        <f>IF(ISNUMBER(J139), $B145 * K139, "")</f>
        <v>-10483.870967741941</v>
      </c>
      <c r="M139" s="30">
        <v>11.5</v>
      </c>
      <c r="N139" s="21">
        <f t="shared" si="73"/>
        <v>-7.2580645161290355E-2</v>
      </c>
      <c r="O139" s="22">
        <f>IF(ISNUMBER(M139), $B145 * N139, "")</f>
        <v>-7258.0645161290358</v>
      </c>
      <c r="Q139" s="226"/>
      <c r="R139" s="226"/>
      <c r="S139" s="226"/>
    </row>
    <row r="140" spans="1:19" ht="17.25" thickBot="1">
      <c r="A140" s="125" t="s">
        <v>188</v>
      </c>
      <c r="B140" s="129">
        <v>10.199999999999999</v>
      </c>
      <c r="C140" s="80">
        <v>-0.1206896552</v>
      </c>
      <c r="D140" s="106">
        <v>9.4700000000000006</v>
      </c>
      <c r="E140" s="107">
        <f>IF(ISNUMBER(D140), (D140 - $B140) / $B140, "")</f>
        <v>-7.1568627450980263E-2</v>
      </c>
      <c r="F140" s="108">
        <f>IF(ISNUMBER(D140), $B145 * E140, "")</f>
        <v>-7156.8627450980266</v>
      </c>
      <c r="G140" s="109">
        <v>9.2200000000000006</v>
      </c>
      <c r="H140" s="107">
        <f>IF(ISNUMBER(G140), (G140 - $B140) / $B140, "")</f>
        <v>-9.60784313725489E-2</v>
      </c>
      <c r="I140" s="110">
        <f>IF(ISNUMBER(G140), $B145 * H140, "")</f>
        <v>-9607.8431372548894</v>
      </c>
      <c r="J140" s="106">
        <v>9.17</v>
      </c>
      <c r="K140" s="107">
        <f>IF(ISNUMBER(J140), (J140 - $B140) / $B140, "")</f>
        <v>-0.10098039215686269</v>
      </c>
      <c r="L140" s="108">
        <f>IF(ISNUMBER(J140), $B145 * K140, "")</f>
        <v>-10098.039215686269</v>
      </c>
      <c r="M140" s="109">
        <v>9.5</v>
      </c>
      <c r="N140" s="107">
        <f>IF(ISNUMBER(M140), (M140 - $B140) / $B140, "")</f>
        <v>-6.8627450980392093E-2</v>
      </c>
      <c r="O140" s="108">
        <f>IF(ISNUMBER(M140), $B145 * N140, "")</f>
        <v>-6862.7450980392096</v>
      </c>
      <c r="Q140" s="216"/>
      <c r="R140" s="216"/>
      <c r="S140" s="216"/>
    </row>
    <row r="141" spans="1:19" ht="17.25" thickBot="1">
      <c r="A141" s="125" t="s">
        <v>150</v>
      </c>
      <c r="B141" s="126">
        <v>9.32</v>
      </c>
      <c r="C141" s="77">
        <v>-0.120754717</v>
      </c>
      <c r="D141" s="15">
        <v>8.92</v>
      </c>
      <c r="E141" s="32">
        <f t="shared" ref="E141:E144" si="74">IF(ISNUMBER(D141), (D141 - $B141) / $B141, "")</f>
        <v>-4.2918454935622352E-2</v>
      </c>
      <c r="F141" s="18">
        <f>IF(ISNUMBER(D141), $B145 * E141, "")</f>
        <v>-4291.8454935622349</v>
      </c>
      <c r="G141" s="31">
        <v>8.56</v>
      </c>
      <c r="H141" s="32">
        <f t="shared" ref="H141:H144" si="75">IF(ISNUMBER(G141), (G141 - $B141) / $B141, "")</f>
        <v>-8.1545064377682372E-2</v>
      </c>
      <c r="I141" s="101">
        <f>IF(ISNUMBER(G141), $B145 * H141, "")</f>
        <v>-8154.5064377682374</v>
      </c>
      <c r="J141" s="15">
        <v>8.52</v>
      </c>
      <c r="K141" s="32">
        <f t="shared" ref="K141:K144" si="76">IF(ISNUMBER(J141), (J141 - $B141) / $B141, "")</f>
        <v>-8.5836909871244704E-2</v>
      </c>
      <c r="L141" s="18">
        <f>IF(ISNUMBER(J141), $B145 * K141, "")</f>
        <v>-8583.6909871244698</v>
      </c>
      <c r="M141" s="31">
        <v>8.89</v>
      </c>
      <c r="N141" s="32">
        <f t="shared" ref="N141:N144" si="77">IF(ISNUMBER(M141), (M141 - $B141) / $B141, "")</f>
        <v>-4.6137339055793959E-2</v>
      </c>
      <c r="O141" s="18">
        <f>IF(ISNUMBER(M141), $B145 * N141, "")</f>
        <v>-4613.7339055793955</v>
      </c>
      <c r="Q141" s="216"/>
      <c r="R141" s="216"/>
      <c r="S141" s="216"/>
    </row>
    <row r="142" spans="1:19" ht="17.25" thickBot="1">
      <c r="A142" s="125" t="s">
        <v>239</v>
      </c>
      <c r="B142" s="126">
        <v>73.2</v>
      </c>
      <c r="C142" s="77">
        <v>-0.1212484994</v>
      </c>
      <c r="D142" s="15">
        <v>69.400000000000006</v>
      </c>
      <c r="E142" s="32">
        <f t="shared" si="74"/>
        <v>-5.1912568306010889E-2</v>
      </c>
      <c r="F142" s="18">
        <f>IF(ISNUMBER(D142), $B145 * E142, "")</f>
        <v>-5191.256830601089</v>
      </c>
      <c r="G142" s="31">
        <v>67.5</v>
      </c>
      <c r="H142" s="32">
        <f t="shared" si="75"/>
        <v>-7.7868852459016424E-2</v>
      </c>
      <c r="I142" s="101">
        <f>IF(ISNUMBER(G142), $B145 * H142, "")</f>
        <v>-7786.8852459016425</v>
      </c>
      <c r="J142" s="15">
        <v>66.900000000000006</v>
      </c>
      <c r="K142" s="32">
        <f t="shared" si="76"/>
        <v>-8.606557377049176E-2</v>
      </c>
      <c r="L142" s="18">
        <f>IF(ISNUMBER(J142), $B145 * K142, "")</f>
        <v>-8606.5573770491756</v>
      </c>
      <c r="M142" s="31">
        <v>69.3</v>
      </c>
      <c r="N142" s="32">
        <f t="shared" si="77"/>
        <v>-5.3278688524590237E-2</v>
      </c>
      <c r="O142" s="18">
        <f>IF(ISNUMBER(M142), $B145 * N142, "")</f>
        <v>-5327.8688524590234</v>
      </c>
      <c r="Q142" s="216"/>
      <c r="R142" s="216"/>
      <c r="S142" s="216"/>
    </row>
    <row r="143" spans="1:19">
      <c r="A143" s="125" t="s">
        <v>235</v>
      </c>
      <c r="B143" s="126">
        <v>53.4</v>
      </c>
      <c r="C143" s="77">
        <v>-0.1217105263</v>
      </c>
      <c r="D143" s="15">
        <v>52.6</v>
      </c>
      <c r="E143" s="32">
        <f t="shared" si="74"/>
        <v>-1.4981273408239647E-2</v>
      </c>
      <c r="F143" s="18">
        <f>IF(ISNUMBER(D143), $B145 * E143, "")</f>
        <v>-1498.1273408239647</v>
      </c>
      <c r="G143" s="31">
        <v>50.1</v>
      </c>
      <c r="H143" s="32">
        <f t="shared" si="75"/>
        <v>-6.1797752808988714E-2</v>
      </c>
      <c r="I143" s="101">
        <f>IF(ISNUMBER(G143), $B145 * H143, "")</f>
        <v>-6179.7752808988716</v>
      </c>
      <c r="J143" s="15">
        <v>49.1</v>
      </c>
      <c r="K143" s="32">
        <f t="shared" si="76"/>
        <v>-8.0524344569288336E-2</v>
      </c>
      <c r="L143" s="18">
        <f>IF(ISNUMBER(J143), $B145 * K143, "")</f>
        <v>-8052.4344569288332</v>
      </c>
      <c r="M143" s="31">
        <v>50.7</v>
      </c>
      <c r="N143" s="32">
        <f t="shared" si="77"/>
        <v>-5.0561797752808911E-2</v>
      </c>
      <c r="O143" s="18">
        <f>IF(ISNUMBER(M143), $B145 * N143, "")</f>
        <v>-5056.1797752808907</v>
      </c>
      <c r="Q143" s="205"/>
      <c r="R143" s="206"/>
      <c r="S143" s="207"/>
    </row>
    <row r="144" spans="1:19" ht="17.25" thickBot="1">
      <c r="A144" s="130" t="s">
        <v>190</v>
      </c>
      <c r="B144" s="131">
        <v>14.9</v>
      </c>
      <c r="C144" s="79">
        <v>-0.1235294118</v>
      </c>
      <c r="D144" s="24">
        <v>14</v>
      </c>
      <c r="E144" s="25">
        <f t="shared" si="74"/>
        <v>-6.0402684563758413E-2</v>
      </c>
      <c r="F144" s="104">
        <f>IF(ISNUMBER(D144), $B145 * E144, "")</f>
        <v>-6040.2684563758412</v>
      </c>
      <c r="G144" s="102">
        <v>13.6</v>
      </c>
      <c r="H144" s="25">
        <f t="shared" si="75"/>
        <v>-8.7248322147651047E-2</v>
      </c>
      <c r="I144" s="103">
        <f>IF(ISNUMBER(G144), $B145 * H144, "")</f>
        <v>-8724.8322147651052</v>
      </c>
      <c r="J144" s="24">
        <v>13.5</v>
      </c>
      <c r="K144" s="25">
        <f t="shared" si="76"/>
        <v>-9.3959731543624178E-2</v>
      </c>
      <c r="L144" s="104">
        <f>IF(ISNUMBER(J144), $B145 * K144, "")</f>
        <v>-9395.9731543624184</v>
      </c>
      <c r="M144" s="102">
        <v>14</v>
      </c>
      <c r="N144" s="25">
        <f t="shared" si="77"/>
        <v>-6.0402684563758413E-2</v>
      </c>
      <c r="O144" s="104">
        <f>IF(ISNUMBER(M144), $B145 * N144, "")</f>
        <v>-6040.2684563758412</v>
      </c>
      <c r="Q144" s="208"/>
      <c r="R144" s="209"/>
      <c r="S144" s="210"/>
    </row>
    <row r="145" spans="1:19" ht="17.25" thickBot="1">
      <c r="A145" s="132" t="s">
        <v>271</v>
      </c>
      <c r="B145" s="269">
        <f>$B$37</f>
        <v>100000</v>
      </c>
      <c r="C145" s="270"/>
      <c r="D145" s="26" t="s">
        <v>272</v>
      </c>
      <c r="E145" s="27">
        <f>IF(COUNT(E125:E144), SUM(E125:E144) / COUNT(E125:E144), 0)</f>
        <v>-3.6713806355150931E-2</v>
      </c>
      <c r="F145" s="28">
        <f>SUM(F125:F144)</f>
        <v>-73427.612710301866</v>
      </c>
      <c r="G145" s="26" t="s">
        <v>272</v>
      </c>
      <c r="H145" s="27">
        <f>IF(COUNT(H125:H144), SUM(H125:H144) / COUNT(H125:H144), 0)</f>
        <v>-6.6038814164228438E-2</v>
      </c>
      <c r="I145" s="28">
        <f>SUM(I125:I144)</f>
        <v>-132077.62832845689</v>
      </c>
      <c r="J145" s="26" t="s">
        <v>272</v>
      </c>
      <c r="K145" s="27">
        <f>IF(COUNT(K125:K144), SUM(K125:K144) / COUNT(K125:K144), 0)</f>
        <v>-7.4585512363359446E-2</v>
      </c>
      <c r="L145" s="28">
        <f>SUM(L125:L144)</f>
        <v>-149171.02472671887</v>
      </c>
      <c r="M145" s="26" t="s">
        <v>272</v>
      </c>
      <c r="N145" s="27">
        <f>IF(COUNT(N125:N144), SUM(N125:N144) / COUNT(N125:N144), 0)</f>
        <v>-3.983642134085498E-2</v>
      </c>
      <c r="O145" s="28">
        <f>SUM(O125:O144)</f>
        <v>-79672.842681709939</v>
      </c>
      <c r="Q145" s="211"/>
      <c r="R145" s="212"/>
      <c r="S145" s="213"/>
    </row>
    <row r="147" spans="1:19" ht="17.25" thickBot="1"/>
    <row r="148" spans="1:19" ht="17.25" thickBot="1">
      <c r="A148" s="227" t="s">
        <v>260</v>
      </c>
      <c r="B148" s="228"/>
      <c r="C148" s="228"/>
      <c r="D148" s="228"/>
      <c r="E148" s="228"/>
      <c r="F148" s="228"/>
      <c r="G148" s="228"/>
      <c r="H148" s="228"/>
      <c r="I148" s="228"/>
      <c r="J148" s="228"/>
      <c r="K148" s="228"/>
      <c r="L148" s="228"/>
      <c r="M148" s="228"/>
      <c r="N148" s="228"/>
      <c r="O148" s="229"/>
      <c r="Q148" s="226"/>
      <c r="R148" s="226"/>
      <c r="S148" s="226"/>
    </row>
    <row r="149" spans="1:19" ht="17.25" thickBot="1">
      <c r="A149" s="189" t="s">
        <v>268</v>
      </c>
      <c r="B149" s="227" t="s">
        <v>49</v>
      </c>
      <c r="C149" s="229"/>
      <c r="D149" s="227" t="s">
        <v>58</v>
      </c>
      <c r="E149" s="228"/>
      <c r="F149" s="229"/>
      <c r="G149" s="230">
        <f>_xlfn.IFNA(VLOOKUP(B149, 현재가테이블!$B$2:$D$200, 2, FALSE), "-")</f>
        <v>39916000</v>
      </c>
      <c r="H149" s="231"/>
      <c r="I149" s="232"/>
      <c r="J149" s="227" t="s">
        <v>59</v>
      </c>
      <c r="K149" s="228"/>
      <c r="L149" s="229"/>
      <c r="M149" s="233">
        <f>_xlfn.IFNA(VLOOKUP(B149, 현재가테이블!$B$2:$D$200, 3, FALSE), "-")</f>
        <v>7.3184273000000003E-3</v>
      </c>
      <c r="N149" s="234"/>
      <c r="O149" s="235"/>
      <c r="Q149" s="226"/>
      <c r="R149" s="226"/>
      <c r="S149" s="226"/>
    </row>
    <row r="150" spans="1:19" ht="17.25" thickBot="1">
      <c r="A150" s="271" t="s">
        <v>55</v>
      </c>
      <c r="B150" s="267" t="str">
        <f>TEXT($G$1, "[$-ko-KR]yyyy-mm-dd(ddd) ") &amp; "오전 00:00"</f>
        <v>2021-07-09(금) 오전 00:00</v>
      </c>
      <c r="C150" s="268"/>
      <c r="D150" s="240" t="str">
        <f>TEXT($G$1, "[$-ko-KR]yyyy-mm-dd(ddd) ") &amp; "오후 14:00"</f>
        <v>2021-07-09(금) 오후 14:00</v>
      </c>
      <c r="E150" s="241"/>
      <c r="F150" s="242"/>
      <c r="G150" s="240" t="str">
        <f>TEXT($G$1, "[$-ko-KR]yyyy-mm-dd(ddd) ") &amp; "오후 19:00"</f>
        <v>2021-07-09(금) 오후 19:00</v>
      </c>
      <c r="H150" s="241"/>
      <c r="I150" s="242"/>
      <c r="J150" s="240" t="str">
        <f>TEXT($G$1, "[$-ko-KR]yyyy-mm-dd(ddd) ") &amp; "오후 21:00"</f>
        <v>2021-07-09(금) 오후 21:00</v>
      </c>
      <c r="K150" s="241"/>
      <c r="L150" s="242"/>
      <c r="M150" s="240" t="str">
        <f>TEXT($G$1+1, "[$-ko-KR]yyyy-mm-dd(ddd) ") &amp; "오전 00:00"</f>
        <v>2021-07-10(토) 오전 00:00</v>
      </c>
      <c r="N150" s="241"/>
      <c r="O150" s="242"/>
      <c r="Q150" s="226"/>
      <c r="R150" s="226"/>
      <c r="S150" s="226"/>
    </row>
    <row r="151" spans="1:19" ht="17.25" thickBot="1">
      <c r="A151" s="27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0" t="s">
        <v>58</v>
      </c>
      <c r="H151" s="191" t="s">
        <v>269</v>
      </c>
      <c r="I151" s="19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6"/>
      <c r="R151" s="216"/>
      <c r="S151" s="216"/>
    </row>
    <row r="152" spans="1:19" ht="17.25" thickBot="1">
      <c r="A152" s="123" t="s">
        <v>220</v>
      </c>
      <c r="B152" s="124">
        <v>168</v>
      </c>
      <c r="C152" s="76">
        <v>-7.6923076899999998E-2</v>
      </c>
      <c r="D152" s="13">
        <v>171</v>
      </c>
      <c r="E152" s="14">
        <f>IF(ISNUMBER(D152), (D152 - $B152) / $B152, "")</f>
        <v>1.7857142857142856E-2</v>
      </c>
      <c r="F152" s="16">
        <f>IF(ISNUMBER(D152), $B172 * E152, "")</f>
        <v>1785.7142857142856</v>
      </c>
      <c r="G152" s="29">
        <v>165</v>
      </c>
      <c r="H152" s="14">
        <f>IF(ISNUMBER(G152), (G152 - $B152) / $B152, "")</f>
        <v>-1.7857142857142856E-2</v>
      </c>
      <c r="I152" s="100">
        <f>IF(ISNUMBER(G152), $B172 * H152, "")</f>
        <v>-1785.7142857142856</v>
      </c>
      <c r="J152" s="13">
        <v>165</v>
      </c>
      <c r="K152" s="14">
        <f>IF(ISNUMBER(J152), (J152 - $B152) / $B152, "")</f>
        <v>-1.7857142857142856E-2</v>
      </c>
      <c r="L152" s="16">
        <f>IF(ISNUMBER(J152), $B172 * K152, "")</f>
        <v>-1785.7142857142856</v>
      </c>
      <c r="M152" s="29">
        <v>166</v>
      </c>
      <c r="N152" s="14">
        <f>IF(ISNUMBER(M152), (M152 - $B152) / $B152, "")</f>
        <v>-1.1904761904761904E-2</v>
      </c>
      <c r="O152" s="16">
        <f>IF(ISNUMBER(M152), $B172 * N152, "")</f>
        <v>-1190.4761904761904</v>
      </c>
      <c r="Q152" s="226"/>
      <c r="R152" s="226"/>
      <c r="S152" s="226"/>
    </row>
    <row r="153" spans="1:19" ht="17.25" thickBot="1">
      <c r="A153" s="125" t="s">
        <v>231</v>
      </c>
      <c r="B153" s="126">
        <v>156</v>
      </c>
      <c r="C153" s="77">
        <v>-7.6923076899999998E-2</v>
      </c>
      <c r="D153" s="15">
        <v>145</v>
      </c>
      <c r="E153" s="32">
        <f t="shared" ref="E153:E156" si="78">IF(ISNUMBER(D153), (D153 - $B153) / $B153, "")</f>
        <v>-7.0512820512820512E-2</v>
      </c>
      <c r="F153" s="18">
        <f>IF(ISNUMBER(D153), $B172 * E153, "")</f>
        <v>-7051.2820512820508</v>
      </c>
      <c r="G153" s="31">
        <v>142</v>
      </c>
      <c r="H153" s="32">
        <f t="shared" ref="H153:H156" si="79">IF(ISNUMBER(G153), (G153 - $B153) / $B153, "")</f>
        <v>-8.9743589743589744E-2</v>
      </c>
      <c r="I153" s="101">
        <f>IF(ISNUMBER(G153), $B172 * H153, "")</f>
        <v>-8974.3589743589746</v>
      </c>
      <c r="J153" s="15">
        <v>142</v>
      </c>
      <c r="K153" s="32">
        <f t="shared" ref="K153:K156" si="80">IF(ISNUMBER(J153), (J153 - $B153) / $B153, "")</f>
        <v>-8.9743589743589744E-2</v>
      </c>
      <c r="L153" s="18">
        <f>IF(ISNUMBER(J153), $B172 * K153, "")</f>
        <v>-8974.3589743589746</v>
      </c>
      <c r="M153" s="31">
        <v>148</v>
      </c>
      <c r="N153" s="32">
        <f t="shared" ref="N153:N156" si="81">IF(ISNUMBER(M153), (M153 - $B153) / $B153, "")</f>
        <v>-5.128205128205128E-2</v>
      </c>
      <c r="O153" s="18">
        <f>IF(ISNUMBER(M153), $B172 * N153, "")</f>
        <v>-5128.2051282051279</v>
      </c>
      <c r="Q153" s="226"/>
      <c r="R153" s="226"/>
      <c r="S153" s="226"/>
    </row>
    <row r="154" spans="1:19" ht="17.25" thickBot="1">
      <c r="A154" s="125" t="s">
        <v>243</v>
      </c>
      <c r="B154" s="126">
        <v>360</v>
      </c>
      <c r="C154" s="77">
        <v>-8.1632653099999994E-2</v>
      </c>
      <c r="D154" s="15">
        <v>359</v>
      </c>
      <c r="E154" s="32">
        <f t="shared" si="78"/>
        <v>-2.7777777777777779E-3</v>
      </c>
      <c r="F154" s="18">
        <f>IF(ISNUMBER(D154), $B172 * E154, "")</f>
        <v>-277.77777777777777</v>
      </c>
      <c r="G154" s="31">
        <v>350</v>
      </c>
      <c r="H154" s="32">
        <f t="shared" si="79"/>
        <v>-2.7777777777777776E-2</v>
      </c>
      <c r="I154" s="101">
        <f>IF(ISNUMBER(G154), $B172 * H154, "")</f>
        <v>-2777.7777777777778</v>
      </c>
      <c r="J154" s="15">
        <v>348</v>
      </c>
      <c r="K154" s="32">
        <f t="shared" si="80"/>
        <v>-3.3333333333333333E-2</v>
      </c>
      <c r="L154" s="18">
        <f>IF(ISNUMBER(J154), $B172 * K154, "")</f>
        <v>-3333.3333333333335</v>
      </c>
      <c r="M154" s="31">
        <v>366</v>
      </c>
      <c r="N154" s="32">
        <f t="shared" si="81"/>
        <v>1.6666666666666666E-2</v>
      </c>
      <c r="O154" s="18">
        <f>IF(ISNUMBER(M154), $B172 * N154, "")</f>
        <v>1666.6666666666667</v>
      </c>
      <c r="Q154" s="216"/>
      <c r="R154" s="216"/>
      <c r="S154" s="216"/>
    </row>
    <row r="155" spans="1:19" ht="17.25" thickBot="1">
      <c r="A155" s="125" t="s">
        <v>194</v>
      </c>
      <c r="B155" s="126">
        <v>121</v>
      </c>
      <c r="C155" s="77">
        <v>-8.3333333300000006E-2</v>
      </c>
      <c r="D155" s="15">
        <v>127</v>
      </c>
      <c r="E155" s="32">
        <f t="shared" si="78"/>
        <v>4.9586776859504134E-2</v>
      </c>
      <c r="F155" s="18">
        <f>IF(ISNUMBER(D155), $B172 * E155, "")</f>
        <v>4958.6776859504134</v>
      </c>
      <c r="G155" s="31">
        <v>120</v>
      </c>
      <c r="H155" s="32">
        <f t="shared" si="79"/>
        <v>-8.2644628099173556E-3</v>
      </c>
      <c r="I155" s="101">
        <f>IF(ISNUMBER(G155), $B172 * H155, "")</f>
        <v>-826.44628099173553</v>
      </c>
      <c r="J155" s="15">
        <v>120</v>
      </c>
      <c r="K155" s="32">
        <f t="shared" si="80"/>
        <v>-8.2644628099173556E-3</v>
      </c>
      <c r="L155" s="18">
        <f>IF(ISNUMBER(J155), $B172 * K155, "")</f>
        <v>-826.44628099173553</v>
      </c>
      <c r="M155" s="31">
        <v>121</v>
      </c>
      <c r="N155" s="32">
        <f t="shared" si="81"/>
        <v>0</v>
      </c>
      <c r="O155" s="18">
        <f>IF(ISNUMBER(M155), $B172 * N155, "")</f>
        <v>0</v>
      </c>
      <c r="Q155" s="216"/>
      <c r="R155" s="216"/>
      <c r="S155" s="216"/>
    </row>
    <row r="156" spans="1:19" ht="17.25" thickBot="1">
      <c r="A156" s="127" t="s">
        <v>214</v>
      </c>
      <c r="B156" s="128">
        <v>239</v>
      </c>
      <c r="C156" s="78">
        <v>-8.4291187700000006E-2</v>
      </c>
      <c r="D156" s="20">
        <v>240</v>
      </c>
      <c r="E156" s="21">
        <f t="shared" si="78"/>
        <v>4.1841004184100415E-3</v>
      </c>
      <c r="F156" s="22">
        <f>IF(ISNUMBER(D156), $B172 * E156, "")</f>
        <v>418.41004184100416</v>
      </c>
      <c r="G156" s="30">
        <v>236</v>
      </c>
      <c r="H156" s="21">
        <f t="shared" si="79"/>
        <v>-1.2552301255230125E-2</v>
      </c>
      <c r="I156" s="105">
        <f>IF(ISNUMBER(G156), $B172 * H156, "")</f>
        <v>-1255.2301255230125</v>
      </c>
      <c r="J156" s="20">
        <v>234</v>
      </c>
      <c r="K156" s="21">
        <f t="shared" si="80"/>
        <v>-2.0920502092050208E-2</v>
      </c>
      <c r="L156" s="22">
        <f>IF(ISNUMBER(J156), $B172 * K156, "")</f>
        <v>-2092.050209205021</v>
      </c>
      <c r="M156" s="30">
        <v>240</v>
      </c>
      <c r="N156" s="21">
        <f t="shared" si="81"/>
        <v>4.1841004184100415E-3</v>
      </c>
      <c r="O156" s="22">
        <f>IF(ISNUMBER(M156), $B172 * N156, "")</f>
        <v>418.41004184100416</v>
      </c>
      <c r="Q156" s="216"/>
      <c r="R156" s="216"/>
      <c r="S156" s="216"/>
    </row>
    <row r="157" spans="1:19" ht="17.25" thickBot="1">
      <c r="A157" s="125" t="s">
        <v>218</v>
      </c>
      <c r="B157" s="129">
        <v>101</v>
      </c>
      <c r="C157" s="80">
        <v>-9.0090090100000006E-2</v>
      </c>
      <c r="D157" s="106">
        <v>103</v>
      </c>
      <c r="E157" s="107">
        <f>IF(ISNUMBER(D157), (D157 - $B157) / $B157, "")</f>
        <v>1.9801980198019802E-2</v>
      </c>
      <c r="F157" s="108">
        <f>IF(ISNUMBER(D157), $B172 * E157, "")</f>
        <v>1980.1980198019803</v>
      </c>
      <c r="G157" s="109">
        <v>99.7</v>
      </c>
      <c r="H157" s="107">
        <f>IF(ISNUMBER(G157), (G157 - $B157) / $B157, "")</f>
        <v>-1.2871287128712843E-2</v>
      </c>
      <c r="I157" s="110">
        <f>IF(ISNUMBER(G157), $B172 * H157, "")</f>
        <v>-1287.1287128712843</v>
      </c>
      <c r="J157" s="106">
        <v>101</v>
      </c>
      <c r="K157" s="107">
        <f>IF(ISNUMBER(J157), (J157 - $B157) / $B157, "")</f>
        <v>0</v>
      </c>
      <c r="L157" s="108">
        <f>IF(ISNUMBER(J157), $B172 * K157, "")</f>
        <v>0</v>
      </c>
      <c r="M157" s="109">
        <v>101</v>
      </c>
      <c r="N157" s="107">
        <f>IF(ISNUMBER(M157), (M157 - $B157) / $B157, "")</f>
        <v>0</v>
      </c>
      <c r="O157" s="108">
        <f>IF(ISNUMBER(M157), $B172 * N157, "")</f>
        <v>0</v>
      </c>
      <c r="Q157" s="216"/>
      <c r="R157" s="216"/>
      <c r="S157" s="216"/>
    </row>
    <row r="158" spans="1:19" ht="17.25" thickBot="1">
      <c r="A158" s="125" t="s">
        <v>228</v>
      </c>
      <c r="B158" s="126">
        <v>289</v>
      </c>
      <c r="C158" s="77">
        <v>-9.4043887100000001E-2</v>
      </c>
      <c r="D158" s="15">
        <v>342</v>
      </c>
      <c r="E158" s="32">
        <f t="shared" ref="E158:E161" si="82">IF(ISNUMBER(D158), (D158 - $B158) / $B158, "")</f>
        <v>0.18339100346020762</v>
      </c>
      <c r="F158" s="18">
        <f>IF(ISNUMBER(D158), $B172 * E158, "")</f>
        <v>18339.100346020761</v>
      </c>
      <c r="G158" s="31">
        <v>324</v>
      </c>
      <c r="H158" s="32">
        <f t="shared" ref="H158:H161" si="83">IF(ISNUMBER(G158), (G158 - $B158) / $B158, "")</f>
        <v>0.12110726643598616</v>
      </c>
      <c r="I158" s="101">
        <f>IF(ISNUMBER(G158), $B172 * H158, "")</f>
        <v>12110.726643598615</v>
      </c>
      <c r="J158" s="15">
        <v>326</v>
      </c>
      <c r="K158" s="32">
        <f t="shared" ref="K158:K161" si="84">IF(ISNUMBER(J158), (J158 - $B158) / $B158, "")</f>
        <v>0.12802768166089964</v>
      </c>
      <c r="L158" s="18">
        <f>IF(ISNUMBER(J158), $B172 * K158, "")</f>
        <v>12802.768166089965</v>
      </c>
      <c r="M158" s="31">
        <v>309</v>
      </c>
      <c r="N158" s="32">
        <f t="shared" ref="N158:N161" si="85">IF(ISNUMBER(M158), (M158 - $B158) / $B158, "")</f>
        <v>6.9204152249134954E-2</v>
      </c>
      <c r="O158" s="18">
        <f>IF(ISNUMBER(M158), $B172 * N158, "")</f>
        <v>6920.415224913495</v>
      </c>
      <c r="Q158" s="216"/>
      <c r="R158" s="216"/>
      <c r="S158" s="216"/>
    </row>
    <row r="159" spans="1:19" ht="17.25" thickBot="1">
      <c r="A159" s="125" t="s">
        <v>237</v>
      </c>
      <c r="B159" s="126">
        <v>442</v>
      </c>
      <c r="C159" s="77">
        <v>-9.4262295100000004E-2</v>
      </c>
      <c r="D159" s="15">
        <v>423</v>
      </c>
      <c r="E159" s="32">
        <f t="shared" si="82"/>
        <v>-4.2986425339366516E-2</v>
      </c>
      <c r="F159" s="18">
        <f>IF(ISNUMBER(D159), $B172 * E159, "")</f>
        <v>-4298.6425339366515</v>
      </c>
      <c r="G159" s="31">
        <v>411</v>
      </c>
      <c r="H159" s="32">
        <f t="shared" si="83"/>
        <v>-7.0135746606334842E-2</v>
      </c>
      <c r="I159" s="101">
        <f>IF(ISNUMBER(G159), $B172 * H159, "")</f>
        <v>-7013.5746606334842</v>
      </c>
      <c r="J159" s="15">
        <v>410</v>
      </c>
      <c r="K159" s="32">
        <f t="shared" si="84"/>
        <v>-7.2398190045248875E-2</v>
      </c>
      <c r="L159" s="18">
        <f>IF(ISNUMBER(J159), $B172 * K159, "")</f>
        <v>-7239.8190045248875</v>
      </c>
      <c r="M159" s="31">
        <v>422</v>
      </c>
      <c r="N159" s="32">
        <f t="shared" si="85"/>
        <v>-4.5248868778280542E-2</v>
      </c>
      <c r="O159" s="18">
        <f>IF(ISNUMBER(M159), $B172 * N159, "")</f>
        <v>-4524.8868778280539</v>
      </c>
      <c r="Q159" s="216"/>
      <c r="R159" s="216"/>
      <c r="S159" s="216"/>
    </row>
    <row r="160" spans="1:19" ht="17.25" thickBot="1">
      <c r="A160" s="125" t="s">
        <v>192</v>
      </c>
      <c r="B160" s="126">
        <v>182</v>
      </c>
      <c r="C160" s="77">
        <v>-9.4527363200000006E-2</v>
      </c>
      <c r="D160" s="15">
        <v>187</v>
      </c>
      <c r="E160" s="32">
        <f t="shared" si="82"/>
        <v>2.7472527472527472E-2</v>
      </c>
      <c r="F160" s="18">
        <f>IF(ISNUMBER(D160), $B172 * E160, "")</f>
        <v>2747.2527472527472</v>
      </c>
      <c r="G160" s="31">
        <v>178</v>
      </c>
      <c r="H160" s="32">
        <f t="shared" si="83"/>
        <v>-2.197802197802198E-2</v>
      </c>
      <c r="I160" s="101">
        <f>IF(ISNUMBER(G160), $B172 * H160, "")</f>
        <v>-2197.802197802198</v>
      </c>
      <c r="J160" s="15">
        <v>178</v>
      </c>
      <c r="K160" s="32">
        <f t="shared" si="84"/>
        <v>-2.197802197802198E-2</v>
      </c>
      <c r="L160" s="18">
        <f>IF(ISNUMBER(J160), $B172 * K160, "")</f>
        <v>-2197.802197802198</v>
      </c>
      <c r="M160" s="31">
        <v>182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164</v>
      </c>
      <c r="B161" s="131">
        <v>234</v>
      </c>
      <c r="C161" s="79">
        <v>-9.6525096500000004E-2</v>
      </c>
      <c r="D161" s="24">
        <v>231</v>
      </c>
      <c r="E161" s="25">
        <f t="shared" si="82"/>
        <v>-1.282051282051282E-2</v>
      </c>
      <c r="F161" s="104">
        <f>IF(ISNUMBER(D161), $B172 * E161, "")</f>
        <v>-1282.051282051282</v>
      </c>
      <c r="G161" s="102">
        <v>228</v>
      </c>
      <c r="H161" s="25">
        <f t="shared" si="83"/>
        <v>-2.564102564102564E-2</v>
      </c>
      <c r="I161" s="103">
        <f>IF(ISNUMBER(G161), $B172 * H161, "")</f>
        <v>-2564.102564102564</v>
      </c>
      <c r="J161" s="24">
        <v>224</v>
      </c>
      <c r="K161" s="25">
        <f t="shared" si="84"/>
        <v>-4.2735042735042736E-2</v>
      </c>
      <c r="L161" s="104">
        <f>IF(ISNUMBER(J161), $B172 * K161, "")</f>
        <v>-4273.5042735042734</v>
      </c>
      <c r="M161" s="102">
        <v>232</v>
      </c>
      <c r="N161" s="25">
        <f t="shared" si="85"/>
        <v>-8.5470085470085479E-3</v>
      </c>
      <c r="O161" s="104">
        <f>IF(ISNUMBER(M161), $B172 * N161, "")</f>
        <v>-854.70085470085473</v>
      </c>
      <c r="Q161" s="217"/>
      <c r="R161" s="218"/>
      <c r="S161" s="219"/>
    </row>
    <row r="162" spans="1:19">
      <c r="A162" s="123" t="s">
        <v>124</v>
      </c>
      <c r="B162" s="124">
        <v>292</v>
      </c>
      <c r="C162" s="76">
        <v>-9.8765432099999995E-2</v>
      </c>
      <c r="D162" s="13">
        <v>286</v>
      </c>
      <c r="E162" s="14">
        <f>IF(ISNUMBER(D162), (D162 - $B162) / $B162, "")</f>
        <v>-2.0547945205479451E-2</v>
      </c>
      <c r="F162" s="16">
        <f>IF(ISNUMBER(D162), $B172 * E162, "")</f>
        <v>-2054.794520547945</v>
      </c>
      <c r="G162" s="29">
        <v>278</v>
      </c>
      <c r="H162" s="14">
        <f>IF(ISNUMBER(G162), (G162 - $B162) / $B162, "")</f>
        <v>-4.7945205479452052E-2</v>
      </c>
      <c r="I162" s="100">
        <f>IF(ISNUMBER(G162), $B172 * H162, "")</f>
        <v>-4794.5205479452052</v>
      </c>
      <c r="J162" s="13">
        <v>274</v>
      </c>
      <c r="K162" s="14">
        <f>IF(ISNUMBER(J162), (J162 - $B162) / $B162, "")</f>
        <v>-6.1643835616438353E-2</v>
      </c>
      <c r="L162" s="16">
        <f>IF(ISNUMBER(J162), $B172 * K162, "")</f>
        <v>-6164.3835616438355</v>
      </c>
      <c r="M162" s="29">
        <v>285</v>
      </c>
      <c r="N162" s="14">
        <f>IF(ISNUMBER(M162), (M162 - $B162) / $B162, "")</f>
        <v>-2.3972602739726026E-2</v>
      </c>
      <c r="O162" s="16">
        <f>IF(ISNUMBER(M162), $B172 * N162, "")</f>
        <v>-2397.2602739726026</v>
      </c>
      <c r="Q162" s="220"/>
      <c r="R162" s="221"/>
      <c r="S162" s="222"/>
    </row>
    <row r="163" spans="1:19" ht="17.25" thickBot="1">
      <c r="A163" s="125" t="s">
        <v>184</v>
      </c>
      <c r="B163" s="126">
        <v>873</v>
      </c>
      <c r="C163" s="77">
        <v>-0.1018518519</v>
      </c>
      <c r="D163" s="15">
        <v>838</v>
      </c>
      <c r="E163" s="32">
        <f t="shared" ref="E163:E166" si="86">IF(ISNUMBER(D163), (D163 - $B163) / $B163, "")</f>
        <v>-4.0091638029782363E-2</v>
      </c>
      <c r="F163" s="18">
        <f>IF(ISNUMBER(D163), $B172 * E163, "")</f>
        <v>-4009.1638029782362</v>
      </c>
      <c r="G163" s="31">
        <v>819</v>
      </c>
      <c r="H163" s="32">
        <f t="shared" ref="H163:H166" si="87">IF(ISNUMBER(G163), (G163 - $B163) / $B163, "")</f>
        <v>-6.1855670103092786E-2</v>
      </c>
      <c r="I163" s="101">
        <f>IF(ISNUMBER(G163), $B172 * H163, "")</f>
        <v>-6185.5670103092789</v>
      </c>
      <c r="J163" s="15">
        <v>816</v>
      </c>
      <c r="K163" s="32">
        <f t="shared" ref="K163:K166" si="88">IF(ISNUMBER(J163), (J163 - $B163) / $B163, "")</f>
        <v>-6.5292096219931275E-2</v>
      </c>
      <c r="L163" s="18">
        <f>IF(ISNUMBER(J163), $B172 * K163, "")</f>
        <v>-6529.2096219931273</v>
      </c>
      <c r="M163" s="31">
        <v>848</v>
      </c>
      <c r="N163" s="32">
        <f t="shared" ref="N163:N166" si="89">IF(ISNUMBER(M163), (M163 - $B163) / $B163, "")</f>
        <v>-2.8636884306987399E-2</v>
      </c>
      <c r="O163" s="18">
        <f>IF(ISNUMBER(M163), $B172 * N163, "")</f>
        <v>-2863.6884306987399</v>
      </c>
      <c r="Q163" s="223"/>
      <c r="R163" s="224"/>
      <c r="S163" s="225"/>
    </row>
    <row r="164" spans="1:19" ht="17.25" thickBot="1">
      <c r="A164" s="125" t="s">
        <v>233</v>
      </c>
      <c r="B164" s="126">
        <v>358</v>
      </c>
      <c r="C164" s="77">
        <v>-0.1072319202</v>
      </c>
      <c r="D164" s="15">
        <v>353</v>
      </c>
      <c r="E164" s="32">
        <f t="shared" si="86"/>
        <v>-1.3966480446927373E-2</v>
      </c>
      <c r="F164" s="18">
        <f>IF(ISNUMBER(D164), $B172 * E164, "")</f>
        <v>-1396.6480446927374</v>
      </c>
      <c r="G164" s="31">
        <v>342</v>
      </c>
      <c r="H164" s="32">
        <f t="shared" si="87"/>
        <v>-4.4692737430167599E-2</v>
      </c>
      <c r="I164" s="101">
        <f>IF(ISNUMBER(G164), $B172 * H164, "")</f>
        <v>-4469.2737430167599</v>
      </c>
      <c r="J164" s="15">
        <v>340</v>
      </c>
      <c r="K164" s="32">
        <f t="shared" si="88"/>
        <v>-5.027932960893855E-2</v>
      </c>
      <c r="L164" s="18">
        <f>IF(ISNUMBER(J164), $B172 * K164, "")</f>
        <v>-5027.9329608938551</v>
      </c>
      <c r="M164" s="31">
        <v>351</v>
      </c>
      <c r="N164" s="32">
        <f t="shared" si="89"/>
        <v>-1.9553072625698324E-2</v>
      </c>
      <c r="O164" s="18">
        <f>IF(ISNUMBER(M164), $B172 * N164, "")</f>
        <v>-1955.3072625698323</v>
      </c>
      <c r="Q164" s="216"/>
      <c r="R164" s="216"/>
      <c r="S164" s="216"/>
    </row>
    <row r="165" spans="1:19" ht="17.25" thickBot="1">
      <c r="A165" s="125" t="s">
        <v>255</v>
      </c>
      <c r="B165" s="126">
        <v>185</v>
      </c>
      <c r="C165" s="77">
        <v>-0.1105769231</v>
      </c>
      <c r="D165" s="15">
        <v>192</v>
      </c>
      <c r="E165" s="32">
        <f t="shared" si="86"/>
        <v>3.783783783783784E-2</v>
      </c>
      <c r="F165" s="18">
        <f>IF(ISNUMBER(D165), $B172 * E165, "")</f>
        <v>3783.7837837837842</v>
      </c>
      <c r="G165" s="31">
        <v>190</v>
      </c>
      <c r="H165" s="32">
        <f t="shared" si="87"/>
        <v>2.7027027027027029E-2</v>
      </c>
      <c r="I165" s="101">
        <f>IF(ISNUMBER(G165), $B172 * H165, "")</f>
        <v>2702.7027027027029</v>
      </c>
      <c r="J165" s="15">
        <v>190</v>
      </c>
      <c r="K165" s="32">
        <f t="shared" si="88"/>
        <v>2.7027027027027029E-2</v>
      </c>
      <c r="L165" s="18">
        <f>IF(ISNUMBER(J165), $B172 * K165, "")</f>
        <v>2702.7027027027029</v>
      </c>
      <c r="M165" s="31">
        <v>193</v>
      </c>
      <c r="N165" s="32">
        <f t="shared" si="89"/>
        <v>4.3243243243243246E-2</v>
      </c>
      <c r="O165" s="18">
        <f>IF(ISNUMBER(M165), $B172 * N165, "")</f>
        <v>4324.3243243243242</v>
      </c>
      <c r="Q165" s="226"/>
      <c r="R165" s="226"/>
      <c r="S165" s="226"/>
    </row>
    <row r="166" spans="1:19" ht="17.25" thickBot="1">
      <c r="A166" s="127" t="s">
        <v>206</v>
      </c>
      <c r="B166" s="128">
        <v>219</v>
      </c>
      <c r="C166" s="78">
        <v>-0.1133603239</v>
      </c>
      <c r="D166" s="20">
        <v>209</v>
      </c>
      <c r="E166" s="21">
        <f t="shared" si="86"/>
        <v>-4.5662100456621002E-2</v>
      </c>
      <c r="F166" s="22">
        <f>IF(ISNUMBER(D166), $B172 * E166, "")</f>
        <v>-4566.2100456621001</v>
      </c>
      <c r="G166" s="30">
        <v>203</v>
      </c>
      <c r="H166" s="21">
        <f t="shared" si="87"/>
        <v>-7.3059360730593603E-2</v>
      </c>
      <c r="I166" s="105">
        <f>IF(ISNUMBER(G166), $B172 * H166, "")</f>
        <v>-7305.9360730593608</v>
      </c>
      <c r="J166" s="20">
        <v>203</v>
      </c>
      <c r="K166" s="21">
        <f t="shared" si="88"/>
        <v>-7.3059360730593603E-2</v>
      </c>
      <c r="L166" s="22">
        <f>IF(ISNUMBER(J166), $B172 * K166, "")</f>
        <v>-7305.9360730593608</v>
      </c>
      <c r="M166" s="30">
        <v>208</v>
      </c>
      <c r="N166" s="21">
        <f t="shared" si="89"/>
        <v>-5.0228310502283102E-2</v>
      </c>
      <c r="O166" s="22">
        <f>IF(ISNUMBER(M166), $B172 * N166, "")</f>
        <v>-5022.8310502283102</v>
      </c>
      <c r="Q166" s="226"/>
      <c r="R166" s="226"/>
      <c r="S166" s="226"/>
    </row>
    <row r="167" spans="1:19" ht="17.25" thickBot="1">
      <c r="A167" s="125" t="s">
        <v>174</v>
      </c>
      <c r="B167" s="129">
        <v>218</v>
      </c>
      <c r="C167" s="80">
        <v>-0.1138211382</v>
      </c>
      <c r="D167" s="106">
        <v>220</v>
      </c>
      <c r="E167" s="107">
        <f>IF(ISNUMBER(D167), (D167 - $B167) / $B167, "")</f>
        <v>9.1743119266055051E-3</v>
      </c>
      <c r="F167" s="108">
        <f>IF(ISNUMBER(D167), $B172 * E167, "")</f>
        <v>917.43119266055055</v>
      </c>
      <c r="G167" s="109">
        <v>207</v>
      </c>
      <c r="H167" s="107">
        <f>IF(ISNUMBER(G167), (G167 - $B167) / $B167, "")</f>
        <v>-5.0458715596330278E-2</v>
      </c>
      <c r="I167" s="110">
        <f>IF(ISNUMBER(G167), $B172 * H167, "")</f>
        <v>-5045.8715596330276</v>
      </c>
      <c r="J167" s="106">
        <v>208</v>
      </c>
      <c r="K167" s="107">
        <f>IF(ISNUMBER(J167), (J167 - $B167) / $B167, "")</f>
        <v>-4.5871559633027525E-2</v>
      </c>
      <c r="L167" s="108">
        <f>IF(ISNUMBER(J167), $B172 * K167, "")</f>
        <v>-4587.1559633027528</v>
      </c>
      <c r="M167" s="109">
        <v>215</v>
      </c>
      <c r="N167" s="107">
        <f>IF(ISNUMBER(M167), (M167 - $B167) / $B167, "")</f>
        <v>-1.3761467889908258E-2</v>
      </c>
      <c r="O167" s="108">
        <f>IF(ISNUMBER(M167), $B172 * N167, "")</f>
        <v>-1376.1467889908258</v>
      </c>
      <c r="Q167" s="216"/>
      <c r="R167" s="216"/>
      <c r="S167" s="216"/>
    </row>
    <row r="168" spans="1:19" ht="17.25" thickBot="1">
      <c r="A168" s="125" t="s">
        <v>222</v>
      </c>
      <c r="B168" s="126">
        <v>102</v>
      </c>
      <c r="C168" s="77">
        <v>-0.1206896552</v>
      </c>
      <c r="D168" s="15">
        <v>106</v>
      </c>
      <c r="E168" s="32">
        <f t="shared" ref="E168:E171" si="90">IF(ISNUMBER(D168), (D168 - $B168) / $B168, "")</f>
        <v>3.9215686274509803E-2</v>
      </c>
      <c r="F168" s="18">
        <f>IF(ISNUMBER(D168), $B172 * E168, "")</f>
        <v>3921.5686274509803</v>
      </c>
      <c r="G168" s="31">
        <v>104</v>
      </c>
      <c r="H168" s="32">
        <f t="shared" ref="H168:H171" si="91">IF(ISNUMBER(G168), (G168 - $B168) / $B168, "")</f>
        <v>1.9607843137254902E-2</v>
      </c>
      <c r="I168" s="101">
        <f>IF(ISNUMBER(G168), $B172 * H168, "")</f>
        <v>1960.7843137254902</v>
      </c>
      <c r="J168" s="15">
        <v>103</v>
      </c>
      <c r="K168" s="32">
        <f t="shared" ref="K168:K171" si="92">IF(ISNUMBER(J168), (J168 - $B168) / $B168, "")</f>
        <v>9.8039215686274508E-3</v>
      </c>
      <c r="L168" s="18">
        <f>IF(ISNUMBER(J168), $B172 * K168, "")</f>
        <v>980.39215686274508</v>
      </c>
      <c r="M168" s="31">
        <v>103</v>
      </c>
      <c r="N168" s="32">
        <f t="shared" ref="N168:N171" si="93">IF(ISNUMBER(M168), (M168 - $B168) / $B168, "")</f>
        <v>9.8039215686274508E-3</v>
      </c>
      <c r="O168" s="18">
        <f>IF(ISNUMBER(M168), $B172 * N168, "")</f>
        <v>980.39215686274508</v>
      </c>
      <c r="Q168" s="216"/>
      <c r="R168" s="216"/>
      <c r="S168" s="216"/>
    </row>
    <row r="169" spans="1:19" ht="17.25" thickBot="1">
      <c r="A169" s="125" t="s">
        <v>253</v>
      </c>
      <c r="B169" s="126">
        <v>763</v>
      </c>
      <c r="C169" s="77">
        <v>-0.12096774189999999</v>
      </c>
      <c r="D169" s="15">
        <v>742</v>
      </c>
      <c r="E169" s="32">
        <f t="shared" si="90"/>
        <v>-2.7522935779816515E-2</v>
      </c>
      <c r="F169" s="18">
        <f>IF(ISNUMBER(D169), $B172 * E169, "")</f>
        <v>-2752.2935779816517</v>
      </c>
      <c r="G169" s="31">
        <v>721</v>
      </c>
      <c r="H169" s="32">
        <f t="shared" si="91"/>
        <v>-5.5045871559633031E-2</v>
      </c>
      <c r="I169" s="101">
        <f>IF(ISNUMBER(G169), $B172 * H169, "")</f>
        <v>-5504.5871559633033</v>
      </c>
      <c r="J169" s="15">
        <v>721</v>
      </c>
      <c r="K169" s="32">
        <f t="shared" si="92"/>
        <v>-5.5045871559633031E-2</v>
      </c>
      <c r="L169" s="18">
        <f>IF(ISNUMBER(J169), $B172 * K169, "")</f>
        <v>-5504.5871559633033</v>
      </c>
      <c r="M169" s="31">
        <v>748</v>
      </c>
      <c r="N169" s="32">
        <f t="shared" si="93"/>
        <v>-1.9659239842726082E-2</v>
      </c>
      <c r="O169" s="18">
        <f>IF(ISNUMBER(M169), $B172 * N169, "")</f>
        <v>-1965.9239842726081</v>
      </c>
      <c r="Q169" s="216"/>
      <c r="R169" s="216"/>
      <c r="S169" s="216"/>
    </row>
    <row r="170" spans="1:19">
      <c r="A170" s="125" t="s">
        <v>166</v>
      </c>
      <c r="B170" s="126">
        <v>120</v>
      </c>
      <c r="C170" s="77">
        <v>-0.1240875912</v>
      </c>
      <c r="D170" s="15">
        <v>138</v>
      </c>
      <c r="E170" s="32">
        <f t="shared" si="90"/>
        <v>0.15</v>
      </c>
      <c r="F170" s="18">
        <f>IF(ISNUMBER(D170), $B172 * E170, "")</f>
        <v>15000</v>
      </c>
      <c r="G170" s="31">
        <v>129</v>
      </c>
      <c r="H170" s="32">
        <f t="shared" si="91"/>
        <v>7.4999999999999997E-2</v>
      </c>
      <c r="I170" s="101">
        <f>IF(ISNUMBER(G170), $B172 * H170, "")</f>
        <v>7500</v>
      </c>
      <c r="J170" s="15">
        <v>129</v>
      </c>
      <c r="K170" s="32">
        <f t="shared" si="92"/>
        <v>7.4999999999999997E-2</v>
      </c>
      <c r="L170" s="18">
        <f>IF(ISNUMBER(J170), $B172 * K170, "")</f>
        <v>7500</v>
      </c>
      <c r="M170" s="31">
        <v>130</v>
      </c>
      <c r="N170" s="32">
        <f t="shared" si="93"/>
        <v>8.3333333333333329E-2</v>
      </c>
      <c r="O170" s="18">
        <f>IF(ISNUMBER(M170), $B172 * N170, "")</f>
        <v>8333.3333333333321</v>
      </c>
      <c r="Q170" s="205"/>
      <c r="R170" s="206"/>
      <c r="S170" s="207"/>
    </row>
    <row r="171" spans="1:19" ht="17.25" thickBot="1">
      <c r="A171" s="130" t="s">
        <v>110</v>
      </c>
      <c r="B171" s="131">
        <v>114</v>
      </c>
      <c r="C171" s="79">
        <v>-0.12977099240000001</v>
      </c>
      <c r="D171" s="24">
        <v>117</v>
      </c>
      <c r="E171" s="25">
        <f t="shared" si="90"/>
        <v>2.6315789473684209E-2</v>
      </c>
      <c r="F171" s="104">
        <f>IF(ISNUMBER(D171), $B172 * E171, "")</f>
        <v>2631.5789473684208</v>
      </c>
      <c r="G171" s="102">
        <v>113</v>
      </c>
      <c r="H171" s="25">
        <f t="shared" si="91"/>
        <v>-8.771929824561403E-3</v>
      </c>
      <c r="I171" s="103">
        <f>IF(ISNUMBER(G171), $B172 * H171, "")</f>
        <v>-877.19298245614027</v>
      </c>
      <c r="J171" s="24">
        <v>112</v>
      </c>
      <c r="K171" s="25">
        <f t="shared" si="92"/>
        <v>-1.7543859649122806E-2</v>
      </c>
      <c r="L171" s="104">
        <f>IF(ISNUMBER(J171), $B172 * K171, "")</f>
        <v>-1754.3859649122805</v>
      </c>
      <c r="M171" s="102">
        <v>114</v>
      </c>
      <c r="N171" s="25">
        <f t="shared" si="93"/>
        <v>0</v>
      </c>
      <c r="O171" s="104">
        <f>IF(ISNUMBER(M171), $B172 * N171, "")</f>
        <v>0</v>
      </c>
      <c r="Q171" s="208"/>
      <c r="R171" s="209"/>
      <c r="S171" s="210"/>
    </row>
    <row r="172" spans="1:19" ht="17.25" thickBot="1">
      <c r="A172" s="132" t="s">
        <v>271</v>
      </c>
      <c r="B172" s="269">
        <f>$B$37</f>
        <v>100000</v>
      </c>
      <c r="C172" s="270"/>
      <c r="D172" s="26" t="s">
        <v>272</v>
      </c>
      <c r="E172" s="27">
        <f>IF(COUNT(E152:E171), SUM(E152:E171) / COUNT(E152:E171), 0)</f>
        <v>1.4397426020467247E-2</v>
      </c>
      <c r="F172" s="28">
        <f>SUM(F152:F171)</f>
        <v>28794.852040934493</v>
      </c>
      <c r="G172" s="26" t="s">
        <v>272</v>
      </c>
      <c r="H172" s="27">
        <f>IF(COUNT(H152:H171), SUM(H152:H171) / COUNT(H152:H171), 0)</f>
        <v>-1.9295435496065792E-2</v>
      </c>
      <c r="I172" s="28">
        <f>SUM(I152:I171)</f>
        <v>-38590.870992131575</v>
      </c>
      <c r="J172" s="26" t="s">
        <v>272</v>
      </c>
      <c r="K172" s="27">
        <f>IF(COUNT(K152:K171), SUM(K152:K171) / COUNT(K152:K171), 0)</f>
        <v>-2.1805378417773906E-2</v>
      </c>
      <c r="L172" s="28">
        <f>SUM(L152:L171)</f>
        <v>-43610.756835547807</v>
      </c>
      <c r="M172" s="26" t="s">
        <v>272</v>
      </c>
      <c r="N172" s="27">
        <f>IF(COUNT(N152:N171), SUM(N152:N171) / COUNT(N152:N171), 0)</f>
        <v>-2.3179425470007892E-3</v>
      </c>
      <c r="O172" s="28">
        <f>SUM(O152:O171)</f>
        <v>-4635.8850940015764</v>
      </c>
      <c r="Q172" s="211"/>
      <c r="R172" s="212"/>
      <c r="S172" s="213"/>
    </row>
    <row r="174" spans="1:19" ht="17.25" thickBot="1"/>
    <row r="175" spans="1:19" ht="17.25" thickBot="1">
      <c r="A175" s="227" t="s">
        <v>256</v>
      </c>
      <c r="B175" s="228"/>
      <c r="C175" s="228"/>
      <c r="D175" s="228"/>
      <c r="E175" s="228"/>
      <c r="F175" s="228"/>
      <c r="G175" s="228"/>
      <c r="H175" s="228"/>
      <c r="I175" s="228"/>
      <c r="J175" s="228"/>
      <c r="K175" s="228"/>
      <c r="L175" s="228"/>
      <c r="M175" s="228"/>
      <c r="N175" s="228"/>
      <c r="O175" s="229"/>
      <c r="Q175" s="226"/>
      <c r="R175" s="226"/>
      <c r="S175" s="226"/>
    </row>
    <row r="176" spans="1:19" ht="17.25" thickBot="1">
      <c r="A176" s="189" t="s">
        <v>268</v>
      </c>
      <c r="B176" s="227" t="s">
        <v>49</v>
      </c>
      <c r="C176" s="229"/>
      <c r="D176" s="227" t="s">
        <v>58</v>
      </c>
      <c r="E176" s="228"/>
      <c r="F176" s="229"/>
      <c r="G176" s="230">
        <f>_xlfn.IFNA(VLOOKUP(B176, 현재가테이블!$B$2:$D$200, 2, FALSE), "-")</f>
        <v>39916000</v>
      </c>
      <c r="H176" s="231"/>
      <c r="I176" s="232"/>
      <c r="J176" s="227" t="s">
        <v>59</v>
      </c>
      <c r="K176" s="228"/>
      <c r="L176" s="229"/>
      <c r="M176" s="233">
        <f>_xlfn.IFNA(VLOOKUP(B176, 현재가테이블!$B$2:$D$200, 3, FALSE), "-")</f>
        <v>7.3184273000000003E-3</v>
      </c>
      <c r="N176" s="234"/>
      <c r="O176" s="235"/>
      <c r="Q176" s="226"/>
      <c r="R176" s="226"/>
      <c r="S176" s="226"/>
    </row>
    <row r="177" spans="1:19" ht="17.25" thickBot="1">
      <c r="A177" s="271" t="s">
        <v>55</v>
      </c>
      <c r="B177" s="267" t="str">
        <f>TEXT($G$1, "[$-ko-KR]yyyy-mm-dd(ddd) ") &amp; "오전 00:00"</f>
        <v>2021-07-09(금) 오전 00:00</v>
      </c>
      <c r="C177" s="268"/>
      <c r="D177" s="240" t="str">
        <f>TEXT($G$1, "[$-ko-KR]yyyy-mm-dd(ddd) ") &amp; "오후 14:00"</f>
        <v>2021-07-09(금) 오후 14:00</v>
      </c>
      <c r="E177" s="241"/>
      <c r="F177" s="242"/>
      <c r="G177" s="240" t="str">
        <f>TEXT($G$1, "[$-ko-KR]yyyy-mm-dd(ddd) ") &amp; "오후 19:00"</f>
        <v>2021-07-09(금) 오후 19:00</v>
      </c>
      <c r="H177" s="241"/>
      <c r="I177" s="242"/>
      <c r="J177" s="240" t="str">
        <f>TEXT($G$1, "[$-ko-KR]yyyy-mm-dd(ddd) ") &amp; "오후 21:00"</f>
        <v>2021-07-09(금) 오후 21:00</v>
      </c>
      <c r="K177" s="241"/>
      <c r="L177" s="242"/>
      <c r="M177" s="240" t="str">
        <f>TEXT($G$1+1, "[$-ko-KR]yyyy-mm-dd(ddd) ") &amp; "오전 00:00"</f>
        <v>2021-07-10(토) 오전 00:00</v>
      </c>
      <c r="N177" s="241"/>
      <c r="O177" s="242"/>
      <c r="Q177" s="226"/>
      <c r="R177" s="226"/>
      <c r="S177" s="226"/>
    </row>
    <row r="178" spans="1:19" ht="17.25" thickBot="1">
      <c r="A178" s="27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0" t="s">
        <v>58</v>
      </c>
      <c r="H178" s="191" t="s">
        <v>269</v>
      </c>
      <c r="I178" s="19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6"/>
      <c r="R178" s="216"/>
      <c r="S178" s="216"/>
    </row>
    <row r="179" spans="1:19" ht="17.25" thickBot="1">
      <c r="A179" s="123" t="s">
        <v>206</v>
      </c>
      <c r="B179" s="124">
        <v>219</v>
      </c>
      <c r="C179" s="76">
        <v>-0.1133603239</v>
      </c>
      <c r="D179" s="13">
        <v>209</v>
      </c>
      <c r="E179" s="14">
        <f>IF(ISNUMBER(D179), (D179 - $B179) / $B179, "")</f>
        <v>-4.5662100456621002E-2</v>
      </c>
      <c r="F179" s="16">
        <f>IF(ISNUMBER(D179), $B199 * E179, "")</f>
        <v>-4566.2100456621001</v>
      </c>
      <c r="G179" s="29">
        <v>203</v>
      </c>
      <c r="H179" s="14">
        <f>IF(ISNUMBER(G179), (G179 - $B179) / $B179, "")</f>
        <v>-7.3059360730593603E-2</v>
      </c>
      <c r="I179" s="100">
        <f>IF(ISNUMBER(G179), $B199 * H179, "")</f>
        <v>-7305.9360730593608</v>
      </c>
      <c r="J179" s="13">
        <v>203</v>
      </c>
      <c r="K179" s="14">
        <f>IF(ISNUMBER(J179), (J179 - $B179) / $B179, "")</f>
        <v>-7.3059360730593603E-2</v>
      </c>
      <c r="L179" s="16">
        <f>IF(ISNUMBER(J179), $B199 * K179, "")</f>
        <v>-7305.9360730593608</v>
      </c>
      <c r="M179" s="29">
        <v>208</v>
      </c>
      <c r="N179" s="14">
        <f>IF(ISNUMBER(M179), (M179 - $B179) / $B179, "")</f>
        <v>-5.0228310502283102E-2</v>
      </c>
      <c r="O179" s="16">
        <f>IF(ISNUMBER(M179), $B199 * N179, "")</f>
        <v>-5022.8310502283102</v>
      </c>
      <c r="Q179" s="226"/>
      <c r="R179" s="226"/>
      <c r="S179" s="226"/>
    </row>
    <row r="180" spans="1:19" ht="17.25" thickBot="1">
      <c r="A180" s="125" t="s">
        <v>174</v>
      </c>
      <c r="B180" s="126">
        <v>218</v>
      </c>
      <c r="C180" s="77">
        <v>-0.1138211382</v>
      </c>
      <c r="D180" s="15">
        <v>220</v>
      </c>
      <c r="E180" s="32">
        <f t="shared" ref="E180:E183" si="94">IF(ISNUMBER(D180), (D180 - $B180) / $B180, "")</f>
        <v>9.1743119266055051E-3</v>
      </c>
      <c r="F180" s="18">
        <f>IF(ISNUMBER(D180), $B199 * E180, "")</f>
        <v>917.43119266055055</v>
      </c>
      <c r="G180" s="31">
        <v>207</v>
      </c>
      <c r="H180" s="32">
        <f t="shared" ref="H180:H183" si="95">IF(ISNUMBER(G180), (G180 - $B180) / $B180, "")</f>
        <v>-5.0458715596330278E-2</v>
      </c>
      <c r="I180" s="101">
        <f>IF(ISNUMBER(G180), $B199 * H180, "")</f>
        <v>-5045.8715596330276</v>
      </c>
      <c r="J180" s="15">
        <v>208</v>
      </c>
      <c r="K180" s="32">
        <f t="shared" ref="K180:K183" si="96">IF(ISNUMBER(J180), (J180 - $B180) / $B180, "")</f>
        <v>-4.5871559633027525E-2</v>
      </c>
      <c r="L180" s="18">
        <f>IF(ISNUMBER(J180), $B199 * K180, "")</f>
        <v>-4587.1559633027528</v>
      </c>
      <c r="M180" s="31">
        <v>215</v>
      </c>
      <c r="N180" s="32">
        <f t="shared" ref="N180:N183" si="97">IF(ISNUMBER(M180), (M180 - $B180) / $B180, "")</f>
        <v>-1.3761467889908258E-2</v>
      </c>
      <c r="O180" s="18">
        <f>IF(ISNUMBER(M180), $B199 * N180, "")</f>
        <v>-1376.1467889908258</v>
      </c>
      <c r="Q180" s="226"/>
      <c r="R180" s="226"/>
      <c r="S180" s="226"/>
    </row>
    <row r="181" spans="1:19" ht="17.25" thickBot="1">
      <c r="A181" s="125" t="s">
        <v>122</v>
      </c>
      <c r="B181" s="126">
        <v>21.8</v>
      </c>
      <c r="C181" s="77">
        <v>-0.1138211382</v>
      </c>
      <c r="D181" s="15">
        <v>21.2</v>
      </c>
      <c r="E181" s="32">
        <f t="shared" si="94"/>
        <v>-2.7522935779816578E-2</v>
      </c>
      <c r="F181" s="18">
        <f>IF(ISNUMBER(D181), $B199 * E181, "")</f>
        <v>-2752.2935779816576</v>
      </c>
      <c r="G181" s="31">
        <v>20.6</v>
      </c>
      <c r="H181" s="32">
        <f t="shared" si="95"/>
        <v>-5.5045871559632996E-2</v>
      </c>
      <c r="I181" s="101">
        <f>IF(ISNUMBER(G181), $B199 * H181, "")</f>
        <v>-5504.5871559632997</v>
      </c>
      <c r="J181" s="15">
        <v>20.5</v>
      </c>
      <c r="K181" s="32">
        <f t="shared" si="96"/>
        <v>-5.9633027522935811E-2</v>
      </c>
      <c r="L181" s="18">
        <f>IF(ISNUMBER(J181), $B199 * K181, "")</f>
        <v>-5963.3027522935809</v>
      </c>
      <c r="M181" s="31">
        <v>21.6</v>
      </c>
      <c r="N181" s="32">
        <f t="shared" si="97"/>
        <v>-9.1743119266054721E-3</v>
      </c>
      <c r="O181" s="18">
        <f>IF(ISNUMBER(M181), $B199 * N181, "")</f>
        <v>-917.43119266054725</v>
      </c>
      <c r="Q181" s="216"/>
      <c r="R181" s="216"/>
      <c r="S181" s="216"/>
    </row>
    <row r="182" spans="1:19" ht="17.25" thickBot="1">
      <c r="A182" s="125" t="s">
        <v>245</v>
      </c>
      <c r="B182" s="126">
        <v>1095</v>
      </c>
      <c r="C182" s="77">
        <v>-0.1169354839</v>
      </c>
      <c r="D182" s="15">
        <v>1050</v>
      </c>
      <c r="E182" s="32">
        <f t="shared" si="94"/>
        <v>-4.1095890410958902E-2</v>
      </c>
      <c r="F182" s="18">
        <f>IF(ISNUMBER(D182), $B199 * E182, "")</f>
        <v>-4109.58904109589</v>
      </c>
      <c r="G182" s="31">
        <v>1030</v>
      </c>
      <c r="H182" s="32">
        <f t="shared" si="95"/>
        <v>-5.9360730593607303E-2</v>
      </c>
      <c r="I182" s="101">
        <f>IF(ISNUMBER(G182), $B199 * H182, "")</f>
        <v>-5936.0730593607304</v>
      </c>
      <c r="J182" s="15">
        <v>1020</v>
      </c>
      <c r="K182" s="32">
        <f t="shared" si="96"/>
        <v>-6.8493150684931503E-2</v>
      </c>
      <c r="L182" s="18">
        <f>IF(ISNUMBER(J182), $B199 * K182, "")</f>
        <v>-6849.3150684931506</v>
      </c>
      <c r="M182" s="31">
        <v>1050</v>
      </c>
      <c r="N182" s="32">
        <f t="shared" si="97"/>
        <v>-4.1095890410958902E-2</v>
      </c>
      <c r="O182" s="18">
        <f>IF(ISNUMBER(M182), $B199 * N182, "")</f>
        <v>-4109.58904109589</v>
      </c>
      <c r="Q182" s="216"/>
      <c r="R182" s="216"/>
      <c r="S182" s="216"/>
    </row>
    <row r="183" spans="1:19" ht="17.25" thickBot="1">
      <c r="A183" s="127" t="s">
        <v>216</v>
      </c>
      <c r="B183" s="128">
        <v>8.44</v>
      </c>
      <c r="C183" s="78">
        <v>-0.118077325</v>
      </c>
      <c r="D183" s="20">
        <v>8.1999999999999993</v>
      </c>
      <c r="E183" s="21">
        <f t="shared" si="94"/>
        <v>-2.8436018957345998E-2</v>
      </c>
      <c r="F183" s="22">
        <f>IF(ISNUMBER(D183), $B199 * E183, "")</f>
        <v>-2843.6018957346</v>
      </c>
      <c r="G183" s="30">
        <v>7.87</v>
      </c>
      <c r="H183" s="21">
        <f t="shared" si="95"/>
        <v>-6.7535545023696616E-2</v>
      </c>
      <c r="I183" s="105">
        <f>IF(ISNUMBER(G183), $B199 * H183, "")</f>
        <v>-6753.5545023696613</v>
      </c>
      <c r="J183" s="20">
        <v>7.78</v>
      </c>
      <c r="K183" s="21">
        <f t="shared" si="96"/>
        <v>-7.8199052132701341E-2</v>
      </c>
      <c r="L183" s="22">
        <f>IF(ISNUMBER(J183), $B199 * K183, "")</f>
        <v>-7819.9052132701345</v>
      </c>
      <c r="M183" s="30">
        <v>8.09</v>
      </c>
      <c r="N183" s="21">
        <f t="shared" si="97"/>
        <v>-4.1469194312796172E-2</v>
      </c>
      <c r="O183" s="22">
        <f>IF(ISNUMBER(M183), $B199 * N183, "")</f>
        <v>-4146.9194312796171</v>
      </c>
      <c r="Q183" s="216"/>
      <c r="R183" s="216"/>
      <c r="S183" s="216"/>
    </row>
    <row r="184" spans="1:19" ht="17.25" thickBot="1">
      <c r="A184" s="125" t="s">
        <v>212</v>
      </c>
      <c r="B184" s="129">
        <v>1080</v>
      </c>
      <c r="C184" s="80">
        <v>-0.1183673469</v>
      </c>
      <c r="D184" s="106">
        <v>1025</v>
      </c>
      <c r="E184" s="107">
        <f>IF(ISNUMBER(D184), (D184 - $B184) / $B184, "")</f>
        <v>-5.0925925925925923E-2</v>
      </c>
      <c r="F184" s="108">
        <f>IF(ISNUMBER(D184), $B199 * E184, "")</f>
        <v>-5092.5925925925922</v>
      </c>
      <c r="G184" s="109">
        <v>995</v>
      </c>
      <c r="H184" s="107">
        <f>IF(ISNUMBER(G184), (G184 - $B184) / $B184, "")</f>
        <v>-7.8703703703703706E-2</v>
      </c>
      <c r="I184" s="110">
        <f>IF(ISNUMBER(G184), $B199 * H184, "")</f>
        <v>-7870.3703703703704</v>
      </c>
      <c r="J184" s="106">
        <v>985</v>
      </c>
      <c r="K184" s="107">
        <f>IF(ISNUMBER(J184), (J184 - $B184) / $B184, "")</f>
        <v>-8.7962962962962965E-2</v>
      </c>
      <c r="L184" s="108">
        <f>IF(ISNUMBER(J184), $B199 * K184, "")</f>
        <v>-8796.2962962962956</v>
      </c>
      <c r="M184" s="109">
        <v>1010</v>
      </c>
      <c r="N184" s="107">
        <f>IF(ISNUMBER(M184), (M184 - $B184) / $B184, "")</f>
        <v>-6.4814814814814811E-2</v>
      </c>
      <c r="O184" s="108">
        <f>IF(ISNUMBER(M184), $B199 * N184, "")</f>
        <v>-6481.4814814814808</v>
      </c>
      <c r="Q184" s="216"/>
      <c r="R184" s="216"/>
      <c r="S184" s="216"/>
    </row>
    <row r="185" spans="1:19" ht="17.25" thickBot="1">
      <c r="A185" s="125" t="s">
        <v>204</v>
      </c>
      <c r="B185" s="126">
        <v>12.4</v>
      </c>
      <c r="C185" s="77">
        <v>-0.1205673759</v>
      </c>
      <c r="D185" s="15">
        <v>11.6</v>
      </c>
      <c r="E185" s="32">
        <f t="shared" ref="E185:E188" si="98">IF(ISNUMBER(D185), (D185 - $B185) / $B185, "")</f>
        <v>-6.4516129032258118E-2</v>
      </c>
      <c r="F185" s="18">
        <f>IF(ISNUMBER(D185), $B199 * E185, "")</f>
        <v>-6451.6129032258123</v>
      </c>
      <c r="G185" s="31">
        <v>11.1</v>
      </c>
      <c r="H185" s="32">
        <f t="shared" ref="H185:H188" si="99">IF(ISNUMBER(G185), (G185 - $B185) / $B185, "")</f>
        <v>-0.10483870967741941</v>
      </c>
      <c r="I185" s="101">
        <f>IF(ISNUMBER(G185), $B199 * H185, "")</f>
        <v>-10483.870967741941</v>
      </c>
      <c r="J185" s="15">
        <v>11.1</v>
      </c>
      <c r="K185" s="32">
        <f t="shared" ref="K185:K188" si="100">IF(ISNUMBER(J185), (J185 - $B185) / $B185, "")</f>
        <v>-0.10483870967741941</v>
      </c>
      <c r="L185" s="18">
        <f>IF(ISNUMBER(J185), $B199 * K185, "")</f>
        <v>-10483.870967741941</v>
      </c>
      <c r="M185" s="31">
        <v>11.5</v>
      </c>
      <c r="N185" s="32">
        <f t="shared" ref="N185:N188" si="101">IF(ISNUMBER(M185), (M185 - $B185) / $B185, "")</f>
        <v>-7.2580645161290355E-2</v>
      </c>
      <c r="O185" s="18">
        <f>IF(ISNUMBER(M185), $B199 * N185, "")</f>
        <v>-7258.0645161290358</v>
      </c>
      <c r="Q185" s="216"/>
      <c r="R185" s="216"/>
      <c r="S185" s="216"/>
    </row>
    <row r="186" spans="1:19" ht="17.25" thickBot="1">
      <c r="A186" s="125" t="s">
        <v>222</v>
      </c>
      <c r="B186" s="126">
        <v>102</v>
      </c>
      <c r="C186" s="77">
        <v>-0.1206896552</v>
      </c>
      <c r="D186" s="15">
        <v>106</v>
      </c>
      <c r="E186" s="32">
        <f t="shared" si="98"/>
        <v>3.9215686274509803E-2</v>
      </c>
      <c r="F186" s="18">
        <f>IF(ISNUMBER(D186), $B199 * E186, "")</f>
        <v>3921.5686274509803</v>
      </c>
      <c r="G186" s="31">
        <v>104</v>
      </c>
      <c r="H186" s="32">
        <f t="shared" si="99"/>
        <v>1.9607843137254902E-2</v>
      </c>
      <c r="I186" s="101">
        <f>IF(ISNUMBER(G186), $B199 * H186, "")</f>
        <v>1960.7843137254902</v>
      </c>
      <c r="J186" s="15">
        <v>103</v>
      </c>
      <c r="K186" s="32">
        <f t="shared" si="100"/>
        <v>9.8039215686274508E-3</v>
      </c>
      <c r="L186" s="18">
        <f>IF(ISNUMBER(J186), $B199 * K186, "")</f>
        <v>980.39215686274508</v>
      </c>
      <c r="M186" s="31">
        <v>103</v>
      </c>
      <c r="N186" s="32">
        <f t="shared" si="101"/>
        <v>9.8039215686274508E-3</v>
      </c>
      <c r="O186" s="18">
        <f>IF(ISNUMBER(M186), $B199 * N186, "")</f>
        <v>980.39215686274508</v>
      </c>
      <c r="Q186" s="216"/>
      <c r="R186" s="216"/>
      <c r="S186" s="216"/>
    </row>
    <row r="187" spans="1:19" ht="17.25" thickBot="1">
      <c r="A187" s="125" t="s">
        <v>188</v>
      </c>
      <c r="B187" s="126">
        <v>10.199999999999999</v>
      </c>
      <c r="C187" s="77">
        <v>-0.1206896552</v>
      </c>
      <c r="D187" s="15">
        <v>9.4700000000000006</v>
      </c>
      <c r="E187" s="32">
        <f t="shared" si="98"/>
        <v>-7.1568627450980263E-2</v>
      </c>
      <c r="F187" s="18">
        <f>IF(ISNUMBER(D187), $B199 * E187, "")</f>
        <v>-7156.8627450980266</v>
      </c>
      <c r="G187" s="31">
        <v>9.2200000000000006</v>
      </c>
      <c r="H187" s="32">
        <f t="shared" si="99"/>
        <v>-9.60784313725489E-2</v>
      </c>
      <c r="I187" s="101">
        <f>IF(ISNUMBER(G187), $B199 * H187, "")</f>
        <v>-9607.8431372548894</v>
      </c>
      <c r="J187" s="15">
        <v>9.17</v>
      </c>
      <c r="K187" s="32">
        <f t="shared" si="100"/>
        <v>-0.10098039215686269</v>
      </c>
      <c r="L187" s="18">
        <f>IF(ISNUMBER(J187), $B199 * K187, "")</f>
        <v>-10098.039215686269</v>
      </c>
      <c r="M187" s="31">
        <v>9.5</v>
      </c>
      <c r="N187" s="32">
        <f t="shared" si="101"/>
        <v>-6.8627450980392093E-2</v>
      </c>
      <c r="O187" s="18">
        <f>IF(ISNUMBER(M187), $B199 * N187, "")</f>
        <v>-6862.7450980392096</v>
      </c>
      <c r="Q187" s="33"/>
      <c r="R187" s="33"/>
    </row>
    <row r="188" spans="1:19" ht="17.25" thickBot="1">
      <c r="A188" s="130" t="s">
        <v>150</v>
      </c>
      <c r="B188" s="131">
        <v>9.32</v>
      </c>
      <c r="C188" s="79">
        <v>-0.120754717</v>
      </c>
      <c r="D188" s="24">
        <v>8.92</v>
      </c>
      <c r="E188" s="25">
        <f t="shared" si="98"/>
        <v>-4.2918454935622352E-2</v>
      </c>
      <c r="F188" s="104">
        <f>IF(ISNUMBER(D188), $B199 * E188, "")</f>
        <v>-4291.8454935622349</v>
      </c>
      <c r="G188" s="102">
        <v>8.56</v>
      </c>
      <c r="H188" s="25">
        <f t="shared" si="99"/>
        <v>-8.1545064377682372E-2</v>
      </c>
      <c r="I188" s="103">
        <f>IF(ISNUMBER(G188), $B199 * H188, "")</f>
        <v>-8154.5064377682374</v>
      </c>
      <c r="J188" s="24">
        <v>8.52</v>
      </c>
      <c r="K188" s="25">
        <f t="shared" si="100"/>
        <v>-8.5836909871244704E-2</v>
      </c>
      <c r="L188" s="104">
        <f>IF(ISNUMBER(J188), $B199 * K188, "")</f>
        <v>-8583.6909871244698</v>
      </c>
      <c r="M188" s="102">
        <v>8.89</v>
      </c>
      <c r="N188" s="25">
        <f t="shared" si="101"/>
        <v>-4.6137339055793959E-2</v>
      </c>
      <c r="O188" s="104">
        <f>IF(ISNUMBER(M188), $B199 * N188, "")</f>
        <v>-4613.7339055793955</v>
      </c>
      <c r="Q188" s="217"/>
      <c r="R188" s="218"/>
      <c r="S188" s="219"/>
    </row>
    <row r="189" spans="1:19">
      <c r="A189" s="123" t="s">
        <v>253</v>
      </c>
      <c r="B189" s="124">
        <v>763</v>
      </c>
      <c r="C189" s="76">
        <v>-0.12096774189999999</v>
      </c>
      <c r="D189" s="13">
        <v>742</v>
      </c>
      <c r="E189" s="14">
        <f>IF(ISNUMBER(D189), (D189 - $B189) / $B189, "")</f>
        <v>-2.7522935779816515E-2</v>
      </c>
      <c r="F189" s="16">
        <f>IF(ISNUMBER(D189), $B199 * E189, "")</f>
        <v>-2752.2935779816517</v>
      </c>
      <c r="G189" s="29">
        <v>721</v>
      </c>
      <c r="H189" s="14">
        <f>IF(ISNUMBER(G189), (G189 - $B189) / $B189, "")</f>
        <v>-5.5045871559633031E-2</v>
      </c>
      <c r="I189" s="100">
        <f>IF(ISNUMBER(G189), $B199 * H189, "")</f>
        <v>-5504.5871559633033</v>
      </c>
      <c r="J189" s="13">
        <v>721</v>
      </c>
      <c r="K189" s="14">
        <f>IF(ISNUMBER(J189), (J189 - $B189) / $B189, "")</f>
        <v>-5.5045871559633031E-2</v>
      </c>
      <c r="L189" s="16">
        <f>IF(ISNUMBER(J189), $B199 * K189, "")</f>
        <v>-5504.5871559633033</v>
      </c>
      <c r="M189" s="29">
        <v>748</v>
      </c>
      <c r="N189" s="14">
        <f>IF(ISNUMBER(M189), (M189 - $B189) / $B189, "")</f>
        <v>-1.9659239842726082E-2</v>
      </c>
      <c r="O189" s="16">
        <f>IF(ISNUMBER(M189), $B199 * N189, "")</f>
        <v>-1965.9239842726081</v>
      </c>
      <c r="Q189" s="220"/>
      <c r="R189" s="221"/>
      <c r="S189" s="222"/>
    </row>
    <row r="190" spans="1:19" ht="17.25" thickBot="1">
      <c r="A190" s="125" t="s">
        <v>239</v>
      </c>
      <c r="B190" s="126">
        <v>73.2</v>
      </c>
      <c r="C190" s="77">
        <v>-0.1212484994</v>
      </c>
      <c r="D190" s="15">
        <v>69.400000000000006</v>
      </c>
      <c r="E190" s="32">
        <f t="shared" ref="E190:E193" si="102">IF(ISNUMBER(D190), (D190 - $B190) / $B190, "")</f>
        <v>-5.1912568306010889E-2</v>
      </c>
      <c r="F190" s="18">
        <f>IF(ISNUMBER(D190), $B199 * E190, "")</f>
        <v>-5191.256830601089</v>
      </c>
      <c r="G190" s="31">
        <v>67.5</v>
      </c>
      <c r="H190" s="32">
        <f t="shared" ref="H190:H193" si="103">IF(ISNUMBER(G190), (G190 - $B190) / $B190, "")</f>
        <v>-7.7868852459016424E-2</v>
      </c>
      <c r="I190" s="101">
        <f>IF(ISNUMBER(G190), $B199 * H190, "")</f>
        <v>-7786.8852459016425</v>
      </c>
      <c r="J190" s="15">
        <v>66.900000000000006</v>
      </c>
      <c r="K190" s="32">
        <f t="shared" ref="K190:K193" si="104">IF(ISNUMBER(J190), (J190 - $B190) / $B190, "")</f>
        <v>-8.606557377049176E-2</v>
      </c>
      <c r="L190" s="18">
        <f>IF(ISNUMBER(J190), $B199 * K190, "")</f>
        <v>-8606.5573770491756</v>
      </c>
      <c r="M190" s="31">
        <v>69.3</v>
      </c>
      <c r="N190" s="32">
        <f t="shared" ref="N190:N193" si="105">IF(ISNUMBER(M190), (M190 - $B190) / $B190, "")</f>
        <v>-5.3278688524590237E-2</v>
      </c>
      <c r="O190" s="18">
        <f>IF(ISNUMBER(M190), $B199 * N190, "")</f>
        <v>-5327.8688524590234</v>
      </c>
      <c r="Q190" s="223"/>
      <c r="R190" s="224"/>
      <c r="S190" s="225"/>
    </row>
    <row r="191" spans="1:19" ht="17.25" thickBot="1">
      <c r="A191" s="125" t="s">
        <v>235</v>
      </c>
      <c r="B191" s="126">
        <v>53.4</v>
      </c>
      <c r="C191" s="77">
        <v>-0.1217105263</v>
      </c>
      <c r="D191" s="15">
        <v>52.6</v>
      </c>
      <c r="E191" s="32">
        <f t="shared" si="102"/>
        <v>-1.4981273408239647E-2</v>
      </c>
      <c r="F191" s="18">
        <f>IF(ISNUMBER(D191), $B199 * E191, "")</f>
        <v>-1498.1273408239647</v>
      </c>
      <c r="G191" s="31">
        <v>50.1</v>
      </c>
      <c r="H191" s="32">
        <f t="shared" si="103"/>
        <v>-6.1797752808988714E-2</v>
      </c>
      <c r="I191" s="101">
        <f>IF(ISNUMBER(G191), $B199 * H191, "")</f>
        <v>-6179.7752808988716</v>
      </c>
      <c r="J191" s="15">
        <v>49.1</v>
      </c>
      <c r="K191" s="32">
        <f t="shared" si="104"/>
        <v>-8.0524344569288336E-2</v>
      </c>
      <c r="L191" s="18">
        <f>IF(ISNUMBER(J191), $B199 * K191, "")</f>
        <v>-8052.4344569288332</v>
      </c>
      <c r="M191" s="31">
        <v>50.7</v>
      </c>
      <c r="N191" s="32">
        <f t="shared" si="105"/>
        <v>-5.0561797752808911E-2</v>
      </c>
      <c r="O191" s="18">
        <f>IF(ISNUMBER(M191), $B199 * N191, "")</f>
        <v>-5056.1797752808907</v>
      </c>
      <c r="Q191" s="216"/>
      <c r="R191" s="216"/>
      <c r="S191" s="216"/>
    </row>
    <row r="192" spans="1:19" ht="17.25" thickBot="1">
      <c r="A192" s="125" t="s">
        <v>67</v>
      </c>
      <c r="B192" s="126">
        <v>3310</v>
      </c>
      <c r="C192" s="77">
        <v>-0.1220159151</v>
      </c>
      <c r="D192" s="15">
        <v>3075</v>
      </c>
      <c r="E192" s="32">
        <f t="shared" si="102"/>
        <v>-7.0996978851963752E-2</v>
      </c>
      <c r="F192" s="18">
        <f>IF(ISNUMBER(D192), $B199 * E192, "")</f>
        <v>-7099.697885196375</v>
      </c>
      <c r="G192" s="31">
        <v>2980</v>
      </c>
      <c r="H192" s="32">
        <f t="shared" si="103"/>
        <v>-9.9697885196374625E-2</v>
      </c>
      <c r="I192" s="101">
        <f>IF(ISNUMBER(G192), $B199 * H192, "")</f>
        <v>-9969.7885196374627</v>
      </c>
      <c r="J192" s="15">
        <v>2955</v>
      </c>
      <c r="K192" s="32">
        <f t="shared" si="104"/>
        <v>-0.10725075528700906</v>
      </c>
      <c r="L192" s="18">
        <f>IF(ISNUMBER(J192), $B199 * K192, "")</f>
        <v>-10725.075528700905</v>
      </c>
      <c r="M192" s="31">
        <v>3060</v>
      </c>
      <c r="N192" s="32">
        <f t="shared" si="105"/>
        <v>-7.5528700906344406E-2</v>
      </c>
      <c r="O192" s="18">
        <f>IF(ISNUMBER(M192), $B199 * N192, "")</f>
        <v>-7552.8700906344402</v>
      </c>
      <c r="Q192" s="226"/>
      <c r="R192" s="226"/>
      <c r="S192" s="226"/>
    </row>
    <row r="193" spans="1:19" ht="17.25" thickBot="1">
      <c r="A193" s="127" t="s">
        <v>170</v>
      </c>
      <c r="B193" s="128">
        <v>18850</v>
      </c>
      <c r="C193" s="78">
        <v>-0.1228478362</v>
      </c>
      <c r="D193" s="20">
        <v>17620</v>
      </c>
      <c r="E193" s="21">
        <f t="shared" si="102"/>
        <v>-6.5251989389920426E-2</v>
      </c>
      <c r="F193" s="22">
        <f>IF(ISNUMBER(D193), $B199 * E193, "")</f>
        <v>-6525.1989389920427</v>
      </c>
      <c r="G193" s="30">
        <v>17400</v>
      </c>
      <c r="H193" s="21">
        <f t="shared" si="103"/>
        <v>-7.6923076923076927E-2</v>
      </c>
      <c r="I193" s="105">
        <f>IF(ISNUMBER(G193), $B199 * H193, "")</f>
        <v>-7692.3076923076924</v>
      </c>
      <c r="J193" s="20">
        <v>17260</v>
      </c>
      <c r="K193" s="21">
        <f t="shared" si="104"/>
        <v>-8.4350132625994695E-2</v>
      </c>
      <c r="L193" s="22">
        <f>IF(ISNUMBER(J193), $B199 * K193, "")</f>
        <v>-8435.0132625994702</v>
      </c>
      <c r="M193" s="30">
        <v>17870</v>
      </c>
      <c r="N193" s="21">
        <f t="shared" si="105"/>
        <v>-5.19893899204244E-2</v>
      </c>
      <c r="O193" s="22">
        <f>IF(ISNUMBER(M193), $B199 * N193, "")</f>
        <v>-5198.9389920424401</v>
      </c>
      <c r="Q193" s="226"/>
      <c r="R193" s="226"/>
      <c r="S193" s="226"/>
    </row>
    <row r="194" spans="1:19" ht="17.25" thickBot="1">
      <c r="A194" s="125" t="s">
        <v>120</v>
      </c>
      <c r="B194" s="129">
        <v>2810</v>
      </c>
      <c r="C194" s="80">
        <v>-0.1232449298</v>
      </c>
      <c r="D194" s="106">
        <v>2620</v>
      </c>
      <c r="E194" s="107">
        <f>IF(ISNUMBER(D194), (D194 - $B194) / $B194, "")</f>
        <v>-6.7615658362989328E-2</v>
      </c>
      <c r="F194" s="108">
        <f>IF(ISNUMBER(D194), $B199 * E194, "")</f>
        <v>-6761.5658362989325</v>
      </c>
      <c r="G194" s="109">
        <v>2510</v>
      </c>
      <c r="H194" s="107">
        <f>IF(ISNUMBER(G194), (G194 - $B194) / $B194, "")</f>
        <v>-0.10676156583629894</v>
      </c>
      <c r="I194" s="110">
        <f>IF(ISNUMBER(G194), $B199 * H194, "")</f>
        <v>-10676.156583629894</v>
      </c>
      <c r="J194" s="106">
        <v>2475</v>
      </c>
      <c r="K194" s="107">
        <f>IF(ISNUMBER(J194), (J194 - $B194) / $B194, "")</f>
        <v>-0.11921708185053381</v>
      </c>
      <c r="L194" s="108">
        <f>IF(ISNUMBER(J194), $B199 * K194, "")</f>
        <v>-11921.708185053381</v>
      </c>
      <c r="M194" s="109">
        <v>2580</v>
      </c>
      <c r="N194" s="107">
        <f>IF(ISNUMBER(M194), (M194 - $B194) / $B194, "")</f>
        <v>-8.1850533807829182E-2</v>
      </c>
      <c r="O194" s="108">
        <f>IF(ISNUMBER(M194), $B199 * N194, "")</f>
        <v>-8185.0533807829179</v>
      </c>
      <c r="Q194" s="216"/>
      <c r="R194" s="216"/>
      <c r="S194" s="216"/>
    </row>
    <row r="195" spans="1:19" ht="17.25" thickBot="1">
      <c r="A195" s="125" t="s">
        <v>190</v>
      </c>
      <c r="B195" s="126">
        <v>14.9</v>
      </c>
      <c r="C195" s="77">
        <v>-0.1235294118</v>
      </c>
      <c r="D195" s="15">
        <v>14</v>
      </c>
      <c r="E195" s="32">
        <f t="shared" ref="E195:E198" si="106">IF(ISNUMBER(D195), (D195 - $B195) / $B195, "")</f>
        <v>-6.0402684563758413E-2</v>
      </c>
      <c r="F195" s="18">
        <f>IF(ISNUMBER(D195), $B199 * E195, "")</f>
        <v>-6040.2684563758412</v>
      </c>
      <c r="G195" s="31">
        <v>13.6</v>
      </c>
      <c r="H195" s="32">
        <f t="shared" ref="H195:H198" si="107">IF(ISNUMBER(G195), (G195 - $B195) / $B195, "")</f>
        <v>-8.7248322147651047E-2</v>
      </c>
      <c r="I195" s="101">
        <f>IF(ISNUMBER(G195), $B199 * H195, "")</f>
        <v>-8724.8322147651052</v>
      </c>
      <c r="J195" s="15">
        <v>13.5</v>
      </c>
      <c r="K195" s="32">
        <f t="shared" ref="K195:K198" si="108">IF(ISNUMBER(J195), (J195 - $B195) / $B195, "")</f>
        <v>-9.3959731543624178E-2</v>
      </c>
      <c r="L195" s="18">
        <f>IF(ISNUMBER(J195), $B199 * K195, "")</f>
        <v>-9395.9731543624184</v>
      </c>
      <c r="M195" s="31">
        <v>14</v>
      </c>
      <c r="N195" s="32">
        <f t="shared" ref="N195:N198" si="109">IF(ISNUMBER(M195), (M195 - $B195) / $B195, "")</f>
        <v>-6.0402684563758413E-2</v>
      </c>
      <c r="O195" s="18">
        <f>IF(ISNUMBER(M195), $B199 * N195, "")</f>
        <v>-6040.2684563758412</v>
      </c>
      <c r="Q195" s="216"/>
      <c r="R195" s="216"/>
      <c r="S195" s="216"/>
    </row>
    <row r="196" spans="1:19" ht="17.25" thickBot="1">
      <c r="A196" s="125" t="s">
        <v>198</v>
      </c>
      <c r="B196" s="126">
        <v>16730</v>
      </c>
      <c r="C196" s="77">
        <v>-0.12362493450000001</v>
      </c>
      <c r="D196" s="15">
        <v>15390</v>
      </c>
      <c r="E196" s="32">
        <f t="shared" si="106"/>
        <v>-8.0095636580992224E-2</v>
      </c>
      <c r="F196" s="18">
        <f>IF(ISNUMBER(D196), $B199 * E196, "")</f>
        <v>-8009.5636580992223</v>
      </c>
      <c r="G196" s="31">
        <v>14570</v>
      </c>
      <c r="H196" s="32">
        <f t="shared" si="107"/>
        <v>-0.12910938433950986</v>
      </c>
      <c r="I196" s="101">
        <f>IF(ISNUMBER(G196), $B199 * H196, "")</f>
        <v>-12910.938433950985</v>
      </c>
      <c r="J196" s="15">
        <v>14420</v>
      </c>
      <c r="K196" s="32">
        <f t="shared" si="108"/>
        <v>-0.13807531380753138</v>
      </c>
      <c r="L196" s="18">
        <f>IF(ISNUMBER(J196), $B199 * K196, "")</f>
        <v>-13807.531380753138</v>
      </c>
      <c r="M196" s="31">
        <v>16160</v>
      </c>
      <c r="N196" s="32">
        <f t="shared" si="109"/>
        <v>-3.4070531978481769E-2</v>
      </c>
      <c r="O196" s="18">
        <f>IF(ISNUMBER(M196), $B199 * N196, "")</f>
        <v>-3407.0531978481768</v>
      </c>
      <c r="Q196" s="216"/>
      <c r="R196" s="216"/>
      <c r="S196" s="216"/>
    </row>
    <row r="197" spans="1:19">
      <c r="A197" s="125" t="s">
        <v>166</v>
      </c>
      <c r="B197" s="126">
        <v>120</v>
      </c>
      <c r="C197" s="77">
        <v>-0.1240875912</v>
      </c>
      <c r="D197" s="15">
        <v>138</v>
      </c>
      <c r="E197" s="32">
        <f t="shared" si="106"/>
        <v>0.15</v>
      </c>
      <c r="F197" s="18">
        <f>IF(ISNUMBER(D197), $B199 * E197, "")</f>
        <v>15000</v>
      </c>
      <c r="G197" s="31">
        <v>129</v>
      </c>
      <c r="H197" s="32">
        <f t="shared" si="107"/>
        <v>7.4999999999999997E-2</v>
      </c>
      <c r="I197" s="101">
        <f>IF(ISNUMBER(G197), $B199 * H197, "")</f>
        <v>7500</v>
      </c>
      <c r="J197" s="15">
        <v>129</v>
      </c>
      <c r="K197" s="32">
        <f t="shared" si="108"/>
        <v>7.4999999999999997E-2</v>
      </c>
      <c r="L197" s="18">
        <f>IF(ISNUMBER(J197), $B199 * K197, "")</f>
        <v>7500</v>
      </c>
      <c r="M197" s="31">
        <v>130</v>
      </c>
      <c r="N197" s="32">
        <f t="shared" si="109"/>
        <v>8.3333333333333329E-2</v>
      </c>
      <c r="O197" s="18">
        <f>IF(ISNUMBER(M197), $B199 * N197, "")</f>
        <v>8333.3333333333321</v>
      </c>
      <c r="Q197" s="205"/>
      <c r="R197" s="206"/>
      <c r="S197" s="207"/>
    </row>
    <row r="198" spans="1:19" ht="17.25" thickBot="1">
      <c r="A198" s="130" t="s">
        <v>110</v>
      </c>
      <c r="B198" s="131">
        <v>114</v>
      </c>
      <c r="C198" s="79">
        <v>-0.12977099240000001</v>
      </c>
      <c r="D198" s="24">
        <v>117</v>
      </c>
      <c r="E198" s="25">
        <f t="shared" si="106"/>
        <v>2.6315789473684209E-2</v>
      </c>
      <c r="F198" s="104">
        <f>IF(ISNUMBER(D198), $B199 * E198, "")</f>
        <v>2631.5789473684208</v>
      </c>
      <c r="G198" s="102">
        <v>113</v>
      </c>
      <c r="H198" s="25">
        <f t="shared" si="107"/>
        <v>-8.771929824561403E-3</v>
      </c>
      <c r="I198" s="103">
        <f>IF(ISNUMBER(G198), $B199 * H198, "")</f>
        <v>-877.19298245614027</v>
      </c>
      <c r="J198" s="24">
        <v>112</v>
      </c>
      <c r="K198" s="25">
        <f t="shared" si="108"/>
        <v>-1.7543859649122806E-2</v>
      </c>
      <c r="L198" s="104">
        <f>IF(ISNUMBER(J198), $B199 * K198, "")</f>
        <v>-1754.3859649122805</v>
      </c>
      <c r="M198" s="102">
        <v>114</v>
      </c>
      <c r="N198" s="25">
        <f t="shared" si="109"/>
        <v>0</v>
      </c>
      <c r="O198" s="104">
        <f>IF(ISNUMBER(M198), $B199 * N198, "")</f>
        <v>0</v>
      </c>
      <c r="Q198" s="208"/>
      <c r="R198" s="209"/>
      <c r="S198" s="210"/>
    </row>
    <row r="199" spans="1:19" ht="17.25" thickBot="1">
      <c r="A199" s="132" t="s">
        <v>271</v>
      </c>
      <c r="B199" s="269">
        <f>$B$37</f>
        <v>100000</v>
      </c>
      <c r="C199" s="270"/>
      <c r="D199" s="26" t="s">
        <v>272</v>
      </c>
      <c r="E199" s="27">
        <f>IF(COUNT(E179:E198), SUM(E179:E198) / COUNT(E179:E198), 0)</f>
        <v>-2.9336001025921044E-2</v>
      </c>
      <c r="F199" s="28">
        <f>SUM(F179:F198)</f>
        <v>-58672.002051842086</v>
      </c>
      <c r="G199" s="26" t="s">
        <v>272</v>
      </c>
      <c r="H199" s="27">
        <f>IF(COUNT(H179:H198), SUM(H179:H198) / COUNT(H179:H198), 0)</f>
        <v>-6.3762146529653577E-2</v>
      </c>
      <c r="I199" s="28">
        <f>SUM(I179:I198)</f>
        <v>-127524.29305930711</v>
      </c>
      <c r="J199" s="26" t="s">
        <v>272</v>
      </c>
      <c r="K199" s="27">
        <f>IF(COUNT(K179:K198), SUM(K179:K198) / COUNT(K179:K198), 0)</f>
        <v>-7.0105193423364076E-2</v>
      </c>
      <c r="L199" s="28">
        <f>SUM(L179:L198)</f>
        <v>-140210.38684672813</v>
      </c>
      <c r="M199" s="26" t="s">
        <v>272</v>
      </c>
      <c r="N199" s="27">
        <f>IF(COUNT(N179:N198), SUM(N179:N198) / COUNT(N179:N198), 0)</f>
        <v>-3.7104686872492285E-2</v>
      </c>
      <c r="O199" s="28">
        <f>SUM(O179:O198)</f>
        <v>-74209.373744984579</v>
      </c>
      <c r="Q199" s="211"/>
      <c r="R199" s="212"/>
      <c r="S199" s="2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F350F-8ADA-4864-8AD0-CB72B1786CE0}">
  <sheetPr codeName="Sheet16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7" t="s">
        <v>0</v>
      </c>
      <c r="B1" s="228"/>
      <c r="C1" s="228"/>
      <c r="D1" s="228"/>
      <c r="E1" s="228"/>
      <c r="F1" s="229"/>
      <c r="G1" s="258">
        <v>44387</v>
      </c>
      <c r="H1" s="259"/>
      <c r="I1" s="260"/>
      <c r="J1" s="227" t="s">
        <v>1</v>
      </c>
      <c r="K1" s="228"/>
      <c r="L1" s="228"/>
      <c r="M1" s="228"/>
      <c r="N1" s="228"/>
      <c r="O1" s="229"/>
      <c r="Q1" s="227" t="s">
        <v>2</v>
      </c>
      <c r="R1" s="229"/>
    </row>
    <row r="2" spans="1:19" ht="17.25" customHeight="1">
      <c r="A2" s="117" t="s">
        <v>3</v>
      </c>
      <c r="B2" s="261" t="s">
        <v>8</v>
      </c>
      <c r="C2" s="262"/>
      <c r="D2" s="262"/>
      <c r="E2" s="262"/>
      <c r="F2" s="263"/>
      <c r="G2" s="255" t="s">
        <v>46</v>
      </c>
      <c r="H2" s="256"/>
      <c r="I2" s="257"/>
      <c r="J2" s="1" t="s">
        <v>3</v>
      </c>
      <c r="K2" s="261" t="s">
        <v>321</v>
      </c>
      <c r="L2" s="262"/>
      <c r="M2" s="262"/>
      <c r="N2" s="262"/>
      <c r="O2" s="263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329</v>
      </c>
      <c r="C3" s="253"/>
      <c r="D3" s="253"/>
      <c r="E3" s="253"/>
      <c r="F3" s="254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30,373 KRW (1.52%)</v>
      </c>
      <c r="H3" s="249"/>
      <c r="I3" s="250"/>
      <c r="J3" s="4" t="s">
        <v>7</v>
      </c>
      <c r="K3" s="252" t="s">
        <v>322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55" t="s">
        <v>44</v>
      </c>
      <c r="H4" s="256"/>
      <c r="I4" s="257"/>
      <c r="J4" s="4" t="s">
        <v>11</v>
      </c>
      <c r="K4" s="252" t="s">
        <v>323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320</v>
      </c>
      <c r="C5" s="253"/>
      <c r="D5" s="253"/>
      <c r="E5" s="253"/>
      <c r="F5" s="254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51,142 KRW (2.56%)</v>
      </c>
      <c r="H5" s="249"/>
      <c r="I5" s="250"/>
      <c r="J5" s="4" t="s">
        <v>15</v>
      </c>
      <c r="K5" s="252" t="s">
        <v>324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55" t="s">
        <v>45</v>
      </c>
      <c r="H6" s="256"/>
      <c r="I6" s="257"/>
      <c r="J6" s="4" t="s">
        <v>18</v>
      </c>
      <c r="K6" s="252" t="s">
        <v>325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9,394 KRW (0.47%)</v>
      </c>
      <c r="H7" s="249"/>
      <c r="I7" s="250"/>
      <c r="J7" s="4" t="s">
        <v>21</v>
      </c>
      <c r="K7" s="252" t="s">
        <v>326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55" t="s">
        <v>256</v>
      </c>
      <c r="H8" s="256"/>
      <c r="I8" s="257"/>
      <c r="J8" s="4" t="s">
        <v>24</v>
      </c>
      <c r="K8" s="252"/>
      <c r="L8" s="253"/>
      <c r="M8" s="253"/>
      <c r="N8" s="253"/>
      <c r="O8" s="254"/>
      <c r="Q8" s="227" t="s">
        <v>27</v>
      </c>
      <c r="R8" s="229"/>
    </row>
    <row r="9" spans="1:19" ht="17.25" thickBot="1">
      <c r="A9" s="118" t="s">
        <v>28</v>
      </c>
      <c r="B9" s="252"/>
      <c r="C9" s="253"/>
      <c r="D9" s="253"/>
      <c r="E9" s="253"/>
      <c r="F9" s="254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77,908 KRW (3.90%)</v>
      </c>
      <c r="H9" s="249"/>
      <c r="I9" s="250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55" t="s">
        <v>47</v>
      </c>
      <c r="H10" s="256"/>
      <c r="I10" s="257"/>
      <c r="J10" s="4" t="s">
        <v>30</v>
      </c>
      <c r="K10" s="252" t="s">
        <v>327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45" t="s">
        <v>328</v>
      </c>
      <c r="C11" s="246"/>
      <c r="D11" s="246"/>
      <c r="E11" s="246"/>
      <c r="F11" s="247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45" t="s">
        <v>319</v>
      </c>
      <c r="L11" s="246"/>
      <c r="M11" s="246"/>
      <c r="N11" s="246"/>
      <c r="O11" s="247"/>
      <c r="Q11" s="65" t="s">
        <v>33</v>
      </c>
      <c r="R11" s="8">
        <v>1000</v>
      </c>
    </row>
    <row r="12" spans="1:19" ht="17.25" thickBot="1"/>
    <row r="13" spans="1:19" ht="17.25" customHeight="1" thickBot="1">
      <c r="A13" s="227" t="s">
        <v>34</v>
      </c>
      <c r="B13" s="228"/>
      <c r="C13" s="228"/>
      <c r="D13" s="228"/>
      <c r="E13" s="228"/>
      <c r="F13" s="228"/>
      <c r="G13" s="228"/>
      <c r="H13" s="228"/>
      <c r="I13" s="228"/>
      <c r="J13" s="228"/>
      <c r="K13" s="228"/>
      <c r="L13" s="228"/>
      <c r="M13" s="228"/>
      <c r="N13" s="228"/>
      <c r="O13" s="229"/>
      <c r="Q13" s="226"/>
      <c r="R13" s="226"/>
      <c r="S13" s="226"/>
    </row>
    <row r="14" spans="1:19" ht="17.25" customHeight="1" thickBot="1">
      <c r="A14" s="193" t="s">
        <v>35</v>
      </c>
      <c r="B14" s="227" t="s">
        <v>36</v>
      </c>
      <c r="C14" s="229"/>
      <c r="D14" s="227" t="s">
        <v>37</v>
      </c>
      <c r="E14" s="228"/>
      <c r="F14" s="229"/>
      <c r="G14" s="230">
        <f>_xlfn.IFNA(VLOOKUP(B14, 현재가테이블!$B$2:$D$200, 2, FALSE), "-")</f>
        <v>39916000</v>
      </c>
      <c r="H14" s="231"/>
      <c r="I14" s="232"/>
      <c r="J14" s="227" t="s">
        <v>38</v>
      </c>
      <c r="K14" s="228"/>
      <c r="L14" s="229"/>
      <c r="M14" s="233">
        <f>_xlfn.IFNA(VLOOKUP(B14, 현재가테이블!$B$2:$D$200, 3, FALSE), "-")</f>
        <v>7.3184273000000003E-3</v>
      </c>
      <c r="N14" s="234"/>
      <c r="O14" s="235"/>
      <c r="Q14" s="226"/>
      <c r="R14" s="226"/>
      <c r="S14" s="226"/>
    </row>
    <row r="15" spans="1:19" ht="17.25" customHeight="1" thickBot="1">
      <c r="A15" s="264" t="s">
        <v>39</v>
      </c>
      <c r="B15" s="265" t="str">
        <f>TEXT($G$1, "[$-ko-KR]yyyy-mm-dd(ddd) ") &amp; "오전 00:00"</f>
        <v>2021-07-10(토) 오전 00:00</v>
      </c>
      <c r="C15" s="266"/>
      <c r="D15" s="240" t="str">
        <f>TEXT($G$1, "[$-ko-KR]yyyy-mm-dd(ddd) ") &amp; "오후 14:00"</f>
        <v>2021-07-10(토) 오후 14:00</v>
      </c>
      <c r="E15" s="241"/>
      <c r="F15" s="242"/>
      <c r="G15" s="240" t="str">
        <f>TEXT($G$1, "[$-ko-KR]yyyy-mm-dd(ddd) ") &amp; "오후 19:00"</f>
        <v>2021-07-10(토) 오후 19:00</v>
      </c>
      <c r="H15" s="241"/>
      <c r="I15" s="242"/>
      <c r="J15" s="240" t="str">
        <f>TEXT($G$1, "[$-ko-KR]yyyy-mm-dd(ddd) ") &amp; "오후 21:00"</f>
        <v>2021-07-10(토) 오후 21:00</v>
      </c>
      <c r="K15" s="241"/>
      <c r="L15" s="242"/>
      <c r="M15" s="240" t="str">
        <f>TEXT($G$1+1, "[$-ko-KR]yyyy-mm-dd(ddd) ") &amp; "오전 00:00"</f>
        <v>2021-07-11(일) 오전 00:00</v>
      </c>
      <c r="N15" s="241"/>
      <c r="O15" s="242"/>
      <c r="Q15" s="226"/>
      <c r="R15" s="226"/>
      <c r="S15" s="226"/>
    </row>
    <row r="16" spans="1:19" ht="17.25" customHeight="1" thickBot="1">
      <c r="A16" s="26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6"/>
      <c r="R16" s="216"/>
      <c r="S16" s="21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6"/>
      <c r="R19" s="216"/>
      <c r="S19" s="21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6"/>
      <c r="R20" s="216"/>
      <c r="S20" s="21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6"/>
      <c r="R21" s="216"/>
      <c r="S21" s="21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6"/>
      <c r="R22" s="216"/>
      <c r="S22" s="21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6"/>
      <c r="R23" s="216"/>
      <c r="S23" s="21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6"/>
      <c r="R24" s="216"/>
      <c r="S24" s="21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6"/>
      <c r="R29" s="216"/>
      <c r="S29" s="21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6"/>
      <c r="R32" s="216"/>
      <c r="S32" s="21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6"/>
      <c r="R33" s="216"/>
      <c r="S33" s="21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6"/>
      <c r="R34" s="216"/>
      <c r="S34" s="21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5"/>
      <c r="R35" s="206"/>
      <c r="S35" s="2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8"/>
      <c r="R36" s="209"/>
      <c r="S36" s="210"/>
    </row>
    <row r="37" spans="1:19" ht="17.25" customHeight="1" thickBot="1">
      <c r="A37" s="132" t="s">
        <v>42</v>
      </c>
      <c r="B37" s="269">
        <v>100000</v>
      </c>
      <c r="C37" s="27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1"/>
      <c r="R37" s="212"/>
      <c r="S37" s="213"/>
    </row>
    <row r="38" spans="1:19" ht="17.25" customHeight="1"/>
    <row r="39" spans="1:19" ht="17.25" customHeight="1" thickBot="1"/>
    <row r="40" spans="1:19" ht="17.25" customHeight="1" thickBot="1">
      <c r="A40" s="227" t="s">
        <v>44</v>
      </c>
      <c r="B40" s="228"/>
      <c r="C40" s="228"/>
      <c r="D40" s="228"/>
      <c r="E40" s="228"/>
      <c r="F40" s="228"/>
      <c r="G40" s="228"/>
      <c r="H40" s="228"/>
      <c r="I40" s="228"/>
      <c r="J40" s="228"/>
      <c r="K40" s="228"/>
      <c r="L40" s="228"/>
      <c r="M40" s="228"/>
      <c r="N40" s="228"/>
      <c r="O40" s="229"/>
      <c r="Q40" s="226"/>
      <c r="R40" s="226"/>
      <c r="S40" s="226"/>
    </row>
    <row r="41" spans="1:19" ht="17.25" customHeight="1" thickBot="1">
      <c r="A41" s="193" t="s">
        <v>268</v>
      </c>
      <c r="B41" s="227" t="s">
        <v>49</v>
      </c>
      <c r="C41" s="229"/>
      <c r="D41" s="227" t="s">
        <v>58</v>
      </c>
      <c r="E41" s="228"/>
      <c r="F41" s="229"/>
      <c r="G41" s="230">
        <f>_xlfn.IFNA(VLOOKUP(B41, 현재가테이블!$B$2:$D$200, 2, FALSE), "-")</f>
        <v>39916000</v>
      </c>
      <c r="H41" s="231"/>
      <c r="I41" s="232"/>
      <c r="J41" s="227" t="s">
        <v>59</v>
      </c>
      <c r="K41" s="228"/>
      <c r="L41" s="229"/>
      <c r="M41" s="233">
        <f>_xlfn.IFNA(VLOOKUP(B41, 현재가테이블!$B$2:$D$200, 3, FALSE), "-")</f>
        <v>7.3184273000000003E-3</v>
      </c>
      <c r="N41" s="234"/>
      <c r="O41" s="235"/>
      <c r="Q41" s="226"/>
      <c r="R41" s="226"/>
      <c r="S41" s="226"/>
    </row>
    <row r="42" spans="1:19" ht="17.25" customHeight="1" thickBot="1">
      <c r="A42" s="271" t="s">
        <v>55</v>
      </c>
      <c r="B42" s="267" t="str">
        <f>TEXT($G$1, "[$-ko-KR]yyyy-mm-dd(ddd) ") &amp; "오전 00:00"</f>
        <v>2021-07-10(토) 오전 00:00</v>
      </c>
      <c r="C42" s="268"/>
      <c r="D42" s="240" t="str">
        <f>TEXT($G$1, "[$-ko-KR]yyyy-mm-dd(ddd) ") &amp; "오후 14:00"</f>
        <v>2021-07-10(토) 오후 14:00</v>
      </c>
      <c r="E42" s="241"/>
      <c r="F42" s="242"/>
      <c r="G42" s="240" t="str">
        <f>TEXT($G$1, "[$-ko-KR]yyyy-mm-dd(ddd) ") &amp; "오후 19:00"</f>
        <v>2021-07-10(토) 오후 19:00</v>
      </c>
      <c r="H42" s="241"/>
      <c r="I42" s="242"/>
      <c r="J42" s="240" t="str">
        <f>TEXT($G$1, "[$-ko-KR]yyyy-mm-dd(ddd) ") &amp; "오후 21:00"</f>
        <v>2021-07-10(토) 오후 21:00</v>
      </c>
      <c r="K42" s="241"/>
      <c r="L42" s="242"/>
      <c r="M42" s="240" t="str">
        <f>TEXT($G$1+1, "[$-ko-KR]yyyy-mm-dd(ddd) ") &amp; "오전 00:00"</f>
        <v>2021-07-11(일) 오전 00:00</v>
      </c>
      <c r="N42" s="241"/>
      <c r="O42" s="242"/>
      <c r="Q42" s="226"/>
      <c r="R42" s="226"/>
      <c r="S42" s="226"/>
    </row>
    <row r="43" spans="1:19" ht="17.25" customHeight="1" thickBot="1">
      <c r="A43" s="27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4" t="s">
        <v>58</v>
      </c>
      <c r="H43" s="195" t="s">
        <v>269</v>
      </c>
      <c r="I43" s="19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6"/>
      <c r="R43" s="216"/>
      <c r="S43" s="216"/>
    </row>
    <row r="44" spans="1:19" ht="17.25" customHeight="1" thickBot="1">
      <c r="A44" s="123" t="s">
        <v>98</v>
      </c>
      <c r="B44" s="124">
        <v>3</v>
      </c>
      <c r="C44" s="76">
        <v>1.3513513499999999E-2</v>
      </c>
      <c r="D44" s="13">
        <v>3</v>
      </c>
      <c r="E44" s="14">
        <f>IF(ISNUMBER(D44), (D44 - $B44) / $B44, "")</f>
        <v>0</v>
      </c>
      <c r="F44" s="16">
        <f>IF(ISNUMBER(D44), $B64 * E44, "")</f>
        <v>0</v>
      </c>
      <c r="G44" s="29">
        <v>2.97</v>
      </c>
      <c r="H44" s="14">
        <f>IF(ISNUMBER(G44), (G44 - $B44) / $B44, "")</f>
        <v>-9.9999999999999343E-3</v>
      </c>
      <c r="I44" s="100">
        <f>IF(ISNUMBER(G44), $B64 * H44, "")</f>
        <v>-999.99999999999341</v>
      </c>
      <c r="J44" s="13">
        <v>3</v>
      </c>
      <c r="K44" s="14">
        <f>IF(ISNUMBER(J44), (J44 - $B44) / $B44, "")</f>
        <v>0</v>
      </c>
      <c r="L44" s="16">
        <f>IF(ISNUMBER(J44), $B64 * K44, "")</f>
        <v>0</v>
      </c>
      <c r="M44" s="29">
        <v>2.98</v>
      </c>
      <c r="N44" s="14">
        <f>IF(ISNUMBER(M44), (M44 - $B44) / $B44, "")</f>
        <v>-6.6666666666666723E-3</v>
      </c>
      <c r="O44" s="16">
        <f>IF(ISNUMBER(M44), $B64 * N44, "")</f>
        <v>-666.6666666666672</v>
      </c>
      <c r="Q44" s="226"/>
      <c r="R44" s="226"/>
      <c r="S44" s="226"/>
    </row>
    <row r="45" spans="1:19" ht="17.25" customHeight="1" thickBot="1">
      <c r="A45" s="125" t="s">
        <v>152</v>
      </c>
      <c r="B45" s="126">
        <v>73.5</v>
      </c>
      <c r="C45" s="77">
        <v>1.2396694200000001E-2</v>
      </c>
      <c r="D45" s="15">
        <v>73.3</v>
      </c>
      <c r="E45" s="32">
        <f t="shared" ref="E45:E48" si="14">IF(ISNUMBER(D45), (D45 - $B45) / $B45, "")</f>
        <v>-2.7210884353741885E-3</v>
      </c>
      <c r="F45" s="18">
        <f>IF(ISNUMBER(D45), $B64 * E45, "")</f>
        <v>-272.10884353741886</v>
      </c>
      <c r="G45" s="31">
        <v>72.900000000000006</v>
      </c>
      <c r="H45" s="32">
        <f t="shared" ref="H45:H48" si="15">IF(ISNUMBER(G45), (G45 - $B45) / $B45, "")</f>
        <v>-8.1632653061223717E-3</v>
      </c>
      <c r="I45" s="101">
        <f>IF(ISNUMBER(G45), $B64 * H45, "")</f>
        <v>-816.32653061223721</v>
      </c>
      <c r="J45" s="15">
        <v>74</v>
      </c>
      <c r="K45" s="32">
        <f t="shared" ref="K45:K48" si="16">IF(ISNUMBER(J45), (J45 - $B45) / $B45, "")</f>
        <v>6.8027210884353739E-3</v>
      </c>
      <c r="L45" s="18">
        <f>IF(ISNUMBER(J45), $B64 * K45, "")</f>
        <v>680.27210884353735</v>
      </c>
      <c r="M45" s="31">
        <v>72.8</v>
      </c>
      <c r="N45" s="32">
        <f t="shared" ref="N45:N48" si="17">IF(ISNUMBER(M45), (M45 - $B45) / $B45, "")</f>
        <v>-9.5238095238095628E-3</v>
      </c>
      <c r="O45" s="18">
        <f>IF(ISNUMBER(M45), $B64 * N45, "")</f>
        <v>-952.38095238095627</v>
      </c>
      <c r="Q45" s="226"/>
      <c r="R45" s="226"/>
      <c r="S45" s="226"/>
    </row>
    <row r="46" spans="1:19" ht="17.25" customHeight="1" thickBot="1">
      <c r="A46" s="125" t="s">
        <v>128</v>
      </c>
      <c r="B46" s="126">
        <v>91.5</v>
      </c>
      <c r="C46" s="77">
        <v>8.8202867000000008E-3</v>
      </c>
      <c r="D46" s="15">
        <v>91.5</v>
      </c>
      <c r="E46" s="32">
        <f t="shared" si="14"/>
        <v>0</v>
      </c>
      <c r="F46" s="18">
        <f>IF(ISNUMBER(D46), $B64 * E46, "")</f>
        <v>0</v>
      </c>
      <c r="G46" s="31">
        <v>90.3</v>
      </c>
      <c r="H46" s="32">
        <f t="shared" si="15"/>
        <v>-1.3114754098360687E-2</v>
      </c>
      <c r="I46" s="101">
        <f>IF(ISNUMBER(G46), $B64 * H46, "")</f>
        <v>-1311.4754098360686</v>
      </c>
      <c r="J46" s="15">
        <v>90.8</v>
      </c>
      <c r="K46" s="32">
        <f t="shared" si="16"/>
        <v>-7.6502732240437471E-3</v>
      </c>
      <c r="L46" s="18">
        <f>IF(ISNUMBER(J46), $B64 * K46, "")</f>
        <v>-765.02732240437467</v>
      </c>
      <c r="M46" s="31">
        <v>90.2</v>
      </c>
      <c r="N46" s="32">
        <f t="shared" si="17"/>
        <v>-1.4207650273224013E-2</v>
      </c>
      <c r="O46" s="18">
        <f>IF(ISNUMBER(M46), $B64 * N46, "")</f>
        <v>-1420.7650273224012</v>
      </c>
      <c r="Q46" s="216"/>
      <c r="R46" s="216"/>
      <c r="S46" s="216"/>
    </row>
    <row r="47" spans="1:19" ht="17.25" customHeight="1" thickBot="1">
      <c r="A47" s="125" t="s">
        <v>130</v>
      </c>
      <c r="B47" s="126">
        <v>82.2</v>
      </c>
      <c r="C47" s="77">
        <v>8.5889571000000008E-3</v>
      </c>
      <c r="D47" s="15">
        <v>82.3</v>
      </c>
      <c r="E47" s="32">
        <f t="shared" si="14"/>
        <v>1.216545012165381E-3</v>
      </c>
      <c r="F47" s="18">
        <f>IF(ISNUMBER(D47), $B64 * E47, "")</f>
        <v>121.65450121653809</v>
      </c>
      <c r="G47" s="31">
        <v>82.6</v>
      </c>
      <c r="H47" s="32">
        <f t="shared" si="15"/>
        <v>4.8661800486616965E-3</v>
      </c>
      <c r="I47" s="101">
        <f>IF(ISNUMBER(G47), $B64 * H47, "")</f>
        <v>486.61800486616966</v>
      </c>
      <c r="J47" s="15">
        <v>82.5</v>
      </c>
      <c r="K47" s="32">
        <f t="shared" si="16"/>
        <v>3.6496350364963156E-3</v>
      </c>
      <c r="L47" s="18">
        <f>IF(ISNUMBER(J47), $B64 * K47, "")</f>
        <v>364.96350364963155</v>
      </c>
      <c r="M47" s="31">
        <v>82.3</v>
      </c>
      <c r="N47" s="32">
        <f t="shared" si="17"/>
        <v>1.216545012165381E-3</v>
      </c>
      <c r="O47" s="18">
        <f>IF(ISNUMBER(M47), $B64 * N47, "")</f>
        <v>121.65450121653809</v>
      </c>
      <c r="Q47" s="216"/>
      <c r="R47" s="216"/>
      <c r="S47" s="216"/>
    </row>
    <row r="48" spans="1:19" ht="17.25" customHeight="1" thickBot="1">
      <c r="A48" s="127" t="s">
        <v>251</v>
      </c>
      <c r="B48" s="128">
        <v>59.9</v>
      </c>
      <c r="C48" s="78">
        <v>8.4175084000000008E-3</v>
      </c>
      <c r="D48" s="20">
        <v>60.6</v>
      </c>
      <c r="E48" s="21">
        <f t="shared" si="14"/>
        <v>1.1686143572621082E-2</v>
      </c>
      <c r="F48" s="22">
        <f>IF(ISNUMBER(D48), $B64 * E48, "")</f>
        <v>1168.6143572621081</v>
      </c>
      <c r="G48" s="30">
        <v>61.1</v>
      </c>
      <c r="H48" s="21">
        <f t="shared" si="15"/>
        <v>2.0033388981636108E-2</v>
      </c>
      <c r="I48" s="105">
        <f>IF(ISNUMBER(G48), $B64 * H48, "")</f>
        <v>2003.3388981636108</v>
      </c>
      <c r="J48" s="20">
        <v>62.8</v>
      </c>
      <c r="K48" s="21">
        <f t="shared" si="16"/>
        <v>4.8414023372287125E-2</v>
      </c>
      <c r="L48" s="22">
        <f>IF(ISNUMBER(J48), $B64 * K48, "")</f>
        <v>4841.4023372287129</v>
      </c>
      <c r="M48" s="30">
        <v>60.1</v>
      </c>
      <c r="N48" s="21">
        <f t="shared" si="17"/>
        <v>3.3388981636060574E-3</v>
      </c>
      <c r="O48" s="22">
        <f>IF(ISNUMBER(M48), $B64 * N48, "")</f>
        <v>333.88981636060572</v>
      </c>
      <c r="Q48" s="216"/>
      <c r="R48" s="216"/>
      <c r="S48" s="216"/>
    </row>
    <row r="49" spans="1:19" ht="17.25" customHeight="1" thickBot="1">
      <c r="A49" s="125" t="s">
        <v>162</v>
      </c>
      <c r="B49" s="129">
        <v>74.8</v>
      </c>
      <c r="C49" s="80">
        <v>0</v>
      </c>
      <c r="D49" s="106">
        <v>76.400000000000006</v>
      </c>
      <c r="E49" s="107">
        <f>IF(ISNUMBER(D49), (D49 - $B49) / $B49, "")</f>
        <v>2.1390374331550915E-2</v>
      </c>
      <c r="F49" s="108">
        <f>IF(ISNUMBER(D49), $B64 * E49, "")</f>
        <v>2139.0374331550915</v>
      </c>
      <c r="G49" s="109">
        <v>76</v>
      </c>
      <c r="H49" s="107">
        <f>IF(ISNUMBER(G49), (G49 - $B49) / $B49, "")</f>
        <v>1.6042780748663141E-2</v>
      </c>
      <c r="I49" s="110">
        <f>IF(ISNUMBER(G49), $B64 * H49, "")</f>
        <v>1604.2780748663142</v>
      </c>
      <c r="J49" s="106">
        <v>76</v>
      </c>
      <c r="K49" s="107">
        <f>IF(ISNUMBER(J49), (J49 - $B49) / $B49, "")</f>
        <v>1.6042780748663141E-2</v>
      </c>
      <c r="L49" s="108">
        <f>IF(ISNUMBER(J49), $B64 * K49, "")</f>
        <v>1604.2780748663142</v>
      </c>
      <c r="M49" s="109">
        <v>76.099999999999994</v>
      </c>
      <c r="N49" s="107">
        <f>IF(ISNUMBER(M49), (M49 - $B49) / $B49, "")</f>
        <v>1.7379679144384989E-2</v>
      </c>
      <c r="O49" s="108">
        <f>IF(ISNUMBER(M49), $B64 * N49, "")</f>
        <v>1737.9679144384988</v>
      </c>
      <c r="Q49" s="216"/>
      <c r="R49" s="216"/>
      <c r="S49" s="216"/>
    </row>
    <row r="50" spans="1:19" ht="17.25" customHeight="1" thickBot="1">
      <c r="A50" s="125" t="s">
        <v>65</v>
      </c>
      <c r="B50" s="126">
        <v>24.9</v>
      </c>
      <c r="C50" s="77">
        <v>-4.0000000000000001E-3</v>
      </c>
      <c r="D50" s="15">
        <v>24.9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24.8</v>
      </c>
      <c r="H50" s="32">
        <f t="shared" ref="H50:H53" si="19">IF(ISNUMBER(G50), (G50 - $B50) / $B50, "")</f>
        <v>-4.0160642570280271E-3</v>
      </c>
      <c r="I50" s="101">
        <f>IF(ISNUMBER(G50), $B64 * H50, "")</f>
        <v>-401.60642570280271</v>
      </c>
      <c r="J50" s="15">
        <v>24.7</v>
      </c>
      <c r="K50" s="32">
        <f t="shared" ref="K50:K53" si="20">IF(ISNUMBER(J50), (J50 - $B50) / $B50, "")</f>
        <v>-8.0321285140561964E-3</v>
      </c>
      <c r="L50" s="18">
        <f>IF(ISNUMBER(J50), $B64 * K50, "")</f>
        <v>-803.21285140561963</v>
      </c>
      <c r="M50" s="31">
        <v>24.6</v>
      </c>
      <c r="N50" s="32">
        <f t="shared" ref="N50:N53" si="21">IF(ISNUMBER(M50), (M50 - $B50) / $B50, "")</f>
        <v>-1.2048192771084223E-2</v>
      </c>
      <c r="O50" s="18">
        <f>IF(ISNUMBER(M50), $B64 * N50, "")</f>
        <v>-1204.8192771084223</v>
      </c>
      <c r="Q50" s="216"/>
      <c r="R50" s="216"/>
      <c r="S50" s="216"/>
    </row>
    <row r="51" spans="1:19" ht="17.25" customHeight="1" thickBot="1">
      <c r="A51" s="125" t="s">
        <v>202</v>
      </c>
      <c r="B51" s="126">
        <v>53</v>
      </c>
      <c r="C51" s="77">
        <v>-7.4906367E-3</v>
      </c>
      <c r="D51" s="15">
        <v>53.7</v>
      </c>
      <c r="E51" s="32">
        <f t="shared" si="18"/>
        <v>1.3207547169811375E-2</v>
      </c>
      <c r="F51" s="18">
        <f>IF(ISNUMBER(D51), $B64 * E51, "")</f>
        <v>1320.7547169811376</v>
      </c>
      <c r="G51" s="31">
        <v>53.5</v>
      </c>
      <c r="H51" s="32">
        <f t="shared" si="19"/>
        <v>9.433962264150943E-3</v>
      </c>
      <c r="I51" s="101">
        <f>IF(ISNUMBER(G51), $B64 * H51, "")</f>
        <v>943.39622641509425</v>
      </c>
      <c r="J51" s="15">
        <v>53.7</v>
      </c>
      <c r="K51" s="32">
        <f t="shared" si="20"/>
        <v>1.3207547169811375E-2</v>
      </c>
      <c r="L51" s="18">
        <f>IF(ISNUMBER(J51), $B64 * K51, "")</f>
        <v>1320.7547169811376</v>
      </c>
      <c r="M51" s="31">
        <v>53.8</v>
      </c>
      <c r="N51" s="32">
        <f t="shared" si="21"/>
        <v>1.5094339622641456E-2</v>
      </c>
      <c r="O51" s="18">
        <f>IF(ISNUMBER(M51), $B64 * N51, "")</f>
        <v>1509.4339622641455</v>
      </c>
      <c r="Q51" s="216"/>
      <c r="R51" s="216"/>
      <c r="S51" s="216"/>
    </row>
    <row r="52" spans="1:19" ht="17.25" customHeight="1" thickBot="1">
      <c r="A52" s="125" t="s">
        <v>144</v>
      </c>
      <c r="B52" s="126">
        <v>84.4</v>
      </c>
      <c r="C52" s="77">
        <v>-9.3896714000000006E-3</v>
      </c>
      <c r="D52" s="15">
        <v>84.8</v>
      </c>
      <c r="E52" s="32">
        <f t="shared" si="18"/>
        <v>4.7393364928908941E-3</v>
      </c>
      <c r="F52" s="18">
        <f>IF(ISNUMBER(D52), $B64 * E52, "")</f>
        <v>473.93364928908943</v>
      </c>
      <c r="G52" s="31">
        <v>83</v>
      </c>
      <c r="H52" s="32">
        <f t="shared" si="19"/>
        <v>-1.6587677725118551E-2</v>
      </c>
      <c r="I52" s="101">
        <f>IF(ISNUMBER(G52), $B64 * H52, "")</f>
        <v>-1658.7677725118551</v>
      </c>
      <c r="J52" s="15">
        <v>83.6</v>
      </c>
      <c r="K52" s="32">
        <f t="shared" si="20"/>
        <v>-9.4786729857821248E-3</v>
      </c>
      <c r="L52" s="18">
        <f>IF(ISNUMBER(J52), $B64 * K52, "")</f>
        <v>-947.86729857821251</v>
      </c>
      <c r="M52" s="31">
        <v>83.3</v>
      </c>
      <c r="N52" s="32">
        <f t="shared" si="21"/>
        <v>-1.3033175355450337E-2</v>
      </c>
      <c r="O52" s="18">
        <f>IF(ISNUMBER(M52), $B64 * N52, "")</f>
        <v>-1303.3175355450337</v>
      </c>
      <c r="Q52" s="33"/>
      <c r="R52" s="33"/>
    </row>
    <row r="53" spans="1:19" ht="17.25" customHeight="1" thickBot="1">
      <c r="A53" s="130" t="s">
        <v>216</v>
      </c>
      <c r="B53" s="131">
        <v>8.09</v>
      </c>
      <c r="C53" s="79">
        <v>-1.1002445E-2</v>
      </c>
      <c r="D53" s="24">
        <v>8.41</v>
      </c>
      <c r="E53" s="25">
        <f t="shared" si="18"/>
        <v>3.9555006180469754E-2</v>
      </c>
      <c r="F53" s="104">
        <f>IF(ISNUMBER(D53), $B64 * E53, "")</f>
        <v>3955.5006180469754</v>
      </c>
      <c r="G53" s="102">
        <v>8.39</v>
      </c>
      <c r="H53" s="25">
        <f t="shared" si="19"/>
        <v>3.7082818294190446E-2</v>
      </c>
      <c r="I53" s="103">
        <f>IF(ISNUMBER(G53), $B64 * H53, "")</f>
        <v>3708.2818294190447</v>
      </c>
      <c r="J53" s="24">
        <v>8.36</v>
      </c>
      <c r="K53" s="25">
        <f t="shared" si="20"/>
        <v>3.3374536464771273E-2</v>
      </c>
      <c r="L53" s="104">
        <f>IF(ISNUMBER(J53), $B64 * K53, "")</f>
        <v>3337.4536464771272</v>
      </c>
      <c r="M53" s="102">
        <v>8.2799999999999994</v>
      </c>
      <c r="N53" s="25">
        <f t="shared" si="21"/>
        <v>2.3485784919653831E-2</v>
      </c>
      <c r="O53" s="104">
        <f>IF(ISNUMBER(M53), $B64 * N53, "")</f>
        <v>2348.5784919653834</v>
      </c>
      <c r="Q53" s="217"/>
      <c r="R53" s="218"/>
      <c r="S53" s="219"/>
    </row>
    <row r="54" spans="1:19" ht="17.25" customHeight="1">
      <c r="A54" s="123" t="s">
        <v>132</v>
      </c>
      <c r="B54" s="124">
        <v>88</v>
      </c>
      <c r="C54" s="76">
        <v>-1.2345679E-2</v>
      </c>
      <c r="D54" s="13">
        <v>87</v>
      </c>
      <c r="E54" s="14">
        <f>IF(ISNUMBER(D54), (D54 - $B54) / $B54, "")</f>
        <v>-1.1363636363636364E-2</v>
      </c>
      <c r="F54" s="16">
        <f>IF(ISNUMBER(D54), $B64 * E54, "")</f>
        <v>-1136.3636363636365</v>
      </c>
      <c r="G54" s="29">
        <v>86.3</v>
      </c>
      <c r="H54" s="14">
        <f>IF(ISNUMBER(G54), (G54 - $B54) / $B54, "")</f>
        <v>-1.9318181818181849E-2</v>
      </c>
      <c r="I54" s="100">
        <f>IF(ISNUMBER(G54), $B64 * H54, "")</f>
        <v>-1931.8181818181849</v>
      </c>
      <c r="J54" s="13">
        <v>86.8</v>
      </c>
      <c r="K54" s="14">
        <f>IF(ISNUMBER(J54), (J54 - $B54) / $B54, "")</f>
        <v>-1.3636363636363669E-2</v>
      </c>
      <c r="L54" s="16">
        <f>IF(ISNUMBER(J54), $B64 * K54, "")</f>
        <v>-1363.6363636363669</v>
      </c>
      <c r="M54" s="29">
        <v>85.8</v>
      </c>
      <c r="N54" s="14">
        <f>IF(ISNUMBER(M54), (M54 - $B54) / $B54, "")</f>
        <v>-2.5000000000000033E-2</v>
      </c>
      <c r="O54" s="16">
        <f>IF(ISNUMBER(M54), $B64 * N54, "")</f>
        <v>-2500.0000000000032</v>
      </c>
      <c r="Q54" s="220"/>
      <c r="R54" s="221"/>
      <c r="S54" s="222"/>
    </row>
    <row r="55" spans="1:19" ht="17.25" customHeight="1" thickBot="1">
      <c r="A55" s="125" t="s">
        <v>72</v>
      </c>
      <c r="B55" s="126">
        <v>17.399999999999999</v>
      </c>
      <c r="C55" s="77">
        <v>-1.6949152499999998E-2</v>
      </c>
      <c r="D55" s="15">
        <v>17.899999999999999</v>
      </c>
      <c r="E55" s="32">
        <f t="shared" ref="E55:E58" si="22">IF(ISNUMBER(D55), (D55 - $B55) / $B55, "")</f>
        <v>2.8735632183908049E-2</v>
      </c>
      <c r="F55" s="18">
        <f>IF(ISNUMBER(D55), $B64 * E55, "")</f>
        <v>2873.5632183908051</v>
      </c>
      <c r="G55" s="31">
        <v>18</v>
      </c>
      <c r="H55" s="32">
        <f t="shared" ref="H55:H58" si="23">IF(ISNUMBER(G55), (G55 - $B55) / $B55, "")</f>
        <v>3.4482758620689738E-2</v>
      </c>
      <c r="I55" s="101">
        <f>IF(ISNUMBER(G55), $B64 * H55, "")</f>
        <v>3448.2758620689738</v>
      </c>
      <c r="J55" s="15">
        <v>18</v>
      </c>
      <c r="K55" s="32">
        <f t="shared" ref="K55:K58" si="24">IF(ISNUMBER(J55), (J55 - $B55) / $B55, "")</f>
        <v>3.4482758620689738E-2</v>
      </c>
      <c r="L55" s="18">
        <f>IF(ISNUMBER(J55), $B64 * K55, "")</f>
        <v>3448.2758620689738</v>
      </c>
      <c r="M55" s="31">
        <v>17.8</v>
      </c>
      <c r="N55" s="32">
        <f t="shared" ref="N55:N58" si="25">IF(ISNUMBER(M55), (M55 - $B55) / $B55, "")</f>
        <v>2.2988505747126561E-2</v>
      </c>
      <c r="O55" s="18">
        <f>IF(ISNUMBER(M55), $B64 * N55, "")</f>
        <v>2298.850574712656</v>
      </c>
      <c r="Q55" s="223"/>
      <c r="R55" s="224"/>
      <c r="S55" s="225"/>
    </row>
    <row r="56" spans="1:19" ht="17.25" customHeight="1" thickBot="1">
      <c r="A56" s="125" t="s">
        <v>122</v>
      </c>
      <c r="B56" s="126">
        <v>21.6</v>
      </c>
      <c r="C56" s="77">
        <v>-1.8181818200000002E-2</v>
      </c>
      <c r="D56" s="15">
        <v>22.3</v>
      </c>
      <c r="E56" s="32">
        <f t="shared" si="22"/>
        <v>3.2407407407407371E-2</v>
      </c>
      <c r="F56" s="18">
        <f>IF(ISNUMBER(D56), $B64 * E56, "")</f>
        <v>3240.7407407407372</v>
      </c>
      <c r="G56" s="31">
        <v>22.3</v>
      </c>
      <c r="H56" s="32">
        <f t="shared" si="23"/>
        <v>3.2407407407407371E-2</v>
      </c>
      <c r="I56" s="101">
        <f>IF(ISNUMBER(G56), $B64 * H56, "")</f>
        <v>3240.7407407407372</v>
      </c>
      <c r="J56" s="15">
        <v>22.2</v>
      </c>
      <c r="K56" s="32">
        <f t="shared" si="24"/>
        <v>2.7777777777777676E-2</v>
      </c>
      <c r="L56" s="18">
        <f>IF(ISNUMBER(J56), $B64 * K56, "")</f>
        <v>2777.7777777777674</v>
      </c>
      <c r="M56" s="31">
        <v>22</v>
      </c>
      <c r="N56" s="32">
        <f t="shared" si="25"/>
        <v>1.8518518518518452E-2</v>
      </c>
      <c r="O56" s="18">
        <f>IF(ISNUMBER(M56), $B64 * N56, "")</f>
        <v>1851.8518518518451</v>
      </c>
      <c r="Q56" s="216"/>
      <c r="R56" s="216"/>
      <c r="S56" s="216"/>
    </row>
    <row r="57" spans="1:19" ht="17.25" customHeight="1" thickBot="1">
      <c r="A57" s="125" t="s">
        <v>241</v>
      </c>
      <c r="B57" s="126">
        <v>49.2</v>
      </c>
      <c r="C57" s="77">
        <v>-1.9920318699999998E-2</v>
      </c>
      <c r="D57" s="15">
        <v>58.2</v>
      </c>
      <c r="E57" s="32">
        <f t="shared" si="22"/>
        <v>0.18292682926829268</v>
      </c>
      <c r="F57" s="18">
        <f>IF(ISNUMBER(D57), $B64 * E57, "")</f>
        <v>18292.682926829268</v>
      </c>
      <c r="G57" s="31">
        <v>57.3</v>
      </c>
      <c r="H57" s="32">
        <f t="shared" si="23"/>
        <v>0.16463414634146328</v>
      </c>
      <c r="I57" s="101">
        <f>IF(ISNUMBER(G57), $B64 * H57, "")</f>
        <v>16463.414634146327</v>
      </c>
      <c r="J57" s="15">
        <v>56.9</v>
      </c>
      <c r="K57" s="32">
        <f t="shared" si="24"/>
        <v>0.15650406504065031</v>
      </c>
      <c r="L57" s="18">
        <f>IF(ISNUMBER(J57), $B64 * K57, "")</f>
        <v>15650.406504065031</v>
      </c>
      <c r="M57" s="31">
        <v>56.9</v>
      </c>
      <c r="N57" s="32">
        <f t="shared" si="25"/>
        <v>0.15650406504065031</v>
      </c>
      <c r="O57" s="18">
        <f>IF(ISNUMBER(M57), $B64 * N57, "")</f>
        <v>15650.406504065031</v>
      </c>
      <c r="Q57" s="226"/>
      <c r="R57" s="226"/>
      <c r="S57" s="226"/>
    </row>
    <row r="58" spans="1:19" ht="17.25" customHeight="1" thickBot="1">
      <c r="A58" s="127" t="s">
        <v>235</v>
      </c>
      <c r="B58" s="128">
        <v>50.7</v>
      </c>
      <c r="C58" s="78">
        <v>-2.6871401199999999E-2</v>
      </c>
      <c r="D58" s="20">
        <v>52</v>
      </c>
      <c r="E58" s="21">
        <f t="shared" si="22"/>
        <v>2.5641025641025585E-2</v>
      </c>
      <c r="F58" s="22">
        <f>IF(ISNUMBER(D58), $B64 * E58, "")</f>
        <v>2564.1025641025585</v>
      </c>
      <c r="G58" s="30">
        <v>51.8</v>
      </c>
      <c r="H58" s="21">
        <f t="shared" si="23"/>
        <v>2.169625246548312E-2</v>
      </c>
      <c r="I58" s="105">
        <f>IF(ISNUMBER(G58), $B64 * H58, "")</f>
        <v>2169.6252465483121</v>
      </c>
      <c r="J58" s="20">
        <v>51.8</v>
      </c>
      <c r="K58" s="21">
        <f t="shared" si="24"/>
        <v>2.169625246548312E-2</v>
      </c>
      <c r="L58" s="22">
        <f>IF(ISNUMBER(J58), $B64 * K58, "")</f>
        <v>2169.6252465483121</v>
      </c>
      <c r="M58" s="30">
        <v>52</v>
      </c>
      <c r="N58" s="21">
        <f t="shared" si="25"/>
        <v>2.5641025641025585E-2</v>
      </c>
      <c r="O58" s="22">
        <f>IF(ISNUMBER(M58), $B64 * N58, "")</f>
        <v>2564.1025641025585</v>
      </c>
      <c r="Q58" s="226"/>
      <c r="R58" s="226"/>
      <c r="S58" s="226"/>
    </row>
    <row r="59" spans="1:19" ht="17.25" customHeight="1" thickBot="1">
      <c r="A59" s="125" t="s">
        <v>190</v>
      </c>
      <c r="B59" s="129">
        <v>14</v>
      </c>
      <c r="C59" s="80">
        <v>-2.77777778E-2</v>
      </c>
      <c r="D59" s="106">
        <v>14.5</v>
      </c>
      <c r="E59" s="107">
        <f>IF(ISNUMBER(D59), (D59 - $B59) / $B59, "")</f>
        <v>3.5714285714285712E-2</v>
      </c>
      <c r="F59" s="108">
        <f>IF(ISNUMBER(D59), $B64 * E59, "")</f>
        <v>3571.4285714285711</v>
      </c>
      <c r="G59" s="109">
        <v>14.5</v>
      </c>
      <c r="H59" s="107">
        <f>IF(ISNUMBER(G59), (G59 - $B59) / $B59, "")</f>
        <v>3.5714285714285712E-2</v>
      </c>
      <c r="I59" s="110">
        <f>IF(ISNUMBER(G59), $B64 * H59, "")</f>
        <v>3571.4285714285711</v>
      </c>
      <c r="J59" s="106">
        <v>14.6</v>
      </c>
      <c r="K59" s="107">
        <f>IF(ISNUMBER(J59), (J59 - $B59) / $B59, "")</f>
        <v>4.285714285714283E-2</v>
      </c>
      <c r="L59" s="108">
        <f>IF(ISNUMBER(J59), $B64 * K59, "")</f>
        <v>4285.7142857142826</v>
      </c>
      <c r="M59" s="109">
        <v>14.4</v>
      </c>
      <c r="N59" s="107">
        <f>IF(ISNUMBER(M59), (M59 - $B59) / $B59, "")</f>
        <v>2.8571428571428598E-2</v>
      </c>
      <c r="O59" s="108">
        <f>IF(ISNUMBER(M59), $B64 * N59, "")</f>
        <v>2857.1428571428596</v>
      </c>
      <c r="Q59" s="216"/>
      <c r="R59" s="216"/>
      <c r="S59" s="216"/>
    </row>
    <row r="60" spans="1:19" ht="17.25" customHeight="1" thickBot="1">
      <c r="A60" s="125" t="s">
        <v>239</v>
      </c>
      <c r="B60" s="126">
        <v>69.3</v>
      </c>
      <c r="C60" s="77">
        <v>-2.8050490899999999E-2</v>
      </c>
      <c r="D60" s="15">
        <v>72.2</v>
      </c>
      <c r="E60" s="32">
        <f t="shared" ref="E60:E63" si="26">IF(ISNUMBER(D60), (D60 - $B60) / $B60, "")</f>
        <v>4.1847041847041931E-2</v>
      </c>
      <c r="F60" s="18">
        <f>IF(ISNUMBER(D60), $B64 * E60, "")</f>
        <v>4184.7041847041928</v>
      </c>
      <c r="G60" s="31">
        <v>71.900000000000006</v>
      </c>
      <c r="H60" s="32">
        <f t="shared" ref="H60:H63" si="27">IF(ISNUMBER(G60), (G60 - $B60) / $B60, "")</f>
        <v>3.7518037518037645E-2</v>
      </c>
      <c r="I60" s="101">
        <f>IF(ISNUMBER(G60), $B64 * H60, "")</f>
        <v>3751.8037518037645</v>
      </c>
      <c r="J60" s="15">
        <v>71.900000000000006</v>
      </c>
      <c r="K60" s="32">
        <f t="shared" ref="K60:K63" si="28">IF(ISNUMBER(J60), (J60 - $B60) / $B60, "")</f>
        <v>3.7518037518037645E-2</v>
      </c>
      <c r="L60" s="18">
        <f>IF(ISNUMBER(J60), $B64 * K60, "")</f>
        <v>3751.8037518037645</v>
      </c>
      <c r="M60" s="31">
        <v>71.8</v>
      </c>
      <c r="N60" s="32">
        <f t="shared" ref="N60:N63" si="29">IF(ISNUMBER(M60), (M60 - $B60) / $B60, "")</f>
        <v>3.6075036075036079E-2</v>
      </c>
      <c r="O60" s="18">
        <f>IF(ISNUMBER(M60), $B64 * N60, "")</f>
        <v>3607.5036075036078</v>
      </c>
      <c r="Q60" s="216"/>
      <c r="R60" s="216"/>
      <c r="S60" s="216"/>
    </row>
    <row r="61" spans="1:19" ht="17.25" customHeight="1" thickBot="1">
      <c r="A61" s="125" t="s">
        <v>150</v>
      </c>
      <c r="B61" s="126">
        <v>8.89</v>
      </c>
      <c r="C61" s="77">
        <v>-3.0534351099999999E-2</v>
      </c>
      <c r="D61" s="15">
        <v>9.58</v>
      </c>
      <c r="E61" s="32">
        <f t="shared" si="26"/>
        <v>7.7615298087738968E-2</v>
      </c>
      <c r="F61" s="18">
        <f>IF(ISNUMBER(D61), $B64 * E61, "")</f>
        <v>7761.5298087738965</v>
      </c>
      <c r="G61" s="31">
        <v>9.41</v>
      </c>
      <c r="H61" s="32">
        <f t="shared" si="27"/>
        <v>5.8492688413948203E-2</v>
      </c>
      <c r="I61" s="101">
        <f>IF(ISNUMBER(G61), $B64 * H61, "")</f>
        <v>5849.2688413948199</v>
      </c>
      <c r="J61" s="15">
        <v>9.44</v>
      </c>
      <c r="K61" s="32">
        <f t="shared" si="28"/>
        <v>6.1867266591675914E-2</v>
      </c>
      <c r="L61" s="18">
        <f>IF(ISNUMBER(J61), $B64 * K61, "")</f>
        <v>6186.7266591675916</v>
      </c>
      <c r="M61" s="31">
        <v>9.4</v>
      </c>
      <c r="N61" s="32">
        <f t="shared" si="29"/>
        <v>5.7367829021372302E-2</v>
      </c>
      <c r="O61" s="18">
        <f>IF(ISNUMBER(M61), $B64 * N61, "")</f>
        <v>5736.7829021372299</v>
      </c>
      <c r="Q61" s="216"/>
      <c r="R61" s="216"/>
      <c r="S61" s="216"/>
    </row>
    <row r="62" spans="1:19" ht="17.25" customHeight="1">
      <c r="A62" s="125" t="s">
        <v>208</v>
      </c>
      <c r="B62" s="126">
        <v>8.8699999999999992</v>
      </c>
      <c r="C62" s="77">
        <v>-3.3769063199999998E-2</v>
      </c>
      <c r="D62" s="15">
        <v>9.43</v>
      </c>
      <c r="E62" s="32">
        <f t="shared" si="26"/>
        <v>6.3134160090191724E-2</v>
      </c>
      <c r="F62" s="18">
        <f>IF(ISNUMBER(D62), $B64 * E62, "")</f>
        <v>6313.4160090191726</v>
      </c>
      <c r="G62" s="31">
        <v>9.5</v>
      </c>
      <c r="H62" s="32">
        <f t="shared" si="27"/>
        <v>7.1025930101465712E-2</v>
      </c>
      <c r="I62" s="101">
        <f>IF(ISNUMBER(G62), $B64 * H62, "")</f>
        <v>7102.593010146571</v>
      </c>
      <c r="J62" s="15">
        <v>9.51</v>
      </c>
      <c r="K62" s="32">
        <f t="shared" si="28"/>
        <v>7.215332581736196E-2</v>
      </c>
      <c r="L62" s="18">
        <f>IF(ISNUMBER(J62), $B64 * K62, "")</f>
        <v>7215.3325817361956</v>
      </c>
      <c r="M62" s="31">
        <v>9.44</v>
      </c>
      <c r="N62" s="32">
        <f t="shared" si="29"/>
        <v>6.4261555806087972E-2</v>
      </c>
      <c r="O62" s="18">
        <f>IF(ISNUMBER(M62), $B64 * N62, "")</f>
        <v>6426.1555806087972</v>
      </c>
      <c r="Q62" s="205"/>
      <c r="R62" s="206"/>
      <c r="S62" s="207"/>
    </row>
    <row r="63" spans="1:19" ht="17.25" customHeight="1" thickBot="1">
      <c r="A63" s="130" t="s">
        <v>210</v>
      </c>
      <c r="B63" s="131">
        <v>8.81</v>
      </c>
      <c r="C63" s="79">
        <v>-3.39912281E-2</v>
      </c>
      <c r="D63" s="24">
        <v>9.58</v>
      </c>
      <c r="E63" s="25">
        <f t="shared" si="26"/>
        <v>8.7400681044267819E-2</v>
      </c>
      <c r="F63" s="104">
        <f>IF(ISNUMBER(D63), $B64 * E63, "")</f>
        <v>8740.0681044267822</v>
      </c>
      <c r="G63" s="102">
        <v>9.75</v>
      </c>
      <c r="H63" s="25">
        <f t="shared" si="27"/>
        <v>0.10669693530079449</v>
      </c>
      <c r="I63" s="103">
        <f>IF(ISNUMBER(G63), $B64 * H63, "")</f>
        <v>10669.693530079448</v>
      </c>
      <c r="J63" s="24">
        <v>9.93</v>
      </c>
      <c r="K63" s="25">
        <f t="shared" si="28"/>
        <v>0.12712826333711683</v>
      </c>
      <c r="L63" s="104">
        <f>IF(ISNUMBER(J63), $B64 * K63, "")</f>
        <v>12712.826333711682</v>
      </c>
      <c r="M63" s="102">
        <v>9.8800000000000008</v>
      </c>
      <c r="N63" s="25">
        <f t="shared" si="29"/>
        <v>0.1214528944381385</v>
      </c>
      <c r="O63" s="104">
        <f>IF(ISNUMBER(M63), $B64 * N63, "")</f>
        <v>12145.28944381385</v>
      </c>
      <c r="Q63" s="208"/>
      <c r="R63" s="209"/>
      <c r="S63" s="210"/>
    </row>
    <row r="64" spans="1:19" ht="17.25" customHeight="1" thickBot="1">
      <c r="A64" s="132" t="s">
        <v>271</v>
      </c>
      <c r="B64" s="269">
        <f>$B$37</f>
        <v>100000</v>
      </c>
      <c r="C64" s="270"/>
      <c r="D64" s="26" t="s">
        <v>272</v>
      </c>
      <c r="E64" s="27">
        <f>IF(COUNT(E44:E63), SUM(E44:E63) / COUNT(E44:E63), 0)</f>
        <v>3.2656629462232925E-2</v>
      </c>
      <c r="F64" s="28">
        <f>SUM(F44:F63)</f>
        <v>65313.258924465874</v>
      </c>
      <c r="G64" s="26" t="s">
        <v>272</v>
      </c>
      <c r="H64" s="27">
        <f>IF(COUNT(H44:H63), SUM(H44:H63) / COUNT(H44:H63), 0)</f>
        <v>2.8946381450803312E-2</v>
      </c>
      <c r="I64" s="28">
        <f>SUM(I44:I63)</f>
        <v>57892.76290160662</v>
      </c>
      <c r="J64" s="26" t="s">
        <v>272</v>
      </c>
      <c r="K64" s="27">
        <f>IF(COUNT(K44:K63), SUM(K44:K63) / COUNT(K44:K63), 0)</f>
        <v>3.3233934777307739E-2</v>
      </c>
      <c r="L64" s="28">
        <f>SUM(L44:L63)</f>
        <v>66467.869554615507</v>
      </c>
      <c r="M64" s="26" t="s">
        <v>272</v>
      </c>
      <c r="N64" s="27">
        <f>IF(COUNT(N44:N63), SUM(N44:N63) / COUNT(N44:N63), 0)</f>
        <v>2.5570830556580059E-2</v>
      </c>
      <c r="O64" s="28">
        <f>SUM(O44:O63)</f>
        <v>51141.661113160124</v>
      </c>
      <c r="Q64" s="211"/>
      <c r="R64" s="212"/>
      <c r="S64" s="213"/>
    </row>
    <row r="65" spans="1:19" ht="17.25" customHeight="1"/>
    <row r="66" spans="1:19" ht="17.25" customHeight="1" thickBot="1"/>
    <row r="67" spans="1:19" ht="17.25" thickBot="1">
      <c r="A67" s="227" t="s">
        <v>45</v>
      </c>
      <c r="B67" s="228"/>
      <c r="C67" s="228"/>
      <c r="D67" s="228"/>
      <c r="E67" s="228"/>
      <c r="F67" s="228"/>
      <c r="G67" s="228"/>
      <c r="H67" s="228"/>
      <c r="I67" s="228"/>
      <c r="J67" s="228"/>
      <c r="K67" s="228"/>
      <c r="L67" s="228"/>
      <c r="M67" s="228"/>
      <c r="N67" s="228"/>
      <c r="O67" s="229"/>
      <c r="Q67" s="226"/>
      <c r="R67" s="226"/>
      <c r="S67" s="226"/>
    </row>
    <row r="68" spans="1:19" ht="17.25" thickBot="1">
      <c r="A68" s="193" t="s">
        <v>268</v>
      </c>
      <c r="B68" s="227" t="s">
        <v>49</v>
      </c>
      <c r="C68" s="229"/>
      <c r="D68" s="227" t="s">
        <v>58</v>
      </c>
      <c r="E68" s="228"/>
      <c r="F68" s="229"/>
      <c r="G68" s="230">
        <f>_xlfn.IFNA(VLOOKUP(B68, 현재가테이블!$B$2:$D$200, 2, FALSE), "-")</f>
        <v>39916000</v>
      </c>
      <c r="H68" s="231"/>
      <c r="I68" s="232"/>
      <c r="J68" s="227" t="s">
        <v>59</v>
      </c>
      <c r="K68" s="228"/>
      <c r="L68" s="229"/>
      <c r="M68" s="233">
        <f>_xlfn.IFNA(VLOOKUP(B68, 현재가테이블!$B$2:$D$200, 3, FALSE), "-")</f>
        <v>7.3184273000000003E-3</v>
      </c>
      <c r="N68" s="234"/>
      <c r="O68" s="235"/>
      <c r="Q68" s="226"/>
      <c r="R68" s="226"/>
      <c r="S68" s="226"/>
    </row>
    <row r="69" spans="1:19" ht="17.25" thickBot="1">
      <c r="A69" s="271" t="s">
        <v>55</v>
      </c>
      <c r="B69" s="267" t="str">
        <f>TEXT($G$1, "[$-ko-KR]yyyy-mm-dd(ddd) ") &amp; "오전 00:00"</f>
        <v>2021-07-10(토) 오전 00:00</v>
      </c>
      <c r="C69" s="268"/>
      <c r="D69" s="240" t="str">
        <f>TEXT($G$1, "[$-ko-KR]yyyy-mm-dd(ddd) ") &amp; "오후 14:00"</f>
        <v>2021-07-10(토) 오후 14:00</v>
      </c>
      <c r="E69" s="241"/>
      <c r="F69" s="242"/>
      <c r="G69" s="240" t="str">
        <f>TEXT($G$1, "[$-ko-KR]yyyy-mm-dd(ddd) ") &amp; "오후 19:00"</f>
        <v>2021-07-10(토) 오후 19:00</v>
      </c>
      <c r="H69" s="241"/>
      <c r="I69" s="242"/>
      <c r="J69" s="240" t="str">
        <f>TEXT($G$1, "[$-ko-KR]yyyy-mm-dd(ddd) ") &amp; "오후 21:00"</f>
        <v>2021-07-10(토) 오후 21:00</v>
      </c>
      <c r="K69" s="241"/>
      <c r="L69" s="242"/>
      <c r="M69" s="240" t="str">
        <f>TEXT($G$1+1, "[$-ko-KR]yyyy-mm-dd(ddd) ") &amp; "오전 00:00"</f>
        <v>2021-07-11(일) 오전 00:00</v>
      </c>
      <c r="N69" s="241"/>
      <c r="O69" s="242"/>
      <c r="Q69" s="226"/>
      <c r="R69" s="226"/>
      <c r="S69" s="226"/>
    </row>
    <row r="70" spans="1:19" ht="17.25" thickBot="1">
      <c r="A70" s="27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4" t="s">
        <v>58</v>
      </c>
      <c r="H70" s="195" t="s">
        <v>269</v>
      </c>
      <c r="I70" s="19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6"/>
      <c r="R70" s="216"/>
      <c r="S70" s="216"/>
    </row>
    <row r="71" spans="1:19" ht="17.25" thickBot="1">
      <c r="A71" s="123" t="s">
        <v>166</v>
      </c>
      <c r="B71" s="124">
        <v>130</v>
      </c>
      <c r="C71" s="76">
        <v>0.10169491529999999</v>
      </c>
      <c r="D71" s="13">
        <v>136</v>
      </c>
      <c r="E71" s="14">
        <f>IF(ISNUMBER(D71), (D71 - $B71) / $B71, "")</f>
        <v>4.6153846153846156E-2</v>
      </c>
      <c r="F71" s="16">
        <f>IF(ISNUMBER(D71), $B91 * E71, "")</f>
        <v>4615.3846153846152</v>
      </c>
      <c r="G71" s="29">
        <v>138</v>
      </c>
      <c r="H71" s="14">
        <f>IF(ISNUMBER(G71), (G71 - $B71) / $B71, "")</f>
        <v>6.1538461538461542E-2</v>
      </c>
      <c r="I71" s="100">
        <f>IF(ISNUMBER(G71), $B91 * H71, "")</f>
        <v>6153.8461538461543</v>
      </c>
      <c r="J71" s="13">
        <v>138</v>
      </c>
      <c r="K71" s="14">
        <f>IF(ISNUMBER(J71), (J71 - $B71) / $B71, "")</f>
        <v>6.1538461538461542E-2</v>
      </c>
      <c r="L71" s="16">
        <f>IF(ISNUMBER(J71), $B91 * K71, "")</f>
        <v>6153.8461538461543</v>
      </c>
      <c r="M71" s="29">
        <v>138</v>
      </c>
      <c r="N71" s="14">
        <f>IF(ISNUMBER(M71), (M71 - $B71) / $B71, "")</f>
        <v>6.1538461538461542E-2</v>
      </c>
      <c r="O71" s="16">
        <f>IF(ISNUMBER(M71), $B91 * N71, "")</f>
        <v>6153.8461538461543</v>
      </c>
      <c r="Q71" s="226"/>
      <c r="R71" s="226"/>
      <c r="S71" s="226"/>
    </row>
    <row r="72" spans="1:19" ht="17.25" thickBot="1">
      <c r="A72" s="125" t="s">
        <v>228</v>
      </c>
      <c r="B72" s="126">
        <v>309</v>
      </c>
      <c r="C72" s="77">
        <v>8.4210526300000005E-2</v>
      </c>
      <c r="D72" s="15">
        <v>302</v>
      </c>
      <c r="E72" s="32">
        <f t="shared" ref="E72:E75" si="30">IF(ISNUMBER(D72), (D72 - $B72) / $B72, "")</f>
        <v>-2.2653721682847898E-2</v>
      </c>
      <c r="F72" s="18">
        <f>IF(ISNUMBER(D72), $B91 * E72, "")</f>
        <v>-2265.37216828479</v>
      </c>
      <c r="G72" s="31">
        <v>299</v>
      </c>
      <c r="H72" s="32">
        <f t="shared" ref="H72:H75" si="31">IF(ISNUMBER(G72), (G72 - $B72) / $B72, "")</f>
        <v>-3.2362459546925564E-2</v>
      </c>
      <c r="I72" s="101">
        <f>IF(ISNUMBER(G72), $B91 * H72, "")</f>
        <v>-3236.2459546925566</v>
      </c>
      <c r="J72" s="15">
        <v>299</v>
      </c>
      <c r="K72" s="32">
        <f t="shared" ref="K72:K75" si="32">IF(ISNUMBER(J72), (J72 - $B72) / $B72, "")</f>
        <v>-3.2362459546925564E-2</v>
      </c>
      <c r="L72" s="18">
        <f>IF(ISNUMBER(J72), $B91 * K72, "")</f>
        <v>-3236.2459546925566</v>
      </c>
      <c r="M72" s="31">
        <v>298</v>
      </c>
      <c r="N72" s="32">
        <f t="shared" ref="N72:N75" si="33">IF(ISNUMBER(M72), (M72 - $B72) / $B72, "")</f>
        <v>-3.5598705501618123E-2</v>
      </c>
      <c r="O72" s="18">
        <f>IF(ISNUMBER(M72), $B91 * N72, "")</f>
        <v>-3559.8705501618124</v>
      </c>
      <c r="Q72" s="226"/>
      <c r="R72" s="226"/>
      <c r="S72" s="226"/>
    </row>
    <row r="73" spans="1:19" ht="17.25" thickBot="1">
      <c r="A73" s="125" t="s">
        <v>267</v>
      </c>
      <c r="B73" s="126">
        <v>261</v>
      </c>
      <c r="C73" s="77">
        <v>6.0975609799999997E-2</v>
      </c>
      <c r="D73" s="15">
        <v>259</v>
      </c>
      <c r="E73" s="32">
        <f t="shared" si="30"/>
        <v>-7.6628352490421452E-3</v>
      </c>
      <c r="F73" s="18">
        <f>IF(ISNUMBER(D73), $B91 * E73, "")</f>
        <v>-766.28352490421457</v>
      </c>
      <c r="G73" s="31">
        <v>255</v>
      </c>
      <c r="H73" s="32">
        <f t="shared" si="31"/>
        <v>-2.2988505747126436E-2</v>
      </c>
      <c r="I73" s="101">
        <f>IF(ISNUMBER(G73), $B91 * H73, "")</f>
        <v>-2298.8505747126437</v>
      </c>
      <c r="J73" s="15">
        <v>256</v>
      </c>
      <c r="K73" s="32">
        <f t="shared" si="32"/>
        <v>-1.9157088122605363E-2</v>
      </c>
      <c r="L73" s="18">
        <f>IF(ISNUMBER(J73), $B91 * K73, "")</f>
        <v>-1915.7088122605362</v>
      </c>
      <c r="M73" s="31">
        <v>254</v>
      </c>
      <c r="N73" s="32">
        <f t="shared" si="33"/>
        <v>-2.681992337164751E-2</v>
      </c>
      <c r="O73" s="18">
        <f>IF(ISNUMBER(M73), $B91 * N73, "")</f>
        <v>-2681.992337164751</v>
      </c>
      <c r="Q73" s="216"/>
      <c r="R73" s="216"/>
      <c r="S73" s="216"/>
    </row>
    <row r="74" spans="1:19" ht="17.25" thickBot="1">
      <c r="A74" s="125" t="s">
        <v>214</v>
      </c>
      <c r="B74" s="126">
        <v>240</v>
      </c>
      <c r="C74" s="77">
        <v>3.8961039000000003E-2</v>
      </c>
      <c r="D74" s="15">
        <v>239</v>
      </c>
      <c r="E74" s="32">
        <f t="shared" si="30"/>
        <v>-4.1666666666666666E-3</v>
      </c>
      <c r="F74" s="18">
        <f>IF(ISNUMBER(D74), $B91 * E74, "")</f>
        <v>-416.66666666666669</v>
      </c>
      <c r="G74" s="31">
        <v>235</v>
      </c>
      <c r="H74" s="32">
        <f t="shared" si="31"/>
        <v>-2.0833333333333332E-2</v>
      </c>
      <c r="I74" s="101">
        <f>IF(ISNUMBER(G74), $B91 * H74, "")</f>
        <v>-2083.333333333333</v>
      </c>
      <c r="J74" s="15">
        <v>237</v>
      </c>
      <c r="K74" s="32">
        <f t="shared" si="32"/>
        <v>-1.2500000000000001E-2</v>
      </c>
      <c r="L74" s="18">
        <f>IF(ISNUMBER(J74), $B91 * K74, "")</f>
        <v>-1250</v>
      </c>
      <c r="M74" s="31">
        <v>238</v>
      </c>
      <c r="N74" s="32">
        <f t="shared" si="33"/>
        <v>-8.3333333333333332E-3</v>
      </c>
      <c r="O74" s="18">
        <f>IF(ISNUMBER(M74), $B91 * N74, "")</f>
        <v>-833.33333333333337</v>
      </c>
      <c r="Q74" s="216"/>
      <c r="R74" s="216"/>
      <c r="S74" s="216"/>
    </row>
    <row r="75" spans="1:19" ht="17.25" thickBot="1">
      <c r="A75" s="127" t="s">
        <v>220</v>
      </c>
      <c r="B75" s="128">
        <v>166</v>
      </c>
      <c r="C75" s="78">
        <v>3.7499999999999999E-2</v>
      </c>
      <c r="D75" s="20">
        <v>166</v>
      </c>
      <c r="E75" s="21">
        <f t="shared" si="30"/>
        <v>0</v>
      </c>
      <c r="F75" s="22">
        <f>IF(ISNUMBER(D75), $B91 * E75, "")</f>
        <v>0</v>
      </c>
      <c r="G75" s="30">
        <v>168</v>
      </c>
      <c r="H75" s="21">
        <f t="shared" si="31"/>
        <v>1.2048192771084338E-2</v>
      </c>
      <c r="I75" s="105">
        <f>IF(ISNUMBER(G75), $B91 * H75, "")</f>
        <v>1204.8192771084339</v>
      </c>
      <c r="J75" s="20">
        <v>169</v>
      </c>
      <c r="K75" s="21">
        <f t="shared" si="32"/>
        <v>1.8072289156626505E-2</v>
      </c>
      <c r="L75" s="22">
        <f>IF(ISNUMBER(J75), $B91 * K75, "")</f>
        <v>1807.2289156626505</v>
      </c>
      <c r="M75" s="30">
        <v>169</v>
      </c>
      <c r="N75" s="21">
        <f t="shared" si="33"/>
        <v>1.8072289156626505E-2</v>
      </c>
      <c r="O75" s="22">
        <f>IF(ISNUMBER(M75), $B91 * N75, "")</f>
        <v>1807.2289156626505</v>
      </c>
      <c r="Q75" s="216"/>
      <c r="R75" s="216"/>
      <c r="S75" s="216"/>
    </row>
    <row r="76" spans="1:19" ht="17.25" thickBot="1">
      <c r="A76" s="125" t="s">
        <v>110</v>
      </c>
      <c r="B76" s="129">
        <v>114</v>
      </c>
      <c r="C76" s="80">
        <v>3.6363636400000003E-2</v>
      </c>
      <c r="D76" s="106">
        <v>115</v>
      </c>
      <c r="E76" s="107">
        <f>IF(ISNUMBER(D76), (D76 - $B76) / $B76, "")</f>
        <v>8.771929824561403E-3</v>
      </c>
      <c r="F76" s="108">
        <f>IF(ISNUMBER(D76), $B91 * E76, "")</f>
        <v>877.19298245614027</v>
      </c>
      <c r="G76" s="109">
        <v>118</v>
      </c>
      <c r="H76" s="107">
        <f>IF(ISNUMBER(G76), (G76 - $B76) / $B76, "")</f>
        <v>3.5087719298245612E-2</v>
      </c>
      <c r="I76" s="110">
        <f>IF(ISNUMBER(G76), $B91 * H76, "")</f>
        <v>3508.7719298245611</v>
      </c>
      <c r="J76" s="106">
        <v>118</v>
      </c>
      <c r="K76" s="107">
        <f>IF(ISNUMBER(J76), (J76 - $B76) / $B76, "")</f>
        <v>3.5087719298245612E-2</v>
      </c>
      <c r="L76" s="108">
        <f>IF(ISNUMBER(J76), $B91 * K76, "")</f>
        <v>3508.7719298245611</v>
      </c>
      <c r="M76" s="109">
        <v>119</v>
      </c>
      <c r="N76" s="107">
        <f>IF(ISNUMBER(M76), (M76 - $B76) / $B76, "")</f>
        <v>4.3859649122807015E-2</v>
      </c>
      <c r="O76" s="108">
        <f>IF(ISNUMBER(M76), $B91 * N76, "")</f>
        <v>4385.9649122807014</v>
      </c>
      <c r="Q76" s="216"/>
      <c r="R76" s="216"/>
      <c r="S76" s="216"/>
    </row>
    <row r="77" spans="1:19" ht="17.25" thickBot="1">
      <c r="A77" s="125" t="s">
        <v>255</v>
      </c>
      <c r="B77" s="126">
        <v>193</v>
      </c>
      <c r="C77" s="77">
        <v>3.2085561499999998E-2</v>
      </c>
      <c r="D77" s="15">
        <v>192</v>
      </c>
      <c r="E77" s="32">
        <f t="shared" ref="E77:E80" si="34">IF(ISNUMBER(D77), (D77 - $B77) / $B77, "")</f>
        <v>-5.1813471502590676E-3</v>
      </c>
      <c r="F77" s="18">
        <f>IF(ISNUMBER(D77), $B91 * E77, "")</f>
        <v>-518.13471502590676</v>
      </c>
      <c r="G77" s="31">
        <v>188</v>
      </c>
      <c r="H77" s="32">
        <f t="shared" ref="H77:H80" si="35">IF(ISNUMBER(G77), (G77 - $B77) / $B77, "")</f>
        <v>-2.5906735751295335E-2</v>
      </c>
      <c r="I77" s="101">
        <f>IF(ISNUMBER(G77), $B91 * H77, "")</f>
        <v>-2590.6735751295337</v>
      </c>
      <c r="J77" s="15">
        <v>188</v>
      </c>
      <c r="K77" s="32">
        <f t="shared" ref="K77:K80" si="36">IF(ISNUMBER(J77), (J77 - $B77) / $B77, "")</f>
        <v>-2.5906735751295335E-2</v>
      </c>
      <c r="L77" s="18">
        <f>IF(ISNUMBER(J77), $B91 * K77, "")</f>
        <v>-2590.6735751295337</v>
      </c>
      <c r="M77" s="31">
        <v>189</v>
      </c>
      <c r="N77" s="32">
        <f t="shared" ref="N77:N80" si="37">IF(ISNUMBER(M77), (M77 - $B77) / $B77, "")</f>
        <v>-2.072538860103627E-2</v>
      </c>
      <c r="O77" s="18">
        <f>IF(ISNUMBER(M77), $B91 * N77, "")</f>
        <v>-2072.538860103627</v>
      </c>
      <c r="Q77" s="216"/>
      <c r="R77" s="216"/>
      <c r="S77" s="216"/>
    </row>
    <row r="78" spans="1:19" ht="17.25" thickBot="1">
      <c r="A78" s="125" t="s">
        <v>218</v>
      </c>
      <c r="B78" s="126">
        <v>101</v>
      </c>
      <c r="C78" s="77">
        <v>2.85132383E-2</v>
      </c>
      <c r="D78" s="15">
        <v>101</v>
      </c>
      <c r="E78" s="32">
        <f t="shared" si="34"/>
        <v>0</v>
      </c>
      <c r="F78" s="18">
        <f>IF(ISNUMBER(D78), $B91 * E78, "")</f>
        <v>0</v>
      </c>
      <c r="G78" s="31">
        <v>101</v>
      </c>
      <c r="H78" s="32">
        <f t="shared" si="35"/>
        <v>0</v>
      </c>
      <c r="I78" s="101">
        <f>IF(ISNUMBER(G78), $B91 * H78, "")</f>
        <v>0</v>
      </c>
      <c r="J78" s="15">
        <v>100</v>
      </c>
      <c r="K78" s="32">
        <f t="shared" si="36"/>
        <v>-9.9009900990099011E-3</v>
      </c>
      <c r="L78" s="18">
        <f>IF(ISNUMBER(J78), $B91 * K78, "")</f>
        <v>-990.09900990099015</v>
      </c>
      <c r="M78" s="31">
        <v>102</v>
      </c>
      <c r="N78" s="32">
        <f t="shared" si="37"/>
        <v>9.9009900990099011E-3</v>
      </c>
      <c r="O78" s="18">
        <f>IF(ISNUMBER(M78), $B91 * N78, "")</f>
        <v>990.09900990099015</v>
      </c>
      <c r="Q78" s="216"/>
      <c r="R78" s="216"/>
      <c r="S78" s="216"/>
    </row>
    <row r="79" spans="1:19" ht="17.25" thickBot="1">
      <c r="A79" s="125" t="s">
        <v>61</v>
      </c>
      <c r="B79" s="126">
        <v>784</v>
      </c>
      <c r="C79" s="77">
        <v>2.6178010500000001E-2</v>
      </c>
      <c r="D79" s="15">
        <v>856</v>
      </c>
      <c r="E79" s="32">
        <f t="shared" si="34"/>
        <v>9.1836734693877556E-2</v>
      </c>
      <c r="F79" s="18">
        <f>IF(ISNUMBER(D79), $B91 * E79, "")</f>
        <v>9183.6734693877552</v>
      </c>
      <c r="G79" s="31">
        <v>863</v>
      </c>
      <c r="H79" s="32">
        <f t="shared" si="35"/>
        <v>0.10076530612244898</v>
      </c>
      <c r="I79" s="101">
        <f>IF(ISNUMBER(G79), $B91 * H79, "")</f>
        <v>10076.530612244898</v>
      </c>
      <c r="J79" s="15">
        <v>873</v>
      </c>
      <c r="K79" s="32">
        <f t="shared" si="36"/>
        <v>0.11352040816326531</v>
      </c>
      <c r="L79" s="18">
        <f>IF(ISNUMBER(J79), $B91 * K79, "")</f>
        <v>11352.040816326531</v>
      </c>
      <c r="M79" s="31">
        <v>916</v>
      </c>
      <c r="N79" s="32">
        <f t="shared" si="37"/>
        <v>0.1683673469387755</v>
      </c>
      <c r="O79" s="18">
        <f>IF(ISNUMBER(M79), $B91 * N79, "")</f>
        <v>16836.734693877552</v>
      </c>
      <c r="Q79" s="33"/>
      <c r="R79" s="33"/>
    </row>
    <row r="80" spans="1:19" ht="17.25" thickBot="1">
      <c r="A80" s="130" t="s">
        <v>54</v>
      </c>
      <c r="B80" s="131">
        <v>209</v>
      </c>
      <c r="C80" s="79">
        <v>2.4509803899999998E-2</v>
      </c>
      <c r="D80" s="24">
        <v>203</v>
      </c>
      <c r="E80" s="25">
        <f t="shared" si="34"/>
        <v>-2.8708133971291867E-2</v>
      </c>
      <c r="F80" s="104">
        <f>IF(ISNUMBER(D80), $B91 * E80, "")</f>
        <v>-2870.8133971291868</v>
      </c>
      <c r="G80" s="102">
        <v>200</v>
      </c>
      <c r="H80" s="25">
        <f t="shared" si="35"/>
        <v>-4.3062200956937802E-2</v>
      </c>
      <c r="I80" s="103">
        <f>IF(ISNUMBER(G80), $B91 * H80, "")</f>
        <v>-4306.2200956937804</v>
      </c>
      <c r="J80" s="24">
        <v>201</v>
      </c>
      <c r="K80" s="25">
        <f t="shared" si="36"/>
        <v>-3.8277511961722487E-2</v>
      </c>
      <c r="L80" s="104">
        <f>IF(ISNUMBER(J80), $B91 * K80, "")</f>
        <v>-3827.7511961722485</v>
      </c>
      <c r="M80" s="102">
        <v>200</v>
      </c>
      <c r="N80" s="25">
        <f t="shared" si="37"/>
        <v>-4.3062200956937802E-2</v>
      </c>
      <c r="O80" s="104">
        <f>IF(ISNUMBER(M80), $B91 * N80, "")</f>
        <v>-4306.2200956937804</v>
      </c>
      <c r="Q80" s="217"/>
      <c r="R80" s="218"/>
      <c r="S80" s="219"/>
    </row>
    <row r="81" spans="1:19">
      <c r="A81" s="123" t="s">
        <v>222</v>
      </c>
      <c r="B81" s="124">
        <v>103</v>
      </c>
      <c r="C81" s="76">
        <v>1.9801980199999999E-2</v>
      </c>
      <c r="D81" s="13">
        <v>110</v>
      </c>
      <c r="E81" s="14">
        <f>IF(ISNUMBER(D81), (D81 - $B81) / $B81, "")</f>
        <v>6.7961165048543687E-2</v>
      </c>
      <c r="F81" s="16">
        <f>IF(ISNUMBER(D81), $B91 * E81, "")</f>
        <v>6796.1165048543689</v>
      </c>
      <c r="G81" s="29">
        <v>107</v>
      </c>
      <c r="H81" s="14">
        <f>IF(ISNUMBER(G81), (G81 - $B81) / $B81, "")</f>
        <v>3.8834951456310676E-2</v>
      </c>
      <c r="I81" s="100">
        <f>IF(ISNUMBER(G81), $B91 * H81, "")</f>
        <v>3883.4951456310678</v>
      </c>
      <c r="J81" s="13">
        <v>107</v>
      </c>
      <c r="K81" s="14">
        <f>IF(ISNUMBER(J81), (J81 - $B81) / $B81, "")</f>
        <v>3.8834951456310676E-2</v>
      </c>
      <c r="L81" s="16">
        <f>IF(ISNUMBER(J81), $B91 * K81, "")</f>
        <v>3883.4951456310678</v>
      </c>
      <c r="M81" s="29">
        <v>107</v>
      </c>
      <c r="N81" s="14">
        <f>IF(ISNUMBER(M81), (M81 - $B81) / $B81, "")</f>
        <v>3.8834951456310676E-2</v>
      </c>
      <c r="O81" s="16">
        <f>IF(ISNUMBER(M81), $B91 * N81, "")</f>
        <v>3883.4951456310678</v>
      </c>
      <c r="Q81" s="220"/>
      <c r="R81" s="221"/>
      <c r="S81" s="222"/>
    </row>
    <row r="82" spans="1:19" ht="17.25" thickBot="1">
      <c r="A82" s="125" t="s">
        <v>90</v>
      </c>
      <c r="B82" s="126">
        <v>751</v>
      </c>
      <c r="C82" s="77">
        <v>1.48648649E-2</v>
      </c>
      <c r="D82" s="15">
        <v>746</v>
      </c>
      <c r="E82" s="32">
        <f t="shared" ref="E82:E85" si="38">IF(ISNUMBER(D82), (D82 - $B82) / $B82, "")</f>
        <v>-6.6577896138482022E-3</v>
      </c>
      <c r="F82" s="18">
        <f>IF(ISNUMBER(D82), $B91 * E82, "")</f>
        <v>-665.77896138482026</v>
      </c>
      <c r="G82" s="31">
        <v>735</v>
      </c>
      <c r="H82" s="32">
        <f t="shared" ref="H82:H85" si="39">IF(ISNUMBER(G82), (G82 - $B82) / $B82, "")</f>
        <v>-2.1304926764314249E-2</v>
      </c>
      <c r="I82" s="101">
        <f>IF(ISNUMBER(G82), $B91 * H82, "")</f>
        <v>-2130.492676431425</v>
      </c>
      <c r="J82" s="15">
        <v>739</v>
      </c>
      <c r="K82" s="32">
        <f t="shared" ref="K82:K85" si="40">IF(ISNUMBER(J82), (J82 - $B82) / $B82, "")</f>
        <v>-1.5978695073235686E-2</v>
      </c>
      <c r="L82" s="18">
        <f>IF(ISNUMBER(J82), $B91 * K82, "")</f>
        <v>-1597.8695073235685</v>
      </c>
      <c r="M82" s="31">
        <v>737</v>
      </c>
      <c r="N82" s="32">
        <f t="shared" ref="N82:N85" si="41">IF(ISNUMBER(M82), (M82 - $B82) / $B82, "")</f>
        <v>-1.8641810918774968E-2</v>
      </c>
      <c r="O82" s="18">
        <f>IF(ISNUMBER(M82), $B91 * N82, "")</f>
        <v>-1864.1810918774968</v>
      </c>
      <c r="Q82" s="223"/>
      <c r="R82" s="224"/>
      <c r="S82" s="225"/>
    </row>
    <row r="83" spans="1:19" ht="17.25" thickBot="1">
      <c r="A83" s="125" t="s">
        <v>118</v>
      </c>
      <c r="B83" s="126">
        <v>141</v>
      </c>
      <c r="C83" s="77">
        <v>1.43884892E-2</v>
      </c>
      <c r="D83" s="15">
        <v>140</v>
      </c>
      <c r="E83" s="32">
        <f t="shared" si="38"/>
        <v>-7.0921985815602835E-3</v>
      </c>
      <c r="F83" s="18">
        <f>IF(ISNUMBER(D83), $B91 * E83, "")</f>
        <v>-709.21985815602841</v>
      </c>
      <c r="G83" s="31">
        <v>139</v>
      </c>
      <c r="H83" s="32">
        <f t="shared" si="39"/>
        <v>-1.4184397163120567E-2</v>
      </c>
      <c r="I83" s="101">
        <f>IF(ISNUMBER(G83), $B91 * H83, "")</f>
        <v>-1418.4397163120568</v>
      </c>
      <c r="J83" s="15">
        <v>140</v>
      </c>
      <c r="K83" s="32">
        <f t="shared" si="40"/>
        <v>-7.0921985815602835E-3</v>
      </c>
      <c r="L83" s="18">
        <f>IF(ISNUMBER(J83), $B91 * K83, "")</f>
        <v>-709.21985815602841</v>
      </c>
      <c r="M83" s="31">
        <v>140</v>
      </c>
      <c r="N83" s="32">
        <f t="shared" si="41"/>
        <v>-7.0921985815602835E-3</v>
      </c>
      <c r="O83" s="18">
        <f>IF(ISNUMBER(M83), $B91 * N83, "")</f>
        <v>-709.21985815602841</v>
      </c>
      <c r="Q83" s="216"/>
      <c r="R83" s="216"/>
      <c r="S83" s="216"/>
    </row>
    <row r="84" spans="1:19" ht="17.25" thickBot="1">
      <c r="A84" s="125" t="s">
        <v>174</v>
      </c>
      <c r="B84" s="126">
        <v>215</v>
      </c>
      <c r="C84" s="77">
        <v>9.3896714000000006E-3</v>
      </c>
      <c r="D84" s="15">
        <v>220</v>
      </c>
      <c r="E84" s="32">
        <f t="shared" si="38"/>
        <v>2.3255813953488372E-2</v>
      </c>
      <c r="F84" s="18">
        <f>IF(ISNUMBER(D84), $B91 * E84, "")</f>
        <v>2325.5813953488373</v>
      </c>
      <c r="G84" s="31">
        <v>214</v>
      </c>
      <c r="H84" s="32">
        <f t="shared" si="39"/>
        <v>-4.6511627906976744E-3</v>
      </c>
      <c r="I84" s="101">
        <f>IF(ISNUMBER(G84), $B91 * H84, "")</f>
        <v>-465.11627906976742</v>
      </c>
      <c r="J84" s="15">
        <v>215</v>
      </c>
      <c r="K84" s="32">
        <f t="shared" si="40"/>
        <v>0</v>
      </c>
      <c r="L84" s="18">
        <f>IF(ISNUMBER(J84), $B91 * K84, "")</f>
        <v>0</v>
      </c>
      <c r="M84" s="31">
        <v>213</v>
      </c>
      <c r="N84" s="32">
        <f t="shared" si="41"/>
        <v>-9.3023255813953487E-3</v>
      </c>
      <c r="O84" s="18">
        <f>IF(ISNUMBER(M84), $B91 * N84, "")</f>
        <v>-930.23255813953483</v>
      </c>
      <c r="Q84" s="226"/>
      <c r="R84" s="226"/>
      <c r="S84" s="226"/>
    </row>
    <row r="85" spans="1:19" ht="17.25" thickBot="1">
      <c r="A85" s="127" t="s">
        <v>51</v>
      </c>
      <c r="B85" s="128">
        <v>291</v>
      </c>
      <c r="C85" s="78">
        <v>6.9204152000000001E-3</v>
      </c>
      <c r="D85" s="20">
        <v>288</v>
      </c>
      <c r="E85" s="21">
        <f t="shared" si="38"/>
        <v>-1.0309278350515464E-2</v>
      </c>
      <c r="F85" s="22">
        <f>IF(ISNUMBER(D85), $B91 * E85, "")</f>
        <v>-1030.9278350515465</v>
      </c>
      <c r="G85" s="30">
        <v>285</v>
      </c>
      <c r="H85" s="21">
        <f t="shared" si="39"/>
        <v>-2.0618556701030927E-2</v>
      </c>
      <c r="I85" s="105">
        <f>IF(ISNUMBER(G85), $B91 * H85, "")</f>
        <v>-2061.855670103093</v>
      </c>
      <c r="J85" s="20">
        <v>286</v>
      </c>
      <c r="K85" s="21">
        <f t="shared" si="40"/>
        <v>-1.7182130584192441E-2</v>
      </c>
      <c r="L85" s="22">
        <f>IF(ISNUMBER(J85), $B91 * K85, "")</f>
        <v>-1718.2130584192441</v>
      </c>
      <c r="M85" s="30">
        <v>285</v>
      </c>
      <c r="N85" s="21">
        <f t="shared" si="41"/>
        <v>-2.0618556701030927E-2</v>
      </c>
      <c r="O85" s="22">
        <f>IF(ISNUMBER(M85), $B91 * N85, "")</f>
        <v>-2061.855670103093</v>
      </c>
      <c r="Q85" s="226"/>
      <c r="R85" s="226"/>
      <c r="S85" s="226"/>
    </row>
    <row r="86" spans="1:19" ht="17.25" thickBot="1">
      <c r="A86" s="125" t="s">
        <v>200</v>
      </c>
      <c r="B86" s="129">
        <v>112</v>
      </c>
      <c r="C86" s="80">
        <v>0</v>
      </c>
      <c r="D86" s="106">
        <v>111</v>
      </c>
      <c r="E86" s="107">
        <f>IF(ISNUMBER(D86), (D86 - $B86) / $B86, "")</f>
        <v>-8.9285714285714281E-3</v>
      </c>
      <c r="F86" s="108">
        <f>IF(ISNUMBER(D86), $B91 * E86, "")</f>
        <v>-892.85714285714278</v>
      </c>
      <c r="G86" s="109">
        <v>111</v>
      </c>
      <c r="H86" s="107">
        <f>IF(ISNUMBER(G86), (G86 - $B86) / $B86, "")</f>
        <v>-8.9285714285714281E-3</v>
      </c>
      <c r="I86" s="110">
        <f>IF(ISNUMBER(G86), $B91 * H86, "")</f>
        <v>-892.85714285714278</v>
      </c>
      <c r="J86" s="106">
        <v>110</v>
      </c>
      <c r="K86" s="107">
        <f>IF(ISNUMBER(J86), (J86 - $B86) / $B86, "")</f>
        <v>-1.7857142857142856E-2</v>
      </c>
      <c r="L86" s="108">
        <f>IF(ISNUMBER(J86), $B91 * K86, "")</f>
        <v>-1785.7142857142856</v>
      </c>
      <c r="M86" s="109">
        <v>111</v>
      </c>
      <c r="N86" s="107">
        <f>IF(ISNUMBER(M86), (M86 - $B86) / $B86, "")</f>
        <v>-8.9285714285714281E-3</v>
      </c>
      <c r="O86" s="108">
        <f>IF(ISNUMBER(M86), $B91 * N86, "")</f>
        <v>-892.85714285714278</v>
      </c>
      <c r="Q86" s="216"/>
      <c r="R86" s="216"/>
      <c r="S86" s="216"/>
    </row>
    <row r="87" spans="1:19" ht="17.25" thickBot="1">
      <c r="A87" s="125" t="s">
        <v>253</v>
      </c>
      <c r="B87" s="126">
        <v>748</v>
      </c>
      <c r="C87" s="77">
        <v>-2.6666667000000001E-3</v>
      </c>
      <c r="D87" s="15">
        <v>741</v>
      </c>
      <c r="E87" s="32">
        <f t="shared" ref="E87:E90" si="42">IF(ISNUMBER(D87), (D87 - $B87) / $B87, "")</f>
        <v>-9.3582887700534752E-3</v>
      </c>
      <c r="F87" s="18">
        <f>IF(ISNUMBER(D87), $B91 * E87, "")</f>
        <v>-935.82887700534752</v>
      </c>
      <c r="G87" s="31">
        <v>735</v>
      </c>
      <c r="H87" s="32">
        <f t="shared" ref="H87:H90" si="43">IF(ISNUMBER(G87), (G87 - $B87) / $B87, "")</f>
        <v>-1.7379679144385027E-2</v>
      </c>
      <c r="I87" s="101">
        <f>IF(ISNUMBER(G87), $B91 * H87, "")</f>
        <v>-1737.9679144385027</v>
      </c>
      <c r="J87" s="15">
        <v>739</v>
      </c>
      <c r="K87" s="32">
        <f t="shared" ref="K87:K90" si="44">IF(ISNUMBER(J87), (J87 - $B87) / $B87, "")</f>
        <v>-1.2032085561497326E-2</v>
      </c>
      <c r="L87" s="18">
        <f>IF(ISNUMBER(J87), $B91 * K87, "")</f>
        <v>-1203.2085561497327</v>
      </c>
      <c r="M87" s="31">
        <v>736</v>
      </c>
      <c r="N87" s="32">
        <f t="shared" ref="N87:N90" si="45">IF(ISNUMBER(M87), (M87 - $B87) / $B87, "")</f>
        <v>-1.6042780748663103E-2</v>
      </c>
      <c r="O87" s="18">
        <f>IF(ISNUMBER(M87), $B91 * N87, "")</f>
        <v>-1604.2780748663104</v>
      </c>
      <c r="Q87" s="216"/>
      <c r="R87" s="216"/>
      <c r="S87" s="216"/>
    </row>
    <row r="88" spans="1:19" ht="17.25" thickBot="1">
      <c r="A88" s="125" t="s">
        <v>192</v>
      </c>
      <c r="B88" s="126">
        <v>182</v>
      </c>
      <c r="C88" s="77">
        <v>-5.4644808999999997E-3</v>
      </c>
      <c r="D88" s="15">
        <v>184</v>
      </c>
      <c r="E88" s="32">
        <f t="shared" si="42"/>
        <v>1.098901098901099E-2</v>
      </c>
      <c r="F88" s="18">
        <f>IF(ISNUMBER(D88), $B91 * E88, "")</f>
        <v>1098.901098901099</v>
      </c>
      <c r="G88" s="31">
        <v>180</v>
      </c>
      <c r="H88" s="32">
        <f t="shared" si="43"/>
        <v>-1.098901098901099E-2</v>
      </c>
      <c r="I88" s="101">
        <f>IF(ISNUMBER(G88), $B91 * H88, "")</f>
        <v>-1098.901098901099</v>
      </c>
      <c r="J88" s="15">
        <v>181</v>
      </c>
      <c r="K88" s="32">
        <f t="shared" si="44"/>
        <v>-5.4945054945054949E-3</v>
      </c>
      <c r="L88" s="18">
        <f>IF(ISNUMBER(J88), $B91 * K88, "")</f>
        <v>-549.45054945054949</v>
      </c>
      <c r="M88" s="31">
        <v>180</v>
      </c>
      <c r="N88" s="32">
        <f t="shared" si="45"/>
        <v>-1.098901098901099E-2</v>
      </c>
      <c r="O88" s="18">
        <f>IF(ISNUMBER(M88), $B91 * N88, "")</f>
        <v>-1098.901098901099</v>
      </c>
      <c r="Q88" s="216"/>
      <c r="R88" s="216"/>
      <c r="S88" s="216"/>
    </row>
    <row r="89" spans="1:19">
      <c r="A89" s="125" t="s">
        <v>102</v>
      </c>
      <c r="B89" s="126">
        <v>830</v>
      </c>
      <c r="C89" s="77">
        <v>-5.9880239999999998E-3</v>
      </c>
      <c r="D89" s="15">
        <v>820</v>
      </c>
      <c r="E89" s="32">
        <f t="shared" si="42"/>
        <v>-1.2048192771084338E-2</v>
      </c>
      <c r="F89" s="18">
        <f>IF(ISNUMBER(D89), $B91 * E89, "")</f>
        <v>-1204.8192771084339</v>
      </c>
      <c r="G89" s="31">
        <v>814</v>
      </c>
      <c r="H89" s="32">
        <f t="shared" si="43"/>
        <v>-1.9277108433734941E-2</v>
      </c>
      <c r="I89" s="101">
        <f>IF(ISNUMBER(G89), $B91 * H89, "")</f>
        <v>-1927.7108433734941</v>
      </c>
      <c r="J89" s="15">
        <v>818</v>
      </c>
      <c r="K89" s="32">
        <f t="shared" si="44"/>
        <v>-1.4457831325301205E-2</v>
      </c>
      <c r="L89" s="18">
        <f>IF(ISNUMBER(J89), $B91 * K89, "")</f>
        <v>-1445.7831325301206</v>
      </c>
      <c r="M89" s="31">
        <v>813</v>
      </c>
      <c r="N89" s="32">
        <f t="shared" si="45"/>
        <v>-2.0481927710843374E-2</v>
      </c>
      <c r="O89" s="18">
        <f>IF(ISNUMBER(M89), $B91 * N89, "")</f>
        <v>-2048.1927710843374</v>
      </c>
      <c r="Q89" s="205"/>
      <c r="R89" s="206"/>
      <c r="S89" s="207"/>
    </row>
    <row r="90" spans="1:19" ht="17.25" thickBot="1">
      <c r="A90" s="130" t="s">
        <v>164</v>
      </c>
      <c r="B90" s="131">
        <v>232</v>
      </c>
      <c r="C90" s="79">
        <v>-8.5470084999999998E-3</v>
      </c>
      <c r="D90" s="24">
        <v>234</v>
      </c>
      <c r="E90" s="25">
        <f t="shared" si="42"/>
        <v>8.6206896551724137E-3</v>
      </c>
      <c r="F90" s="104">
        <f>IF(ISNUMBER(D90), $B91 * E90, "")</f>
        <v>862.06896551724139</v>
      </c>
      <c r="G90" s="102">
        <v>232</v>
      </c>
      <c r="H90" s="25">
        <f t="shared" si="43"/>
        <v>0</v>
      </c>
      <c r="I90" s="103">
        <f>IF(ISNUMBER(G90), $B91 * H90, "")</f>
        <v>0</v>
      </c>
      <c r="J90" s="24">
        <v>234</v>
      </c>
      <c r="K90" s="25">
        <f t="shared" si="44"/>
        <v>8.6206896551724137E-3</v>
      </c>
      <c r="L90" s="104">
        <f>IF(ISNUMBER(J90), $B91 * K90, "")</f>
        <v>862.06896551724139</v>
      </c>
      <c r="M90" s="102">
        <v>232</v>
      </c>
      <c r="N90" s="25">
        <f t="shared" si="45"/>
        <v>0</v>
      </c>
      <c r="O90" s="104">
        <f>IF(ISNUMBER(M90), $B91 * N90, "")</f>
        <v>0</v>
      </c>
      <c r="Q90" s="208"/>
      <c r="R90" s="209"/>
      <c r="S90" s="210"/>
    </row>
    <row r="91" spans="1:19" ht="17.25" thickBot="1">
      <c r="A91" s="132" t="s">
        <v>271</v>
      </c>
      <c r="B91" s="269">
        <f>$B$37</f>
        <v>100000</v>
      </c>
      <c r="C91" s="270"/>
      <c r="D91" s="26" t="s">
        <v>272</v>
      </c>
      <c r="E91" s="27">
        <f>IF(COUNT(E71:E90), SUM(E71:E90) / COUNT(E71:E90), 0)</f>
        <v>6.7411083041379856E-3</v>
      </c>
      <c r="F91" s="28">
        <f>SUM(F71:F90)</f>
        <v>13482.216608275972</v>
      </c>
      <c r="G91" s="26" t="s">
        <v>272</v>
      </c>
      <c r="H91" s="27">
        <f>IF(COUNT(H71:H90), SUM(H71:H90) / COUNT(H71:H90), 0)</f>
        <v>-7.106008781966566E-4</v>
      </c>
      <c r="I91" s="28">
        <f>SUM(I71:I90)</f>
        <v>-1421.2017563933125</v>
      </c>
      <c r="J91" s="26" t="s">
        <v>272</v>
      </c>
      <c r="K91" s="27">
        <f>IF(COUNT(K71:K90), SUM(K71:K90) / COUNT(K71:K90), 0)</f>
        <v>2.3737572154544063E-3</v>
      </c>
      <c r="L91" s="28">
        <f>SUM(L71:L90)</f>
        <v>4747.5144309088137</v>
      </c>
      <c r="M91" s="26" t="s">
        <v>272</v>
      </c>
      <c r="N91" s="27">
        <f>IF(COUNT(N71:N90), SUM(N71:N90) / COUNT(N71:N90), 0)</f>
        <v>4.6968476943783808E-3</v>
      </c>
      <c r="O91" s="28">
        <f>SUM(O71:O90)</f>
        <v>9393.6953887567652</v>
      </c>
      <c r="Q91" s="211"/>
      <c r="R91" s="212"/>
      <c r="S91" s="213"/>
    </row>
    <row r="93" spans="1:19" ht="17.25" thickBot="1"/>
    <row r="94" spans="1:19" ht="17.25" thickBot="1">
      <c r="A94" s="227" t="s">
        <v>46</v>
      </c>
      <c r="B94" s="228"/>
      <c r="C94" s="228"/>
      <c r="D94" s="228"/>
      <c r="E94" s="228"/>
      <c r="F94" s="228"/>
      <c r="G94" s="228"/>
      <c r="H94" s="228"/>
      <c r="I94" s="228"/>
      <c r="J94" s="228"/>
      <c r="K94" s="228"/>
      <c r="L94" s="228"/>
      <c r="M94" s="228"/>
      <c r="N94" s="228"/>
      <c r="O94" s="229"/>
      <c r="Q94" s="226"/>
      <c r="R94" s="226"/>
      <c r="S94" s="226"/>
    </row>
    <row r="95" spans="1:19" ht="17.25" thickBot="1">
      <c r="A95" s="193" t="s">
        <v>268</v>
      </c>
      <c r="B95" s="227" t="s">
        <v>49</v>
      </c>
      <c r="C95" s="229"/>
      <c r="D95" s="227" t="s">
        <v>58</v>
      </c>
      <c r="E95" s="228"/>
      <c r="F95" s="229"/>
      <c r="G95" s="230">
        <f>_xlfn.IFNA(VLOOKUP(B95, 현재가테이블!$B$2:$D$200, 2, FALSE), "-")</f>
        <v>39916000</v>
      </c>
      <c r="H95" s="231"/>
      <c r="I95" s="232"/>
      <c r="J95" s="227" t="s">
        <v>59</v>
      </c>
      <c r="K95" s="228"/>
      <c r="L95" s="229"/>
      <c r="M95" s="233">
        <f>_xlfn.IFNA(VLOOKUP(B95, 현재가테이블!$B$2:$D$200, 3, FALSE), "-")</f>
        <v>7.3184273000000003E-3</v>
      </c>
      <c r="N95" s="234"/>
      <c r="O95" s="235"/>
      <c r="Q95" s="226"/>
      <c r="R95" s="226"/>
      <c r="S95" s="226"/>
    </row>
    <row r="96" spans="1:19" ht="17.25" thickBot="1">
      <c r="A96" s="271" t="s">
        <v>55</v>
      </c>
      <c r="B96" s="267" t="str">
        <f>TEXT($G$1, "[$-ko-KR]yyyy-mm-dd(ddd) ") &amp; "오전 00:00"</f>
        <v>2021-07-10(토) 오전 00:00</v>
      </c>
      <c r="C96" s="268"/>
      <c r="D96" s="240" t="str">
        <f>TEXT($G$1, "[$-ko-KR]yyyy-mm-dd(ddd) ") &amp; "오후 14:00"</f>
        <v>2021-07-10(토) 오후 14:00</v>
      </c>
      <c r="E96" s="241"/>
      <c r="F96" s="242"/>
      <c r="G96" s="240" t="str">
        <f>TEXT($G$1, "[$-ko-KR]yyyy-mm-dd(ddd) ") &amp; "오후 19:00"</f>
        <v>2021-07-10(토) 오후 19:00</v>
      </c>
      <c r="H96" s="241"/>
      <c r="I96" s="242"/>
      <c r="J96" s="240" t="str">
        <f>TEXT($G$1, "[$-ko-KR]yyyy-mm-dd(ddd) ") &amp; "오후 21:00"</f>
        <v>2021-07-10(토) 오후 21:00</v>
      </c>
      <c r="K96" s="241"/>
      <c r="L96" s="242"/>
      <c r="M96" s="240" t="str">
        <f>TEXT($G$1+1, "[$-ko-KR]yyyy-mm-dd(ddd) ") &amp; "오전 00:00"</f>
        <v>2021-07-11(일) 오전 00:00</v>
      </c>
      <c r="N96" s="241"/>
      <c r="O96" s="242"/>
      <c r="Q96" s="226"/>
      <c r="R96" s="226"/>
      <c r="S96" s="226"/>
    </row>
    <row r="97" spans="1:19" ht="17.25" thickBot="1">
      <c r="A97" s="27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4" t="s">
        <v>58</v>
      </c>
      <c r="H97" s="195" t="s">
        <v>269</v>
      </c>
      <c r="I97" s="19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6"/>
      <c r="R97" s="216"/>
      <c r="S97" s="216"/>
    </row>
    <row r="98" spans="1:19" ht="17.25" thickBot="1">
      <c r="A98" s="123" t="s">
        <v>154</v>
      </c>
      <c r="B98" s="124">
        <v>17030</v>
      </c>
      <c r="C98" s="76">
        <v>0.1867595819</v>
      </c>
      <c r="D98" s="13">
        <v>21370</v>
      </c>
      <c r="E98" s="14">
        <f>IF(ISNUMBER(D98), (D98 - $B98) / $B98, "")</f>
        <v>0.25484439224897243</v>
      </c>
      <c r="F98" s="16">
        <f>IF(ISNUMBER(D98), $B118 * E98, "")</f>
        <v>25484.439224897244</v>
      </c>
      <c r="G98" s="29">
        <v>21110</v>
      </c>
      <c r="H98" s="14">
        <f>IF(ISNUMBER(G98), (G98 - $B98) / $B98, "")</f>
        <v>0.23957721667645332</v>
      </c>
      <c r="I98" s="100">
        <f>IF(ISNUMBER(G98), $B118 * H98, "")</f>
        <v>23957.721667645332</v>
      </c>
      <c r="J98" s="13">
        <v>21500</v>
      </c>
      <c r="K98" s="14">
        <f>IF(ISNUMBER(J98), (J98 - $B98) / $B98, "")</f>
        <v>0.26247798003523193</v>
      </c>
      <c r="L98" s="16">
        <f>IF(ISNUMBER(J98), $B118 * K98, "")</f>
        <v>26247.798003523192</v>
      </c>
      <c r="M98" s="29">
        <v>21830</v>
      </c>
      <c r="N98" s="14">
        <f>IF(ISNUMBER(M98), (M98 - $B98) / $B98, "")</f>
        <v>0.28185554903112153</v>
      </c>
      <c r="O98" s="16">
        <f>IF(ISNUMBER(M98), $B118 * N98, "")</f>
        <v>28185.554903112152</v>
      </c>
      <c r="Q98" s="226"/>
      <c r="R98" s="226"/>
      <c r="S98" s="226"/>
    </row>
    <row r="99" spans="1:19" ht="17.25" thickBot="1">
      <c r="A99" s="125" t="s">
        <v>84</v>
      </c>
      <c r="B99" s="126">
        <v>4830</v>
      </c>
      <c r="C99" s="77">
        <v>0.12850467290000001</v>
      </c>
      <c r="D99" s="15">
        <v>4890</v>
      </c>
      <c r="E99" s="32">
        <f t="shared" ref="E99:E102" si="46">IF(ISNUMBER(D99), (D99 - $B99) / $B99, "")</f>
        <v>1.2422360248447204E-2</v>
      </c>
      <c r="F99" s="18">
        <f>IF(ISNUMBER(D99), $B118 * E99, "")</f>
        <v>1242.2360248447203</v>
      </c>
      <c r="G99" s="31">
        <v>4755</v>
      </c>
      <c r="H99" s="32">
        <f t="shared" ref="H99:H102" si="47">IF(ISNUMBER(G99), (G99 - $B99) / $B99, "")</f>
        <v>-1.5527950310559006E-2</v>
      </c>
      <c r="I99" s="101">
        <f>IF(ISNUMBER(G99), $B118 * H99, "")</f>
        <v>-1552.7950310559006</v>
      </c>
      <c r="J99" s="15">
        <v>4790</v>
      </c>
      <c r="K99" s="32">
        <f t="shared" ref="K99:K102" si="48">IF(ISNUMBER(J99), (J99 - $B99) / $B99, "")</f>
        <v>-8.2815734989648039E-3</v>
      </c>
      <c r="L99" s="18">
        <f>IF(ISNUMBER(J99), $B118 * K99, "")</f>
        <v>-828.15734989648035</v>
      </c>
      <c r="M99" s="31">
        <v>4720</v>
      </c>
      <c r="N99" s="32">
        <f t="shared" ref="N99:N102" si="49">IF(ISNUMBER(M99), (M99 - $B99) / $B99, "")</f>
        <v>-2.2774327122153208E-2</v>
      </c>
      <c r="O99" s="18">
        <f>IF(ISNUMBER(M99), $B118 * N99, "")</f>
        <v>-2277.4327122153209</v>
      </c>
      <c r="Q99" s="226"/>
      <c r="R99" s="226"/>
      <c r="S99" s="226"/>
    </row>
    <row r="100" spans="1:19" ht="17.25" thickBot="1">
      <c r="A100" s="125" t="s">
        <v>74</v>
      </c>
      <c r="B100" s="126">
        <v>15710</v>
      </c>
      <c r="C100" s="77">
        <v>0.1086803105</v>
      </c>
      <c r="D100" s="15">
        <v>15680</v>
      </c>
      <c r="E100" s="32">
        <f t="shared" si="46"/>
        <v>-1.9096117122851686E-3</v>
      </c>
      <c r="F100" s="18">
        <f>IF(ISNUMBER(D100), $B118 * E100, "")</f>
        <v>-190.96117122851686</v>
      </c>
      <c r="G100" s="31">
        <v>15790</v>
      </c>
      <c r="H100" s="32">
        <f t="shared" si="47"/>
        <v>5.0922978994271161E-3</v>
      </c>
      <c r="I100" s="101">
        <f>IF(ISNUMBER(G100), $B118 * H100, "")</f>
        <v>509.22978994271159</v>
      </c>
      <c r="J100" s="15">
        <v>15930</v>
      </c>
      <c r="K100" s="32">
        <f t="shared" si="48"/>
        <v>1.4003819223424571E-2</v>
      </c>
      <c r="L100" s="18">
        <f>IF(ISNUMBER(J100), $B118 * K100, "")</f>
        <v>1400.3819223424571</v>
      </c>
      <c r="M100" s="31">
        <v>15870</v>
      </c>
      <c r="N100" s="32">
        <f t="shared" si="49"/>
        <v>1.0184595798854232E-2</v>
      </c>
      <c r="O100" s="18">
        <f>IF(ISNUMBER(M100), $B118 * N100, "")</f>
        <v>1018.4595798854232</v>
      </c>
      <c r="Q100" s="216"/>
      <c r="R100" s="216"/>
      <c r="S100" s="216"/>
    </row>
    <row r="101" spans="1:19" ht="17.25" thickBot="1">
      <c r="A101" s="125" t="s">
        <v>166</v>
      </c>
      <c r="B101" s="126">
        <v>130</v>
      </c>
      <c r="C101" s="77">
        <v>0.10169491529999999</v>
      </c>
      <c r="D101" s="15">
        <v>136</v>
      </c>
      <c r="E101" s="32">
        <f t="shared" si="46"/>
        <v>4.6153846153846156E-2</v>
      </c>
      <c r="F101" s="18">
        <f>IF(ISNUMBER(D101), $B118 * E101, "")</f>
        <v>4615.3846153846152</v>
      </c>
      <c r="G101" s="31">
        <v>138</v>
      </c>
      <c r="H101" s="32">
        <f t="shared" si="47"/>
        <v>6.1538461538461542E-2</v>
      </c>
      <c r="I101" s="101">
        <f>IF(ISNUMBER(G101), $B118 * H101, "")</f>
        <v>6153.8461538461543</v>
      </c>
      <c r="J101" s="15">
        <v>138</v>
      </c>
      <c r="K101" s="32">
        <f t="shared" si="48"/>
        <v>6.1538461538461542E-2</v>
      </c>
      <c r="L101" s="18">
        <f>IF(ISNUMBER(J101), $B118 * K101, "")</f>
        <v>6153.8461538461543</v>
      </c>
      <c r="M101" s="31">
        <v>138</v>
      </c>
      <c r="N101" s="32">
        <f t="shared" si="49"/>
        <v>6.1538461538461542E-2</v>
      </c>
      <c r="O101" s="18">
        <f>IF(ISNUMBER(M101), $B118 * N101, "")</f>
        <v>6153.8461538461543</v>
      </c>
      <c r="Q101" s="216"/>
      <c r="R101" s="216"/>
      <c r="S101" s="216"/>
    </row>
    <row r="102" spans="1:19" ht="17.25" thickBot="1">
      <c r="A102" s="127" t="s">
        <v>228</v>
      </c>
      <c r="B102" s="128">
        <v>309</v>
      </c>
      <c r="C102" s="78">
        <v>8.4210526300000005E-2</v>
      </c>
      <c r="D102" s="20">
        <v>302</v>
      </c>
      <c r="E102" s="21">
        <f t="shared" si="46"/>
        <v>-2.2653721682847898E-2</v>
      </c>
      <c r="F102" s="22">
        <f>IF(ISNUMBER(D102), $B118 * E102, "")</f>
        <v>-2265.37216828479</v>
      </c>
      <c r="G102" s="30">
        <v>299</v>
      </c>
      <c r="H102" s="21">
        <f t="shared" si="47"/>
        <v>-3.2362459546925564E-2</v>
      </c>
      <c r="I102" s="105">
        <f>IF(ISNUMBER(G102), $B118 * H102, "")</f>
        <v>-3236.2459546925566</v>
      </c>
      <c r="J102" s="20">
        <v>299</v>
      </c>
      <c r="K102" s="21">
        <f t="shared" si="48"/>
        <v>-3.2362459546925564E-2</v>
      </c>
      <c r="L102" s="22">
        <f>IF(ISNUMBER(J102), $B118 * K102, "")</f>
        <v>-3236.2459546925566</v>
      </c>
      <c r="M102" s="30">
        <v>298</v>
      </c>
      <c r="N102" s="21">
        <f t="shared" si="49"/>
        <v>-3.5598705501618123E-2</v>
      </c>
      <c r="O102" s="22">
        <f>IF(ISNUMBER(M102), $B118 * N102, "")</f>
        <v>-3559.8705501618124</v>
      </c>
      <c r="Q102" s="216"/>
      <c r="R102" s="216"/>
      <c r="S102" s="216"/>
    </row>
    <row r="103" spans="1:19" ht="17.25" thickBot="1">
      <c r="A103" s="125" t="s">
        <v>267</v>
      </c>
      <c r="B103" s="129">
        <v>261</v>
      </c>
      <c r="C103" s="80">
        <v>6.0975609799999997E-2</v>
      </c>
      <c r="D103" s="106">
        <v>259</v>
      </c>
      <c r="E103" s="107">
        <f>IF(ISNUMBER(D103), (D103 - $B103) / $B103, "")</f>
        <v>-7.6628352490421452E-3</v>
      </c>
      <c r="F103" s="108">
        <f>IF(ISNUMBER(D103), $B118 * E103, "")</f>
        <v>-766.28352490421457</v>
      </c>
      <c r="G103" s="109">
        <v>255</v>
      </c>
      <c r="H103" s="107">
        <f>IF(ISNUMBER(G103), (G103 - $B103) / $B103, "")</f>
        <v>-2.2988505747126436E-2</v>
      </c>
      <c r="I103" s="110">
        <f>IF(ISNUMBER(G103), $B118 * H103, "")</f>
        <v>-2298.8505747126437</v>
      </c>
      <c r="J103" s="106">
        <v>256</v>
      </c>
      <c r="K103" s="107">
        <f>IF(ISNUMBER(J103), (J103 - $B103) / $B103, "")</f>
        <v>-1.9157088122605363E-2</v>
      </c>
      <c r="L103" s="108">
        <f>IF(ISNUMBER(J103), $B118 * K103, "")</f>
        <v>-1915.7088122605362</v>
      </c>
      <c r="M103" s="109">
        <v>254</v>
      </c>
      <c r="N103" s="107">
        <f>IF(ISNUMBER(M103), (M103 - $B103) / $B103, "")</f>
        <v>-2.681992337164751E-2</v>
      </c>
      <c r="O103" s="108">
        <f>IF(ISNUMBER(M103), $B118 * N103, "")</f>
        <v>-2681.992337164751</v>
      </c>
      <c r="Q103" s="216"/>
      <c r="R103" s="216"/>
      <c r="S103" s="216"/>
    </row>
    <row r="104" spans="1:19" ht="17.25" thickBot="1">
      <c r="A104" s="125" t="s">
        <v>224</v>
      </c>
      <c r="B104" s="126">
        <v>3010</v>
      </c>
      <c r="C104" s="77">
        <v>5.4290718000000002E-2</v>
      </c>
      <c r="D104" s="15">
        <v>2925</v>
      </c>
      <c r="E104" s="32">
        <f t="shared" ref="E104:E107" si="50">IF(ISNUMBER(D104), (D104 - $B104) / $B104, "")</f>
        <v>-2.823920265780731E-2</v>
      </c>
      <c r="F104" s="18">
        <f>IF(ISNUMBER(D104), $B118 * E104, "")</f>
        <v>-2823.9202657807309</v>
      </c>
      <c r="G104" s="31">
        <v>2905</v>
      </c>
      <c r="H104" s="32">
        <f t="shared" ref="H104:H107" si="51">IF(ISNUMBER(G104), (G104 - $B104) / $B104, "")</f>
        <v>-3.4883720930232558E-2</v>
      </c>
      <c r="I104" s="101">
        <f>IF(ISNUMBER(G104), $B118 * H104, "")</f>
        <v>-3488.3720930232557</v>
      </c>
      <c r="J104" s="15">
        <v>2915</v>
      </c>
      <c r="K104" s="32">
        <f t="shared" ref="K104:K107" si="52">IF(ISNUMBER(J104), (J104 - $B104) / $B104, "")</f>
        <v>-3.1561461794019932E-2</v>
      </c>
      <c r="L104" s="18">
        <f>IF(ISNUMBER(J104), $B118 * K104, "")</f>
        <v>-3156.1461794019933</v>
      </c>
      <c r="M104" s="31">
        <v>2910</v>
      </c>
      <c r="N104" s="32">
        <f t="shared" ref="N104:N107" si="53">IF(ISNUMBER(M104), (M104 - $B104) / $B104, "")</f>
        <v>-3.3222591362126248E-2</v>
      </c>
      <c r="O104" s="18">
        <f>IF(ISNUMBER(M104), $B118 * N104, "")</f>
        <v>-3322.259136212625</v>
      </c>
      <c r="Q104" s="216"/>
      <c r="R104" s="216"/>
      <c r="S104" s="216"/>
    </row>
    <row r="105" spans="1:19" ht="17.25" thickBot="1">
      <c r="A105" s="125" t="s">
        <v>176</v>
      </c>
      <c r="B105" s="126">
        <v>1175</v>
      </c>
      <c r="C105" s="77">
        <v>4.9107142899999998E-2</v>
      </c>
      <c r="D105" s="15">
        <v>1175</v>
      </c>
      <c r="E105" s="32">
        <f t="shared" si="50"/>
        <v>0</v>
      </c>
      <c r="F105" s="18">
        <f>IF(ISNUMBER(D105), $B118 * E105, "")</f>
        <v>0</v>
      </c>
      <c r="G105" s="31">
        <v>1165</v>
      </c>
      <c r="H105" s="32">
        <f t="shared" si="51"/>
        <v>-8.5106382978723406E-3</v>
      </c>
      <c r="I105" s="101">
        <f>IF(ISNUMBER(G105), $B118 * H105, "")</f>
        <v>-851.06382978723411</v>
      </c>
      <c r="J105" s="15">
        <v>1170</v>
      </c>
      <c r="K105" s="32">
        <f t="shared" si="52"/>
        <v>-4.2553191489361703E-3</v>
      </c>
      <c r="L105" s="18">
        <f>IF(ISNUMBER(J105), $B118 * K105, "")</f>
        <v>-425.53191489361706</v>
      </c>
      <c r="M105" s="31">
        <v>1150</v>
      </c>
      <c r="N105" s="32">
        <f t="shared" si="53"/>
        <v>-2.1276595744680851E-2</v>
      </c>
      <c r="O105" s="18">
        <f>IF(ISNUMBER(M105), $B118 * N105, "")</f>
        <v>-2127.6595744680849</v>
      </c>
      <c r="Q105" s="216"/>
      <c r="R105" s="216"/>
      <c r="S105" s="216"/>
    </row>
    <row r="106" spans="1:19" ht="17.25" thickBot="1">
      <c r="A106" s="125" t="s">
        <v>104</v>
      </c>
      <c r="B106" s="126">
        <v>1045</v>
      </c>
      <c r="C106" s="77">
        <v>3.9800994999999999E-2</v>
      </c>
      <c r="D106" s="15">
        <v>978</v>
      </c>
      <c r="E106" s="32">
        <f t="shared" si="50"/>
        <v>-6.4114832535885166E-2</v>
      </c>
      <c r="F106" s="18">
        <f>IF(ISNUMBER(D106), $B118 * E106, "")</f>
        <v>-6411.4832535885162</v>
      </c>
      <c r="G106" s="31">
        <v>956</v>
      </c>
      <c r="H106" s="32">
        <f t="shared" si="51"/>
        <v>-8.5167464114832531E-2</v>
      </c>
      <c r="I106" s="101">
        <f>IF(ISNUMBER(G106), $B118 * H106, "")</f>
        <v>-8516.7464114832528</v>
      </c>
      <c r="J106" s="15">
        <v>960</v>
      </c>
      <c r="K106" s="32">
        <f t="shared" si="52"/>
        <v>-8.1339712918660281E-2</v>
      </c>
      <c r="L106" s="18">
        <f>IF(ISNUMBER(J106), $B118 * K106, "")</f>
        <v>-8133.971291866028</v>
      </c>
      <c r="M106" s="31">
        <v>973</v>
      </c>
      <c r="N106" s="32">
        <f t="shared" si="53"/>
        <v>-6.8899521531100474E-2</v>
      </c>
      <c r="O106" s="18">
        <f>IF(ISNUMBER(M106), $B118 * N106, "")</f>
        <v>-6889.9521531100472</v>
      </c>
      <c r="Q106" s="33"/>
      <c r="R106" s="33"/>
    </row>
    <row r="107" spans="1:19" ht="17.25" thickBot="1">
      <c r="A107" s="130" t="s">
        <v>214</v>
      </c>
      <c r="B107" s="131">
        <v>240</v>
      </c>
      <c r="C107" s="79">
        <v>3.8961039000000003E-2</v>
      </c>
      <c r="D107" s="24">
        <v>239</v>
      </c>
      <c r="E107" s="25">
        <f t="shared" si="50"/>
        <v>-4.1666666666666666E-3</v>
      </c>
      <c r="F107" s="104">
        <f>IF(ISNUMBER(D107), $B118 * E107, "")</f>
        <v>-416.66666666666669</v>
      </c>
      <c r="G107" s="102">
        <v>235</v>
      </c>
      <c r="H107" s="25">
        <f t="shared" si="51"/>
        <v>-2.0833333333333332E-2</v>
      </c>
      <c r="I107" s="103">
        <f>IF(ISNUMBER(G107), $B118 * H107, "")</f>
        <v>-2083.333333333333</v>
      </c>
      <c r="J107" s="24">
        <v>237</v>
      </c>
      <c r="K107" s="25">
        <f t="shared" si="52"/>
        <v>-1.2500000000000001E-2</v>
      </c>
      <c r="L107" s="104">
        <f>IF(ISNUMBER(J107), $B118 * K107, "")</f>
        <v>-1250</v>
      </c>
      <c r="M107" s="102">
        <v>238</v>
      </c>
      <c r="N107" s="25">
        <f t="shared" si="53"/>
        <v>-8.3333333333333332E-3</v>
      </c>
      <c r="O107" s="104">
        <f>IF(ISNUMBER(M107), $B118 * N107, "")</f>
        <v>-833.33333333333337</v>
      </c>
      <c r="Q107" s="217"/>
      <c r="R107" s="218"/>
      <c r="S107" s="219"/>
    </row>
    <row r="108" spans="1:19">
      <c r="A108" s="123" t="s">
        <v>220</v>
      </c>
      <c r="B108" s="124">
        <v>166</v>
      </c>
      <c r="C108" s="76">
        <v>3.7499999999999999E-2</v>
      </c>
      <c r="D108" s="13">
        <v>166</v>
      </c>
      <c r="E108" s="14">
        <f>IF(ISNUMBER(D108), (D108 - $B108) / $B108, "")</f>
        <v>0</v>
      </c>
      <c r="F108" s="16">
        <f>IF(ISNUMBER(D108), $B118 * E108, "")</f>
        <v>0</v>
      </c>
      <c r="G108" s="29">
        <v>168</v>
      </c>
      <c r="H108" s="14">
        <f>IF(ISNUMBER(G108), (G108 - $B108) / $B108, "")</f>
        <v>1.2048192771084338E-2</v>
      </c>
      <c r="I108" s="100">
        <f>IF(ISNUMBER(G108), $B118 * H108, "")</f>
        <v>1204.8192771084339</v>
      </c>
      <c r="J108" s="13">
        <v>169</v>
      </c>
      <c r="K108" s="14">
        <f>IF(ISNUMBER(J108), (J108 - $B108) / $B108, "")</f>
        <v>1.8072289156626505E-2</v>
      </c>
      <c r="L108" s="16">
        <f>IF(ISNUMBER(J108), $B118 * K108, "")</f>
        <v>1807.2289156626505</v>
      </c>
      <c r="M108" s="29">
        <v>169</v>
      </c>
      <c r="N108" s="14">
        <f>IF(ISNUMBER(M108), (M108 - $B108) / $B108, "")</f>
        <v>1.8072289156626505E-2</v>
      </c>
      <c r="O108" s="16">
        <f>IF(ISNUMBER(M108), $B118 * N108, "")</f>
        <v>1807.2289156626505</v>
      </c>
      <c r="Q108" s="220"/>
      <c r="R108" s="221"/>
      <c r="S108" s="222"/>
    </row>
    <row r="109" spans="1:19" ht="17.25" thickBot="1">
      <c r="A109" s="125" t="s">
        <v>110</v>
      </c>
      <c r="B109" s="126">
        <v>114</v>
      </c>
      <c r="C109" s="77">
        <v>3.6363636400000003E-2</v>
      </c>
      <c r="D109" s="15">
        <v>115</v>
      </c>
      <c r="E109" s="32">
        <f t="shared" ref="E109:E112" si="54">IF(ISNUMBER(D109), (D109 - $B109) / $B109, "")</f>
        <v>8.771929824561403E-3</v>
      </c>
      <c r="F109" s="18">
        <f>IF(ISNUMBER(D109), $B118 * E109, "")</f>
        <v>877.19298245614027</v>
      </c>
      <c r="G109" s="31">
        <v>118</v>
      </c>
      <c r="H109" s="32">
        <f t="shared" ref="H109:H112" si="55">IF(ISNUMBER(G109), (G109 - $B109) / $B109, "")</f>
        <v>3.5087719298245612E-2</v>
      </c>
      <c r="I109" s="101">
        <f>IF(ISNUMBER(G109), $B118 * H109, "")</f>
        <v>3508.7719298245611</v>
      </c>
      <c r="J109" s="15">
        <v>118</v>
      </c>
      <c r="K109" s="32">
        <f t="shared" ref="K109:K112" si="56">IF(ISNUMBER(J109), (J109 - $B109) / $B109, "")</f>
        <v>3.5087719298245612E-2</v>
      </c>
      <c r="L109" s="18">
        <f>IF(ISNUMBER(J109), $B118 * K109, "")</f>
        <v>3508.7719298245611</v>
      </c>
      <c r="M109" s="31">
        <v>119</v>
      </c>
      <c r="N109" s="32">
        <f t="shared" ref="N109:N112" si="57">IF(ISNUMBER(M109), (M109 - $B109) / $B109, "")</f>
        <v>4.3859649122807015E-2</v>
      </c>
      <c r="O109" s="18">
        <f>IF(ISNUMBER(M109), $B118 * N109, "")</f>
        <v>4385.9649122807014</v>
      </c>
      <c r="Q109" s="223"/>
      <c r="R109" s="224"/>
      <c r="S109" s="225"/>
    </row>
    <row r="110" spans="1:19" ht="17.25" thickBot="1">
      <c r="A110" s="125" t="s">
        <v>255</v>
      </c>
      <c r="B110" s="126">
        <v>193</v>
      </c>
      <c r="C110" s="77">
        <v>3.2085561499999998E-2</v>
      </c>
      <c r="D110" s="15">
        <v>192</v>
      </c>
      <c r="E110" s="32">
        <f t="shared" si="54"/>
        <v>-5.1813471502590676E-3</v>
      </c>
      <c r="F110" s="18">
        <f>IF(ISNUMBER(D110), $B118 * E110, "")</f>
        <v>-518.13471502590676</v>
      </c>
      <c r="G110" s="31">
        <v>188</v>
      </c>
      <c r="H110" s="32">
        <f t="shared" si="55"/>
        <v>-2.5906735751295335E-2</v>
      </c>
      <c r="I110" s="101">
        <f>IF(ISNUMBER(G110), $B118 * H110, "")</f>
        <v>-2590.6735751295337</v>
      </c>
      <c r="J110" s="15">
        <v>188</v>
      </c>
      <c r="K110" s="32">
        <f t="shared" si="56"/>
        <v>-2.5906735751295335E-2</v>
      </c>
      <c r="L110" s="18">
        <f>IF(ISNUMBER(J110), $B118 * K110, "")</f>
        <v>-2590.6735751295337</v>
      </c>
      <c r="M110" s="31">
        <v>189</v>
      </c>
      <c r="N110" s="32">
        <f t="shared" si="57"/>
        <v>-2.072538860103627E-2</v>
      </c>
      <c r="O110" s="18">
        <f>IF(ISNUMBER(M110), $B118 * N110, "")</f>
        <v>-2072.538860103627</v>
      </c>
      <c r="Q110" s="216"/>
      <c r="R110" s="216"/>
      <c r="S110" s="216"/>
    </row>
    <row r="111" spans="1:19" ht="17.25" thickBot="1">
      <c r="A111" s="125" t="s">
        <v>218</v>
      </c>
      <c r="B111" s="126">
        <v>101</v>
      </c>
      <c r="C111" s="77">
        <v>2.85132383E-2</v>
      </c>
      <c r="D111" s="15">
        <v>101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0</v>
      </c>
      <c r="I111" s="101">
        <f>IF(ISNUMBER(G111), $B118 * H111, "")</f>
        <v>0</v>
      </c>
      <c r="J111" s="15">
        <v>100</v>
      </c>
      <c r="K111" s="32">
        <f t="shared" si="56"/>
        <v>-9.9009900990099011E-3</v>
      </c>
      <c r="L111" s="18">
        <f>IF(ISNUMBER(J111), $B118 * K111, "")</f>
        <v>-990.09900990099015</v>
      </c>
      <c r="M111" s="31">
        <v>102</v>
      </c>
      <c r="N111" s="32">
        <f t="shared" si="57"/>
        <v>9.9009900990099011E-3</v>
      </c>
      <c r="O111" s="18">
        <f>IF(ISNUMBER(M111), $B118 * N111, "")</f>
        <v>990.09900990099015</v>
      </c>
      <c r="Q111" s="226"/>
      <c r="R111" s="226"/>
      <c r="S111" s="226"/>
    </row>
    <row r="112" spans="1:19" ht="17.25" thickBot="1">
      <c r="A112" s="127" t="s">
        <v>61</v>
      </c>
      <c r="B112" s="128">
        <v>784</v>
      </c>
      <c r="C112" s="78">
        <v>2.6178010500000001E-2</v>
      </c>
      <c r="D112" s="20">
        <v>856</v>
      </c>
      <c r="E112" s="21">
        <f t="shared" si="54"/>
        <v>9.1836734693877556E-2</v>
      </c>
      <c r="F112" s="22">
        <f>IF(ISNUMBER(D112), $B118 * E112, "")</f>
        <v>9183.6734693877552</v>
      </c>
      <c r="G112" s="30">
        <v>863</v>
      </c>
      <c r="H112" s="21">
        <f t="shared" si="55"/>
        <v>0.10076530612244898</v>
      </c>
      <c r="I112" s="105">
        <f>IF(ISNUMBER(G112), $B118 * H112, "")</f>
        <v>10076.530612244898</v>
      </c>
      <c r="J112" s="20">
        <v>873</v>
      </c>
      <c r="K112" s="21">
        <f t="shared" si="56"/>
        <v>0.11352040816326531</v>
      </c>
      <c r="L112" s="22">
        <f>IF(ISNUMBER(J112), $B118 * K112, "")</f>
        <v>11352.040816326531</v>
      </c>
      <c r="M112" s="30">
        <v>916</v>
      </c>
      <c r="N112" s="21">
        <f t="shared" si="57"/>
        <v>0.1683673469387755</v>
      </c>
      <c r="O112" s="22">
        <f>IF(ISNUMBER(M112), $B118 * N112, "")</f>
        <v>16836.734693877552</v>
      </c>
      <c r="Q112" s="226"/>
      <c r="R112" s="226"/>
      <c r="S112" s="226"/>
    </row>
    <row r="113" spans="1:19" ht="17.25" thickBot="1">
      <c r="A113" s="125" t="s">
        <v>54</v>
      </c>
      <c r="B113" s="129">
        <v>209</v>
      </c>
      <c r="C113" s="80">
        <v>2.4509803899999998E-2</v>
      </c>
      <c r="D113" s="106">
        <v>203</v>
      </c>
      <c r="E113" s="107">
        <f>IF(ISNUMBER(D113), (D113 - $B113) / $B113, "")</f>
        <v>-2.8708133971291867E-2</v>
      </c>
      <c r="F113" s="108">
        <f>IF(ISNUMBER(D113), $B118 * E113, "")</f>
        <v>-2870.8133971291868</v>
      </c>
      <c r="G113" s="109">
        <v>200</v>
      </c>
      <c r="H113" s="107">
        <f>IF(ISNUMBER(G113), (G113 - $B113) / $B113, "")</f>
        <v>-4.3062200956937802E-2</v>
      </c>
      <c r="I113" s="110">
        <f>IF(ISNUMBER(G113), $B118 * H113, "")</f>
        <v>-4306.2200956937804</v>
      </c>
      <c r="J113" s="106">
        <v>201</v>
      </c>
      <c r="K113" s="107">
        <f>IF(ISNUMBER(J113), (J113 - $B113) / $B113, "")</f>
        <v>-3.8277511961722487E-2</v>
      </c>
      <c r="L113" s="108">
        <f>IF(ISNUMBER(J113), $B118 * K113, "")</f>
        <v>-3827.7511961722485</v>
      </c>
      <c r="M113" s="109">
        <v>200</v>
      </c>
      <c r="N113" s="107">
        <f>IF(ISNUMBER(M113), (M113 - $B113) / $B113, "")</f>
        <v>-4.3062200956937802E-2</v>
      </c>
      <c r="O113" s="108">
        <f>IF(ISNUMBER(M113), $B118 * N113, "")</f>
        <v>-4306.2200956937804</v>
      </c>
      <c r="Q113" s="216"/>
      <c r="R113" s="216"/>
      <c r="S113" s="216"/>
    </row>
    <row r="114" spans="1:19" ht="17.25" thickBot="1">
      <c r="A114" s="125" t="s">
        <v>180</v>
      </c>
      <c r="B114" s="126">
        <v>7900</v>
      </c>
      <c r="C114" s="77">
        <v>2.3316062200000001E-2</v>
      </c>
      <c r="D114" s="15">
        <v>7860</v>
      </c>
      <c r="E114" s="32">
        <f t="shared" ref="E114:E117" si="58">IF(ISNUMBER(D114), (D114 - $B114) / $B114, "")</f>
        <v>-5.0632911392405064E-3</v>
      </c>
      <c r="F114" s="18">
        <f>IF(ISNUMBER(D114), $B118 * E114, "")</f>
        <v>-506.32911392405066</v>
      </c>
      <c r="G114" s="31">
        <v>7710</v>
      </c>
      <c r="H114" s="32">
        <f t="shared" ref="H114:H117" si="59">IF(ISNUMBER(G114), (G114 - $B114) / $B114, "")</f>
        <v>-2.4050632911392405E-2</v>
      </c>
      <c r="I114" s="101">
        <f>IF(ISNUMBER(G114), $B118 * H114, "")</f>
        <v>-2405.0632911392404</v>
      </c>
      <c r="J114" s="15">
        <v>7790</v>
      </c>
      <c r="K114" s="32">
        <f t="shared" ref="K114:K117" si="60">IF(ISNUMBER(J114), (J114 - $B114) / $B114, "")</f>
        <v>-1.3924050632911392E-2</v>
      </c>
      <c r="L114" s="18">
        <f>IF(ISNUMBER(J114), $B118 * K114, "")</f>
        <v>-1392.4050632911392</v>
      </c>
      <c r="M114" s="31">
        <v>7710</v>
      </c>
      <c r="N114" s="32">
        <f t="shared" ref="N114:N117" si="61">IF(ISNUMBER(M114), (M114 - $B114) / $B114, "")</f>
        <v>-2.4050632911392405E-2</v>
      </c>
      <c r="O114" s="18">
        <f>IF(ISNUMBER(M114), $B118 * N114, "")</f>
        <v>-2405.0632911392404</v>
      </c>
      <c r="Q114" s="216"/>
      <c r="R114" s="216"/>
      <c r="S114" s="216"/>
    </row>
    <row r="115" spans="1:19" ht="17.25" thickBot="1">
      <c r="A115" s="125" t="s">
        <v>96</v>
      </c>
      <c r="B115" s="126">
        <v>3275</v>
      </c>
      <c r="C115" s="77">
        <v>2.02492212E-2</v>
      </c>
      <c r="D115" s="15">
        <v>3265</v>
      </c>
      <c r="E115" s="32">
        <f t="shared" si="58"/>
        <v>-3.0534351145038168E-3</v>
      </c>
      <c r="F115" s="18">
        <f>IF(ISNUMBER(D115), $B118 * E115, "")</f>
        <v>-305.3435114503817</v>
      </c>
      <c r="G115" s="31">
        <v>3225</v>
      </c>
      <c r="H115" s="32">
        <f t="shared" si="59"/>
        <v>-1.5267175572519083E-2</v>
      </c>
      <c r="I115" s="101">
        <f>IF(ISNUMBER(G115), $B118 * H115, "")</f>
        <v>-1526.7175572519084</v>
      </c>
      <c r="J115" s="15">
        <v>3245</v>
      </c>
      <c r="K115" s="32">
        <f t="shared" si="60"/>
        <v>-9.1603053435114507E-3</v>
      </c>
      <c r="L115" s="18">
        <f>IF(ISNUMBER(J115), $B118 * K115, "")</f>
        <v>-916.03053435114509</v>
      </c>
      <c r="M115" s="31">
        <v>3255</v>
      </c>
      <c r="N115" s="32">
        <f t="shared" si="61"/>
        <v>-6.1068702290076335E-3</v>
      </c>
      <c r="O115" s="18">
        <f>IF(ISNUMBER(M115), $B118 * N115, "")</f>
        <v>-610.6870229007634</v>
      </c>
      <c r="Q115" s="216"/>
      <c r="R115" s="216"/>
      <c r="S115" s="216"/>
    </row>
    <row r="116" spans="1:19">
      <c r="A116" s="125" t="s">
        <v>78</v>
      </c>
      <c r="B116" s="126">
        <v>594000</v>
      </c>
      <c r="C116" s="77">
        <v>2.0092735699999999E-2</v>
      </c>
      <c r="D116" s="15">
        <v>588600</v>
      </c>
      <c r="E116" s="32">
        <f t="shared" si="58"/>
        <v>-9.0909090909090905E-3</v>
      </c>
      <c r="F116" s="18">
        <f>IF(ISNUMBER(D116), $B118 * E116, "")</f>
        <v>-909.09090909090901</v>
      </c>
      <c r="G116" s="31">
        <v>583200</v>
      </c>
      <c r="H116" s="32">
        <f t="shared" si="59"/>
        <v>-1.8181818181818181E-2</v>
      </c>
      <c r="I116" s="101">
        <f>IF(ISNUMBER(G116), $B118 * H116, "")</f>
        <v>-1818.181818181818</v>
      </c>
      <c r="J116" s="15">
        <v>586100</v>
      </c>
      <c r="K116" s="32">
        <f t="shared" si="60"/>
        <v>-1.3299663299663299E-2</v>
      </c>
      <c r="L116" s="18">
        <f>IF(ISNUMBER(J116), $B118 * K116, "")</f>
        <v>-1329.96632996633</v>
      </c>
      <c r="M116" s="31">
        <v>583300</v>
      </c>
      <c r="N116" s="32">
        <f t="shared" si="61"/>
        <v>-1.8013468013468013E-2</v>
      </c>
      <c r="O116" s="18">
        <f>IF(ISNUMBER(M116), $B118 * N116, "")</f>
        <v>-1801.3468013468012</v>
      </c>
      <c r="Q116" s="205"/>
      <c r="R116" s="206"/>
      <c r="S116" s="207"/>
    </row>
    <row r="117" spans="1:19" ht="17.25" thickBot="1">
      <c r="A117" s="130" t="s">
        <v>222</v>
      </c>
      <c r="B117" s="131">
        <v>103</v>
      </c>
      <c r="C117" s="79">
        <v>1.9801980199999999E-2</v>
      </c>
      <c r="D117" s="24">
        <v>110</v>
      </c>
      <c r="E117" s="25">
        <f t="shared" si="58"/>
        <v>6.7961165048543687E-2</v>
      </c>
      <c r="F117" s="104">
        <f>IF(ISNUMBER(D117), $B118 * E117, "")</f>
        <v>6796.1165048543689</v>
      </c>
      <c r="G117" s="102">
        <v>107</v>
      </c>
      <c r="H117" s="25">
        <f t="shared" si="59"/>
        <v>3.8834951456310676E-2</v>
      </c>
      <c r="I117" s="103">
        <f>IF(ISNUMBER(G117), $B118 * H117, "")</f>
        <v>3883.4951456310678</v>
      </c>
      <c r="J117" s="24">
        <v>107</v>
      </c>
      <c r="K117" s="25">
        <f t="shared" si="60"/>
        <v>3.8834951456310676E-2</v>
      </c>
      <c r="L117" s="104">
        <f>IF(ISNUMBER(J117), $B118 * K117, "")</f>
        <v>3883.4951456310678</v>
      </c>
      <c r="M117" s="102">
        <v>107</v>
      </c>
      <c r="N117" s="25">
        <f t="shared" si="61"/>
        <v>3.8834951456310676E-2</v>
      </c>
      <c r="O117" s="104">
        <f>IF(ISNUMBER(M117), $B118 * N117, "")</f>
        <v>3883.4951456310678</v>
      </c>
      <c r="Q117" s="208"/>
      <c r="R117" s="209"/>
      <c r="S117" s="210"/>
    </row>
    <row r="118" spans="1:19" ht="17.25" thickBot="1">
      <c r="A118" s="132" t="s">
        <v>271</v>
      </c>
      <c r="B118" s="269">
        <f>$B$37</f>
        <v>100000</v>
      </c>
      <c r="C118" s="270"/>
      <c r="D118" s="26" t="s">
        <v>272</v>
      </c>
      <c r="E118" s="27">
        <f>IF(COUNT(E98:E117), SUM(E98:E117) / COUNT(E98:E117), 0)</f>
        <v>1.510732206237549E-2</v>
      </c>
      <c r="F118" s="28">
        <f>SUM(F98:F117)</f>
        <v>30214.644124750983</v>
      </c>
      <c r="G118" s="26" t="s">
        <v>272</v>
      </c>
      <c r="H118" s="27">
        <f>IF(COUNT(H98:H117), SUM(H98:H117) / COUNT(H98:H117), 0)</f>
        <v>7.3100755053793487E-3</v>
      </c>
      <c r="I118" s="28">
        <f>SUM(I98:I117)</f>
        <v>14620.151010758704</v>
      </c>
      <c r="J118" s="26" t="s">
        <v>272</v>
      </c>
      <c r="K118" s="27">
        <f>IF(COUNT(K98:K117), SUM(K98:K117) / COUNT(K98:K117), 0)</f>
        <v>1.2180437837667007E-2</v>
      </c>
      <c r="L118" s="28">
        <f>SUM(L98:L117)</f>
        <v>24360.875675334017</v>
      </c>
      <c r="M118" s="26" t="s">
        <v>272</v>
      </c>
      <c r="N118" s="27">
        <f>IF(COUNT(N98:N117), SUM(N98:N117) / COUNT(N98:N117), 0)</f>
        <v>1.5186513723173247E-2</v>
      </c>
      <c r="O118" s="28">
        <f>SUM(O98:O117)</f>
        <v>30373.027446346496</v>
      </c>
      <c r="Q118" s="211"/>
      <c r="R118" s="212"/>
      <c r="S118" s="213"/>
    </row>
    <row r="120" spans="1:19" ht="17.25" thickBot="1"/>
    <row r="121" spans="1:19" ht="17.25" thickBot="1">
      <c r="A121" s="227" t="s">
        <v>259</v>
      </c>
      <c r="B121" s="228"/>
      <c r="C121" s="228"/>
      <c r="D121" s="228"/>
      <c r="E121" s="228"/>
      <c r="F121" s="228"/>
      <c r="G121" s="228"/>
      <c r="H121" s="228"/>
      <c r="I121" s="228"/>
      <c r="J121" s="228"/>
      <c r="K121" s="228"/>
      <c r="L121" s="228"/>
      <c r="M121" s="228"/>
      <c r="N121" s="228"/>
      <c r="O121" s="229"/>
      <c r="Q121" s="226"/>
      <c r="R121" s="226"/>
      <c r="S121" s="226"/>
    </row>
    <row r="122" spans="1:19" ht="17.25" thickBot="1">
      <c r="A122" s="193" t="s">
        <v>268</v>
      </c>
      <c r="B122" s="227" t="s">
        <v>49</v>
      </c>
      <c r="C122" s="229"/>
      <c r="D122" s="227" t="s">
        <v>58</v>
      </c>
      <c r="E122" s="228"/>
      <c r="F122" s="229"/>
      <c r="G122" s="230">
        <f>_xlfn.IFNA(VLOOKUP(B122, 현재가테이블!$B$2:$D$200, 2, FALSE), "-")</f>
        <v>39916000</v>
      </c>
      <c r="H122" s="231"/>
      <c r="I122" s="232"/>
      <c r="J122" s="227" t="s">
        <v>59</v>
      </c>
      <c r="K122" s="228"/>
      <c r="L122" s="229"/>
      <c r="M122" s="233">
        <f>_xlfn.IFNA(VLOOKUP(B122, 현재가테이블!$B$2:$D$200, 3, FALSE), "-")</f>
        <v>7.3184273000000003E-3</v>
      </c>
      <c r="N122" s="234"/>
      <c r="O122" s="235"/>
      <c r="Q122" s="226"/>
      <c r="R122" s="226"/>
      <c r="S122" s="226"/>
    </row>
    <row r="123" spans="1:19" ht="17.25" thickBot="1">
      <c r="A123" s="271" t="s">
        <v>55</v>
      </c>
      <c r="B123" s="267" t="str">
        <f>TEXT($G$1, "[$-ko-KR]yyyy-mm-dd(ddd) ") &amp; "오전 00:00"</f>
        <v>2021-07-10(토) 오전 00:00</v>
      </c>
      <c r="C123" s="268"/>
      <c r="D123" s="240" t="str">
        <f>TEXT($G$1, "[$-ko-KR]yyyy-mm-dd(ddd) ") &amp; "오후 14:00"</f>
        <v>2021-07-10(토) 오후 14:00</v>
      </c>
      <c r="E123" s="241"/>
      <c r="F123" s="242"/>
      <c r="G123" s="240" t="str">
        <f>TEXT($G$1, "[$-ko-KR]yyyy-mm-dd(ddd) ") &amp; "오후 19:00"</f>
        <v>2021-07-10(토) 오후 19:00</v>
      </c>
      <c r="H123" s="241"/>
      <c r="I123" s="242"/>
      <c r="J123" s="240" t="str">
        <f>TEXT($G$1, "[$-ko-KR]yyyy-mm-dd(ddd) ") &amp; "오후 21:00"</f>
        <v>2021-07-10(토) 오후 21:00</v>
      </c>
      <c r="K123" s="241"/>
      <c r="L123" s="242"/>
      <c r="M123" s="240" t="str">
        <f>TEXT($G$1+1, "[$-ko-KR]yyyy-mm-dd(ddd) ") &amp; "오전 00:00"</f>
        <v>2021-07-11(일) 오전 00:00</v>
      </c>
      <c r="N123" s="241"/>
      <c r="O123" s="242"/>
      <c r="Q123" s="226"/>
      <c r="R123" s="226"/>
      <c r="S123" s="226"/>
    </row>
    <row r="124" spans="1:19" ht="17.25" thickBot="1">
      <c r="A124" s="27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4" t="s">
        <v>58</v>
      </c>
      <c r="H124" s="195" t="s">
        <v>269</v>
      </c>
      <c r="I124" s="19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6"/>
      <c r="R124" s="216"/>
      <c r="S124" s="216"/>
    </row>
    <row r="125" spans="1:19" ht="17.25" thickBot="1">
      <c r="A125" s="123" t="s">
        <v>251</v>
      </c>
      <c r="B125" s="124">
        <v>59.9</v>
      </c>
      <c r="C125" s="76">
        <v>8.4175084000000008E-3</v>
      </c>
      <c r="D125" s="13">
        <v>60.6</v>
      </c>
      <c r="E125" s="14">
        <f>IF(ISNUMBER(D125), (D125 - $B125) / $B125, "")</f>
        <v>1.1686143572621082E-2</v>
      </c>
      <c r="F125" s="16">
        <f>IF(ISNUMBER(D125), $B145 * E125, "")</f>
        <v>1168.6143572621081</v>
      </c>
      <c r="G125" s="29">
        <v>61.1</v>
      </c>
      <c r="H125" s="14">
        <f>IF(ISNUMBER(G125), (G125 - $B125) / $B125, "")</f>
        <v>2.0033388981636108E-2</v>
      </c>
      <c r="I125" s="100">
        <f>IF(ISNUMBER(G125), $B145 * H125, "")</f>
        <v>2003.3388981636108</v>
      </c>
      <c r="J125" s="13">
        <v>62.8</v>
      </c>
      <c r="K125" s="14">
        <f>IF(ISNUMBER(J125), (J125 - $B125) / $B125, "")</f>
        <v>4.8414023372287125E-2</v>
      </c>
      <c r="L125" s="16">
        <f>IF(ISNUMBER(J125), $B145 * K125, "")</f>
        <v>4841.4023372287129</v>
      </c>
      <c r="M125" s="29">
        <v>60.1</v>
      </c>
      <c r="N125" s="14">
        <f>IF(ISNUMBER(M125), (M125 - $B125) / $B125, "")</f>
        <v>3.3388981636060574E-3</v>
      </c>
      <c r="O125" s="16">
        <f>IF(ISNUMBER(M125), $B145 * N125, "")</f>
        <v>333.88981636060572</v>
      </c>
      <c r="Q125" s="226"/>
      <c r="R125" s="226"/>
      <c r="S125" s="226"/>
    </row>
    <row r="126" spans="1:19" ht="17.25" thickBot="1">
      <c r="A126" s="125" t="s">
        <v>162</v>
      </c>
      <c r="B126" s="126">
        <v>74.8</v>
      </c>
      <c r="C126" s="77">
        <v>0</v>
      </c>
      <c r="D126" s="15">
        <v>76.400000000000006</v>
      </c>
      <c r="E126" s="32">
        <f t="shared" ref="E126:E129" si="62">IF(ISNUMBER(D126), (D126 - $B126) / $B126, "")</f>
        <v>2.1390374331550915E-2</v>
      </c>
      <c r="F126" s="18">
        <f>IF(ISNUMBER(D126), $B145 * E126, "")</f>
        <v>2139.0374331550915</v>
      </c>
      <c r="G126" s="31">
        <v>76</v>
      </c>
      <c r="H126" s="32">
        <f t="shared" ref="H126:H129" si="63">IF(ISNUMBER(G126), (G126 - $B126) / $B126, "")</f>
        <v>1.6042780748663141E-2</v>
      </c>
      <c r="I126" s="101">
        <f>IF(ISNUMBER(G126), $B145 * H126, "")</f>
        <v>1604.2780748663142</v>
      </c>
      <c r="J126" s="15">
        <v>76</v>
      </c>
      <c r="K126" s="32">
        <f t="shared" ref="K126:K129" si="64">IF(ISNUMBER(J126), (J126 - $B126) / $B126, "")</f>
        <v>1.6042780748663141E-2</v>
      </c>
      <c r="L126" s="18">
        <f>IF(ISNUMBER(J126), $B145 * K126, "")</f>
        <v>1604.2780748663142</v>
      </c>
      <c r="M126" s="31">
        <v>76.099999999999994</v>
      </c>
      <c r="N126" s="32">
        <f t="shared" ref="N126:N129" si="65">IF(ISNUMBER(M126), (M126 - $B126) / $B126, "")</f>
        <v>1.7379679144384989E-2</v>
      </c>
      <c r="O126" s="18">
        <f>IF(ISNUMBER(M126), $B145 * N126, "")</f>
        <v>1737.9679144384988</v>
      </c>
      <c r="Q126" s="226"/>
      <c r="R126" s="226"/>
      <c r="S126" s="226"/>
    </row>
    <row r="127" spans="1:19" ht="17.25" thickBot="1">
      <c r="A127" s="125" t="s">
        <v>65</v>
      </c>
      <c r="B127" s="126">
        <v>24.9</v>
      </c>
      <c r="C127" s="77">
        <v>-4.0000000000000001E-3</v>
      </c>
      <c r="D127" s="15">
        <v>24.9</v>
      </c>
      <c r="E127" s="32">
        <f t="shared" si="62"/>
        <v>0</v>
      </c>
      <c r="F127" s="18">
        <f>IF(ISNUMBER(D127), $B145 * E127, "")</f>
        <v>0</v>
      </c>
      <c r="G127" s="31">
        <v>24.8</v>
      </c>
      <c r="H127" s="32">
        <f t="shared" si="63"/>
        <v>-4.0160642570280271E-3</v>
      </c>
      <c r="I127" s="101">
        <f>IF(ISNUMBER(G127), $B145 * H127, "")</f>
        <v>-401.60642570280271</v>
      </c>
      <c r="J127" s="15">
        <v>24.7</v>
      </c>
      <c r="K127" s="32">
        <f t="shared" si="64"/>
        <v>-8.0321285140561964E-3</v>
      </c>
      <c r="L127" s="18">
        <f>IF(ISNUMBER(J127), $B145 * K127, "")</f>
        <v>-803.21285140561963</v>
      </c>
      <c r="M127" s="31">
        <v>24.6</v>
      </c>
      <c r="N127" s="32">
        <f t="shared" si="65"/>
        <v>-1.2048192771084223E-2</v>
      </c>
      <c r="O127" s="18">
        <f>IF(ISNUMBER(M127), $B145 * N127, "")</f>
        <v>-1204.8192771084223</v>
      </c>
      <c r="Q127" s="216"/>
      <c r="R127" s="216"/>
      <c r="S127" s="216"/>
    </row>
    <row r="128" spans="1:19" ht="17.25" thickBot="1">
      <c r="A128" s="125" t="s">
        <v>202</v>
      </c>
      <c r="B128" s="126">
        <v>53</v>
      </c>
      <c r="C128" s="77">
        <v>-7.4906367E-3</v>
      </c>
      <c r="D128" s="15">
        <v>53.7</v>
      </c>
      <c r="E128" s="32">
        <f t="shared" si="62"/>
        <v>1.3207547169811375E-2</v>
      </c>
      <c r="F128" s="18">
        <f>IF(ISNUMBER(D128), $B145 * E128, "")</f>
        <v>1320.7547169811376</v>
      </c>
      <c r="G128" s="31">
        <v>53.5</v>
      </c>
      <c r="H128" s="32">
        <f t="shared" si="63"/>
        <v>9.433962264150943E-3</v>
      </c>
      <c r="I128" s="101">
        <f>IF(ISNUMBER(G128), $B145 * H128, "")</f>
        <v>943.39622641509425</v>
      </c>
      <c r="J128" s="15">
        <v>53.7</v>
      </c>
      <c r="K128" s="32">
        <f t="shared" si="64"/>
        <v>1.3207547169811375E-2</v>
      </c>
      <c r="L128" s="18">
        <f>IF(ISNUMBER(J128), $B145 * K128, "")</f>
        <v>1320.7547169811376</v>
      </c>
      <c r="M128" s="31">
        <v>53.8</v>
      </c>
      <c r="N128" s="32">
        <f t="shared" si="65"/>
        <v>1.5094339622641456E-2</v>
      </c>
      <c r="O128" s="18">
        <f>IF(ISNUMBER(M128), $B145 * N128, "")</f>
        <v>1509.4339622641455</v>
      </c>
      <c r="Q128" s="216"/>
      <c r="R128" s="216"/>
      <c r="S128" s="216"/>
    </row>
    <row r="129" spans="1:19" ht="17.25" thickBot="1">
      <c r="A129" s="127" t="s">
        <v>144</v>
      </c>
      <c r="B129" s="128">
        <v>84.4</v>
      </c>
      <c r="C129" s="78">
        <v>-9.3896714000000006E-3</v>
      </c>
      <c r="D129" s="20">
        <v>84.8</v>
      </c>
      <c r="E129" s="21">
        <f t="shared" si="62"/>
        <v>4.7393364928908941E-3</v>
      </c>
      <c r="F129" s="22">
        <f>IF(ISNUMBER(D129), $B145 * E129, "")</f>
        <v>473.93364928908943</v>
      </c>
      <c r="G129" s="30">
        <v>83</v>
      </c>
      <c r="H129" s="21">
        <f t="shared" si="63"/>
        <v>-1.6587677725118551E-2</v>
      </c>
      <c r="I129" s="105">
        <f>IF(ISNUMBER(G129), $B145 * H129, "")</f>
        <v>-1658.7677725118551</v>
      </c>
      <c r="J129" s="20">
        <v>83.6</v>
      </c>
      <c r="K129" s="21">
        <f t="shared" si="64"/>
        <v>-9.4786729857821248E-3</v>
      </c>
      <c r="L129" s="22">
        <f>IF(ISNUMBER(J129), $B145 * K129, "")</f>
        <v>-947.86729857821251</v>
      </c>
      <c r="M129" s="30">
        <v>83.3</v>
      </c>
      <c r="N129" s="21">
        <f t="shared" si="65"/>
        <v>-1.3033175355450337E-2</v>
      </c>
      <c r="O129" s="22">
        <f>IF(ISNUMBER(M129), $B145 * N129, "")</f>
        <v>-1303.3175355450337</v>
      </c>
      <c r="Q129" s="216"/>
      <c r="R129" s="216"/>
      <c r="S129" s="216"/>
    </row>
    <row r="130" spans="1:19" ht="17.25" thickBot="1">
      <c r="A130" s="125" t="s">
        <v>216</v>
      </c>
      <c r="B130" s="129">
        <v>8.09</v>
      </c>
      <c r="C130" s="80">
        <v>-1.1002445E-2</v>
      </c>
      <c r="D130" s="106">
        <v>8.41</v>
      </c>
      <c r="E130" s="107">
        <f>IF(ISNUMBER(D130), (D130 - $B130) / $B130, "")</f>
        <v>3.9555006180469754E-2</v>
      </c>
      <c r="F130" s="108">
        <f>IF(ISNUMBER(D130), $B145 * E130, "")</f>
        <v>3955.5006180469754</v>
      </c>
      <c r="G130" s="109">
        <v>8.39</v>
      </c>
      <c r="H130" s="107">
        <f>IF(ISNUMBER(G130), (G130 - $B130) / $B130, "")</f>
        <v>3.7082818294190446E-2</v>
      </c>
      <c r="I130" s="110">
        <f>IF(ISNUMBER(G130), $B145 * H130, "")</f>
        <v>3708.2818294190447</v>
      </c>
      <c r="J130" s="106">
        <v>8.36</v>
      </c>
      <c r="K130" s="107">
        <f>IF(ISNUMBER(J130), (J130 - $B130) / $B130, "")</f>
        <v>3.3374536464771273E-2</v>
      </c>
      <c r="L130" s="108">
        <f>IF(ISNUMBER(J130), $B145 * K130, "")</f>
        <v>3337.4536464771272</v>
      </c>
      <c r="M130" s="109">
        <v>8.2799999999999994</v>
      </c>
      <c r="N130" s="107">
        <f>IF(ISNUMBER(M130), (M130 - $B130) / $B130, "")</f>
        <v>2.3485784919653831E-2</v>
      </c>
      <c r="O130" s="108">
        <f>IF(ISNUMBER(M130), $B145 * N130, "")</f>
        <v>2348.5784919653834</v>
      </c>
      <c r="Q130" s="216"/>
      <c r="R130" s="216"/>
      <c r="S130" s="216"/>
    </row>
    <row r="131" spans="1:19" ht="17.25" thickBot="1">
      <c r="A131" s="125" t="s">
        <v>132</v>
      </c>
      <c r="B131" s="126">
        <v>88</v>
      </c>
      <c r="C131" s="77">
        <v>-1.2345679E-2</v>
      </c>
      <c r="D131" s="15">
        <v>87</v>
      </c>
      <c r="E131" s="32">
        <f t="shared" ref="E131:E134" si="66">IF(ISNUMBER(D131), (D131 - $B131) / $B131, "")</f>
        <v>-1.1363636363636364E-2</v>
      </c>
      <c r="F131" s="18">
        <f>IF(ISNUMBER(D131), $B145 * E131, "")</f>
        <v>-1136.3636363636365</v>
      </c>
      <c r="G131" s="31">
        <v>86.3</v>
      </c>
      <c r="H131" s="32">
        <f t="shared" ref="H131:H134" si="67">IF(ISNUMBER(G131), (G131 - $B131) / $B131, "")</f>
        <v>-1.9318181818181849E-2</v>
      </c>
      <c r="I131" s="101">
        <f>IF(ISNUMBER(G131), $B145 * H131, "")</f>
        <v>-1931.8181818181849</v>
      </c>
      <c r="J131" s="15">
        <v>86.8</v>
      </c>
      <c r="K131" s="32">
        <f t="shared" ref="K131:K134" si="68">IF(ISNUMBER(J131), (J131 - $B131) / $B131, "")</f>
        <v>-1.3636363636363669E-2</v>
      </c>
      <c r="L131" s="18">
        <f>IF(ISNUMBER(J131), $B145 * K131, "")</f>
        <v>-1363.6363636363669</v>
      </c>
      <c r="M131" s="31">
        <v>85.8</v>
      </c>
      <c r="N131" s="32">
        <f t="shared" ref="N131:N134" si="69">IF(ISNUMBER(M131), (M131 - $B131) / $B131, "")</f>
        <v>-2.5000000000000033E-2</v>
      </c>
      <c r="O131" s="18">
        <f>IF(ISNUMBER(M131), $B145 * N131, "")</f>
        <v>-2500.0000000000032</v>
      </c>
      <c r="Q131" s="216"/>
      <c r="R131" s="216"/>
      <c r="S131" s="216"/>
    </row>
    <row r="132" spans="1:19" ht="17.25" thickBot="1">
      <c r="A132" s="125" t="s">
        <v>72</v>
      </c>
      <c r="B132" s="126">
        <v>17.399999999999999</v>
      </c>
      <c r="C132" s="77">
        <v>-1.6949152499999998E-2</v>
      </c>
      <c r="D132" s="15">
        <v>17.899999999999999</v>
      </c>
      <c r="E132" s="32">
        <f t="shared" si="66"/>
        <v>2.8735632183908049E-2</v>
      </c>
      <c r="F132" s="18">
        <f>IF(ISNUMBER(D132), $B145 * E132, "")</f>
        <v>2873.5632183908051</v>
      </c>
      <c r="G132" s="31">
        <v>18</v>
      </c>
      <c r="H132" s="32">
        <f t="shared" si="67"/>
        <v>3.4482758620689738E-2</v>
      </c>
      <c r="I132" s="101">
        <f>IF(ISNUMBER(G132), $B145 * H132, "")</f>
        <v>3448.2758620689738</v>
      </c>
      <c r="J132" s="15">
        <v>18</v>
      </c>
      <c r="K132" s="32">
        <f t="shared" si="68"/>
        <v>3.4482758620689738E-2</v>
      </c>
      <c r="L132" s="18">
        <f>IF(ISNUMBER(J132), $B145 * K132, "")</f>
        <v>3448.2758620689738</v>
      </c>
      <c r="M132" s="31">
        <v>17.8</v>
      </c>
      <c r="N132" s="32">
        <f t="shared" si="69"/>
        <v>2.2988505747126561E-2</v>
      </c>
      <c r="O132" s="18">
        <f>IF(ISNUMBER(M132), $B145 * N132, "")</f>
        <v>2298.850574712656</v>
      </c>
      <c r="Q132" s="216"/>
      <c r="R132" s="216"/>
      <c r="S132" s="216"/>
    </row>
    <row r="133" spans="1:19" ht="17.25" thickBot="1">
      <c r="A133" s="125" t="s">
        <v>122</v>
      </c>
      <c r="B133" s="126">
        <v>21.6</v>
      </c>
      <c r="C133" s="77">
        <v>-1.8181818200000002E-2</v>
      </c>
      <c r="D133" s="15">
        <v>22.3</v>
      </c>
      <c r="E133" s="32">
        <f t="shared" si="66"/>
        <v>3.2407407407407371E-2</v>
      </c>
      <c r="F133" s="18">
        <f>IF(ISNUMBER(D133), $B145 * E133, "")</f>
        <v>3240.7407407407372</v>
      </c>
      <c r="G133" s="31">
        <v>22.3</v>
      </c>
      <c r="H133" s="32">
        <f t="shared" si="67"/>
        <v>3.2407407407407371E-2</v>
      </c>
      <c r="I133" s="101">
        <f>IF(ISNUMBER(G133), $B145 * H133, "")</f>
        <v>3240.7407407407372</v>
      </c>
      <c r="J133" s="15">
        <v>22.2</v>
      </c>
      <c r="K133" s="32">
        <f t="shared" si="68"/>
        <v>2.7777777777777676E-2</v>
      </c>
      <c r="L133" s="18">
        <f>IF(ISNUMBER(J133), $B145 * K133, "")</f>
        <v>2777.7777777777674</v>
      </c>
      <c r="M133" s="31">
        <v>22</v>
      </c>
      <c r="N133" s="32">
        <f t="shared" si="69"/>
        <v>1.8518518518518452E-2</v>
      </c>
      <c r="O133" s="18">
        <f>IF(ISNUMBER(M133), $B145 * N133, "")</f>
        <v>1851.8518518518451</v>
      </c>
      <c r="Q133" s="33"/>
      <c r="R133" s="33"/>
    </row>
    <row r="134" spans="1:19" ht="17.25" thickBot="1">
      <c r="A134" s="130" t="s">
        <v>241</v>
      </c>
      <c r="B134" s="131">
        <v>49.2</v>
      </c>
      <c r="C134" s="79">
        <v>-1.9920318699999998E-2</v>
      </c>
      <c r="D134" s="24">
        <v>58.2</v>
      </c>
      <c r="E134" s="25">
        <f t="shared" si="66"/>
        <v>0.18292682926829268</v>
      </c>
      <c r="F134" s="104">
        <f>IF(ISNUMBER(D134), $B145 * E134, "")</f>
        <v>18292.682926829268</v>
      </c>
      <c r="G134" s="102">
        <v>57.3</v>
      </c>
      <c r="H134" s="25">
        <f t="shared" si="67"/>
        <v>0.16463414634146328</v>
      </c>
      <c r="I134" s="103">
        <f>IF(ISNUMBER(G134), $B145 * H134, "")</f>
        <v>16463.414634146327</v>
      </c>
      <c r="J134" s="24">
        <v>56.9</v>
      </c>
      <c r="K134" s="25">
        <f t="shared" si="68"/>
        <v>0.15650406504065031</v>
      </c>
      <c r="L134" s="104">
        <f>IF(ISNUMBER(J134), $B145 * K134, "")</f>
        <v>15650.406504065031</v>
      </c>
      <c r="M134" s="102">
        <v>56.9</v>
      </c>
      <c r="N134" s="25">
        <f t="shared" si="69"/>
        <v>0.15650406504065031</v>
      </c>
      <c r="O134" s="104">
        <f>IF(ISNUMBER(M134), $B145 * N134, "")</f>
        <v>15650.406504065031</v>
      </c>
      <c r="Q134" s="217"/>
      <c r="R134" s="218"/>
      <c r="S134" s="219"/>
    </row>
    <row r="135" spans="1:19">
      <c r="A135" s="123" t="s">
        <v>235</v>
      </c>
      <c r="B135" s="124">
        <v>50.7</v>
      </c>
      <c r="C135" s="76">
        <v>-2.6871401199999999E-2</v>
      </c>
      <c r="D135" s="13">
        <v>52</v>
      </c>
      <c r="E135" s="14">
        <f>IF(ISNUMBER(D135), (D135 - $B135) / $B135, "")</f>
        <v>2.5641025641025585E-2</v>
      </c>
      <c r="F135" s="16">
        <f>IF(ISNUMBER(D135), $B145 * E135, "")</f>
        <v>2564.1025641025585</v>
      </c>
      <c r="G135" s="29">
        <v>51.8</v>
      </c>
      <c r="H135" s="14">
        <f>IF(ISNUMBER(G135), (G135 - $B135) / $B135, "")</f>
        <v>2.169625246548312E-2</v>
      </c>
      <c r="I135" s="100">
        <f>IF(ISNUMBER(G135), $B145 * H135, "")</f>
        <v>2169.6252465483121</v>
      </c>
      <c r="J135" s="13">
        <v>51.8</v>
      </c>
      <c r="K135" s="14">
        <f>IF(ISNUMBER(J135), (J135 - $B135) / $B135, "")</f>
        <v>2.169625246548312E-2</v>
      </c>
      <c r="L135" s="16">
        <f>IF(ISNUMBER(J135), $B145 * K135, "")</f>
        <v>2169.6252465483121</v>
      </c>
      <c r="M135" s="29">
        <v>52</v>
      </c>
      <c r="N135" s="14">
        <f>IF(ISNUMBER(M135), (M135 - $B135) / $B135, "")</f>
        <v>2.5641025641025585E-2</v>
      </c>
      <c r="O135" s="16">
        <f>IF(ISNUMBER(M135), $B145 * N135, "")</f>
        <v>2564.1025641025585</v>
      </c>
      <c r="Q135" s="220"/>
      <c r="R135" s="221"/>
      <c r="S135" s="222"/>
    </row>
    <row r="136" spans="1:19" ht="17.25" thickBot="1">
      <c r="A136" s="125" t="s">
        <v>190</v>
      </c>
      <c r="B136" s="126">
        <v>14</v>
      </c>
      <c r="C136" s="77">
        <v>-2.77777778E-2</v>
      </c>
      <c r="D136" s="15">
        <v>14.5</v>
      </c>
      <c r="E136" s="32">
        <f t="shared" ref="E136:E139" si="70">IF(ISNUMBER(D136), (D136 - $B136) / $B136, "")</f>
        <v>3.5714285714285712E-2</v>
      </c>
      <c r="F136" s="18">
        <f>IF(ISNUMBER(D136), $B145 * E136, "")</f>
        <v>3571.4285714285711</v>
      </c>
      <c r="G136" s="31">
        <v>14.5</v>
      </c>
      <c r="H136" s="32">
        <f t="shared" ref="H136:H139" si="71">IF(ISNUMBER(G136), (G136 - $B136) / $B136, "")</f>
        <v>3.5714285714285712E-2</v>
      </c>
      <c r="I136" s="101">
        <f>IF(ISNUMBER(G136), $B145 * H136, "")</f>
        <v>3571.4285714285711</v>
      </c>
      <c r="J136" s="15">
        <v>14.6</v>
      </c>
      <c r="K136" s="32">
        <f t="shared" ref="K136:K139" si="72">IF(ISNUMBER(J136), (J136 - $B136) / $B136, "")</f>
        <v>4.285714285714283E-2</v>
      </c>
      <c r="L136" s="18">
        <f>IF(ISNUMBER(J136), $B145 * K136, "")</f>
        <v>4285.7142857142826</v>
      </c>
      <c r="M136" s="31">
        <v>14.4</v>
      </c>
      <c r="N136" s="32">
        <f t="shared" ref="N136:N139" si="73">IF(ISNUMBER(M136), (M136 - $B136) / $B136, "")</f>
        <v>2.8571428571428598E-2</v>
      </c>
      <c r="O136" s="18">
        <f>IF(ISNUMBER(M136), $B145 * N136, "")</f>
        <v>2857.1428571428596</v>
      </c>
      <c r="Q136" s="223"/>
      <c r="R136" s="224"/>
      <c r="S136" s="225"/>
    </row>
    <row r="137" spans="1:19" ht="17.25" thickBot="1">
      <c r="A137" s="125" t="s">
        <v>239</v>
      </c>
      <c r="B137" s="126">
        <v>69.3</v>
      </c>
      <c r="C137" s="77">
        <v>-2.8050490899999999E-2</v>
      </c>
      <c r="D137" s="15">
        <v>72.2</v>
      </c>
      <c r="E137" s="32">
        <f t="shared" si="70"/>
        <v>4.1847041847041931E-2</v>
      </c>
      <c r="F137" s="18">
        <f>IF(ISNUMBER(D137), $B145 * E137, "")</f>
        <v>4184.7041847041928</v>
      </c>
      <c r="G137" s="31">
        <v>71.900000000000006</v>
      </c>
      <c r="H137" s="32">
        <f t="shared" si="71"/>
        <v>3.7518037518037645E-2</v>
      </c>
      <c r="I137" s="101">
        <f>IF(ISNUMBER(G137), $B145 * H137, "")</f>
        <v>3751.8037518037645</v>
      </c>
      <c r="J137" s="15">
        <v>71.900000000000006</v>
      </c>
      <c r="K137" s="32">
        <f t="shared" si="72"/>
        <v>3.7518037518037645E-2</v>
      </c>
      <c r="L137" s="18">
        <f>IF(ISNUMBER(J137), $B145 * K137, "")</f>
        <v>3751.8037518037645</v>
      </c>
      <c r="M137" s="31">
        <v>71.8</v>
      </c>
      <c r="N137" s="32">
        <f t="shared" si="73"/>
        <v>3.6075036075036079E-2</v>
      </c>
      <c r="O137" s="18">
        <f>IF(ISNUMBER(M137), $B145 * N137, "")</f>
        <v>3607.5036075036078</v>
      </c>
      <c r="Q137" s="216"/>
      <c r="R137" s="216"/>
      <c r="S137" s="216"/>
    </row>
    <row r="138" spans="1:19" ht="17.25" thickBot="1">
      <c r="A138" s="125" t="s">
        <v>150</v>
      </c>
      <c r="B138" s="126">
        <v>8.89</v>
      </c>
      <c r="C138" s="77">
        <v>-3.0534351099999999E-2</v>
      </c>
      <c r="D138" s="15">
        <v>9.58</v>
      </c>
      <c r="E138" s="32">
        <f t="shared" si="70"/>
        <v>7.7615298087738968E-2</v>
      </c>
      <c r="F138" s="18">
        <f>IF(ISNUMBER(D138), $B145 * E138, "")</f>
        <v>7761.5298087738965</v>
      </c>
      <c r="G138" s="31">
        <v>9.41</v>
      </c>
      <c r="H138" s="32">
        <f t="shared" si="71"/>
        <v>5.8492688413948203E-2</v>
      </c>
      <c r="I138" s="101">
        <f>IF(ISNUMBER(G138), $B145 * H138, "")</f>
        <v>5849.2688413948199</v>
      </c>
      <c r="J138" s="15">
        <v>9.44</v>
      </c>
      <c r="K138" s="32">
        <f t="shared" si="72"/>
        <v>6.1867266591675914E-2</v>
      </c>
      <c r="L138" s="18">
        <f>IF(ISNUMBER(J138), $B145 * K138, "")</f>
        <v>6186.7266591675916</v>
      </c>
      <c r="M138" s="31">
        <v>9.4</v>
      </c>
      <c r="N138" s="32">
        <f t="shared" si="73"/>
        <v>5.7367829021372302E-2</v>
      </c>
      <c r="O138" s="18">
        <f>IF(ISNUMBER(M138), $B145 * N138, "")</f>
        <v>5736.7829021372299</v>
      </c>
      <c r="Q138" s="226"/>
      <c r="R138" s="226"/>
      <c r="S138" s="226"/>
    </row>
    <row r="139" spans="1:19" ht="17.25" thickBot="1">
      <c r="A139" s="127" t="s">
        <v>208</v>
      </c>
      <c r="B139" s="128">
        <v>8.8699999999999992</v>
      </c>
      <c r="C139" s="78">
        <v>-3.3769063199999998E-2</v>
      </c>
      <c r="D139" s="20">
        <v>9.43</v>
      </c>
      <c r="E139" s="21">
        <f t="shared" si="70"/>
        <v>6.3134160090191724E-2</v>
      </c>
      <c r="F139" s="22">
        <f>IF(ISNUMBER(D139), $B145 * E139, "")</f>
        <v>6313.4160090191726</v>
      </c>
      <c r="G139" s="30">
        <v>9.5</v>
      </c>
      <c r="H139" s="21">
        <f t="shared" si="71"/>
        <v>7.1025930101465712E-2</v>
      </c>
      <c r="I139" s="105">
        <f>IF(ISNUMBER(G139), $B145 * H139, "")</f>
        <v>7102.593010146571</v>
      </c>
      <c r="J139" s="20">
        <v>9.51</v>
      </c>
      <c r="K139" s="21">
        <f t="shared" si="72"/>
        <v>7.215332581736196E-2</v>
      </c>
      <c r="L139" s="22">
        <f>IF(ISNUMBER(J139), $B145 * K139, "")</f>
        <v>7215.3325817361956</v>
      </c>
      <c r="M139" s="30">
        <v>9.44</v>
      </c>
      <c r="N139" s="21">
        <f t="shared" si="73"/>
        <v>6.4261555806087972E-2</v>
      </c>
      <c r="O139" s="22">
        <f>IF(ISNUMBER(M139), $B145 * N139, "")</f>
        <v>6426.1555806087972</v>
      </c>
      <c r="Q139" s="226"/>
      <c r="R139" s="226"/>
      <c r="S139" s="226"/>
    </row>
    <row r="140" spans="1:19" ht="17.25" thickBot="1">
      <c r="A140" s="125" t="s">
        <v>210</v>
      </c>
      <c r="B140" s="129">
        <v>8.81</v>
      </c>
      <c r="C140" s="80">
        <v>-3.39912281E-2</v>
      </c>
      <c r="D140" s="106">
        <v>9.58</v>
      </c>
      <c r="E140" s="107">
        <f>IF(ISNUMBER(D140), (D140 - $B140) / $B140, "")</f>
        <v>8.7400681044267819E-2</v>
      </c>
      <c r="F140" s="108">
        <f>IF(ISNUMBER(D140), $B145 * E140, "")</f>
        <v>8740.0681044267822</v>
      </c>
      <c r="G140" s="109">
        <v>9.75</v>
      </c>
      <c r="H140" s="107">
        <f>IF(ISNUMBER(G140), (G140 - $B140) / $B140, "")</f>
        <v>0.10669693530079449</v>
      </c>
      <c r="I140" s="110">
        <f>IF(ISNUMBER(G140), $B145 * H140, "")</f>
        <v>10669.693530079448</v>
      </c>
      <c r="J140" s="106">
        <v>9.93</v>
      </c>
      <c r="K140" s="107">
        <f>IF(ISNUMBER(J140), (J140 - $B140) / $B140, "")</f>
        <v>0.12712826333711683</v>
      </c>
      <c r="L140" s="108">
        <f>IF(ISNUMBER(J140), $B145 * K140, "")</f>
        <v>12712.826333711682</v>
      </c>
      <c r="M140" s="109">
        <v>9.8800000000000008</v>
      </c>
      <c r="N140" s="107">
        <f>IF(ISNUMBER(M140), (M140 - $B140) / $B140, "")</f>
        <v>0.1214528944381385</v>
      </c>
      <c r="O140" s="108">
        <f>IF(ISNUMBER(M140), $B145 * N140, "")</f>
        <v>12145.28944381385</v>
      </c>
      <c r="Q140" s="216"/>
      <c r="R140" s="216"/>
      <c r="S140" s="216"/>
    </row>
    <row r="141" spans="1:19" ht="17.25" thickBot="1">
      <c r="A141" s="125" t="s">
        <v>148</v>
      </c>
      <c r="B141" s="126">
        <v>15.4</v>
      </c>
      <c r="C141" s="77">
        <v>-3.7499999999999999E-2</v>
      </c>
      <c r="D141" s="15">
        <v>15.5</v>
      </c>
      <c r="E141" s="32">
        <f t="shared" ref="E141:E144" si="74">IF(ISNUMBER(D141), (D141 - $B141) / $B141, "")</f>
        <v>6.4935064935064705E-3</v>
      </c>
      <c r="F141" s="18">
        <f>IF(ISNUMBER(D141), $B145 * E141, "")</f>
        <v>649.35064935064702</v>
      </c>
      <c r="G141" s="31">
        <v>15.3</v>
      </c>
      <c r="H141" s="32">
        <f t="shared" ref="H141:H144" si="75">IF(ISNUMBER(G141), (G141 - $B141) / $B141, "")</f>
        <v>-6.4935064935064705E-3</v>
      </c>
      <c r="I141" s="101">
        <f>IF(ISNUMBER(G141), $B145 * H141, "")</f>
        <v>-649.35064935064702</v>
      </c>
      <c r="J141" s="15">
        <v>15.3</v>
      </c>
      <c r="K141" s="32">
        <f t="shared" ref="K141:K144" si="76">IF(ISNUMBER(J141), (J141 - $B141) / $B141, "")</f>
        <v>-6.4935064935064705E-3</v>
      </c>
      <c r="L141" s="18">
        <f>IF(ISNUMBER(J141), $B145 * K141, "")</f>
        <v>-649.35064935064702</v>
      </c>
      <c r="M141" s="31">
        <v>15.2</v>
      </c>
      <c r="N141" s="32">
        <f t="shared" ref="N141:N144" si="77">IF(ISNUMBER(M141), (M141 - $B141) / $B141, "")</f>
        <v>-1.2987012987013056E-2</v>
      </c>
      <c r="O141" s="18">
        <f>IF(ISNUMBER(M141), $B145 * N141, "")</f>
        <v>-1298.7012987013056</v>
      </c>
      <c r="Q141" s="216"/>
      <c r="R141" s="216"/>
      <c r="S141" s="216"/>
    </row>
    <row r="142" spans="1:19" ht="17.25" thickBot="1">
      <c r="A142" s="125" t="s">
        <v>204</v>
      </c>
      <c r="B142" s="126">
        <v>11.5</v>
      </c>
      <c r="C142" s="77">
        <v>-4.16666667E-2</v>
      </c>
      <c r="D142" s="15">
        <v>11.8</v>
      </c>
      <c r="E142" s="32">
        <f t="shared" si="74"/>
        <v>2.6086956521739191E-2</v>
      </c>
      <c r="F142" s="18">
        <f>IF(ISNUMBER(D142), $B145 * E142, "")</f>
        <v>2608.6956521739194</v>
      </c>
      <c r="G142" s="31">
        <v>11.8</v>
      </c>
      <c r="H142" s="32">
        <f t="shared" si="75"/>
        <v>2.6086956521739191E-2</v>
      </c>
      <c r="I142" s="101">
        <f>IF(ISNUMBER(G142), $B145 * H142, "")</f>
        <v>2608.6956521739194</v>
      </c>
      <c r="J142" s="15">
        <v>11.7</v>
      </c>
      <c r="K142" s="32">
        <f t="shared" si="76"/>
        <v>1.7391304347826025E-2</v>
      </c>
      <c r="L142" s="18">
        <f>IF(ISNUMBER(J142), $B145 * K142, "")</f>
        <v>1739.1304347826024</v>
      </c>
      <c r="M142" s="31">
        <v>11.8</v>
      </c>
      <c r="N142" s="32">
        <f t="shared" si="77"/>
        <v>2.6086956521739191E-2</v>
      </c>
      <c r="O142" s="18">
        <f>IF(ISNUMBER(M142), $B145 * N142, "")</f>
        <v>2608.6956521739194</v>
      </c>
      <c r="Q142" s="216"/>
      <c r="R142" s="216"/>
      <c r="S142" s="216"/>
    </row>
    <row r="143" spans="1:19">
      <c r="A143" s="125" t="s">
        <v>178</v>
      </c>
      <c r="B143" s="126">
        <v>13.5</v>
      </c>
      <c r="C143" s="77">
        <v>-4.2553191499999997E-2</v>
      </c>
      <c r="D143" s="15">
        <v>14.4</v>
      </c>
      <c r="E143" s="32">
        <f t="shared" si="74"/>
        <v>6.6666666666666693E-2</v>
      </c>
      <c r="F143" s="18">
        <f>IF(ISNUMBER(D143), $B145 * E143, "")</f>
        <v>6666.6666666666697</v>
      </c>
      <c r="G143" s="31">
        <v>14.3</v>
      </c>
      <c r="H143" s="32">
        <f t="shared" si="75"/>
        <v>5.925925925925931E-2</v>
      </c>
      <c r="I143" s="101">
        <f>IF(ISNUMBER(G143), $B145 * H143, "")</f>
        <v>5925.9259259259306</v>
      </c>
      <c r="J143" s="15">
        <v>14.2</v>
      </c>
      <c r="K143" s="32">
        <f t="shared" si="76"/>
        <v>5.1851851851851802E-2</v>
      </c>
      <c r="L143" s="18">
        <f>IF(ISNUMBER(J143), $B145 * K143, "")</f>
        <v>5185.1851851851798</v>
      </c>
      <c r="M143" s="31">
        <v>14.1</v>
      </c>
      <c r="N143" s="32">
        <f t="shared" si="77"/>
        <v>4.4444444444444418E-2</v>
      </c>
      <c r="O143" s="18">
        <f>IF(ISNUMBER(M143), $B145 * N143, "")</f>
        <v>4444.4444444444416</v>
      </c>
      <c r="Q143" s="205"/>
      <c r="R143" s="206"/>
      <c r="S143" s="207"/>
    </row>
    <row r="144" spans="1:19" ht="17.25" thickBot="1">
      <c r="A144" s="130" t="s">
        <v>188</v>
      </c>
      <c r="B144" s="131">
        <v>9.5</v>
      </c>
      <c r="C144" s="79">
        <v>-0.05</v>
      </c>
      <c r="D144" s="24">
        <v>9.91</v>
      </c>
      <c r="E144" s="25">
        <f t="shared" si="74"/>
        <v>4.3157894736842117E-2</v>
      </c>
      <c r="F144" s="104">
        <f>IF(ISNUMBER(D144), $B145 * E144, "")</f>
        <v>4315.7894736842118</v>
      </c>
      <c r="G144" s="102">
        <v>9.92</v>
      </c>
      <c r="H144" s="25">
        <f t="shared" si="75"/>
        <v>4.4210526315789464E-2</v>
      </c>
      <c r="I144" s="103">
        <f>IF(ISNUMBER(G144), $B145 * H144, "")</f>
        <v>4421.0526315789466</v>
      </c>
      <c r="J144" s="24">
        <v>9.9499999999999993</v>
      </c>
      <c r="K144" s="25">
        <f t="shared" si="76"/>
        <v>4.7368421052631504E-2</v>
      </c>
      <c r="L144" s="104">
        <f>IF(ISNUMBER(J144), $B145 * K144, "")</f>
        <v>4736.8421052631502</v>
      </c>
      <c r="M144" s="102">
        <v>9.89</v>
      </c>
      <c r="N144" s="25">
        <f t="shared" si="77"/>
        <v>4.1052631578947431E-2</v>
      </c>
      <c r="O144" s="104">
        <f>IF(ISNUMBER(M144), $B145 * N144, "")</f>
        <v>4105.263157894743</v>
      </c>
      <c r="Q144" s="208"/>
      <c r="R144" s="209"/>
      <c r="S144" s="210"/>
    </row>
    <row r="145" spans="1:19" ht="17.25" thickBot="1">
      <c r="A145" s="132" t="s">
        <v>271</v>
      </c>
      <c r="B145" s="269">
        <f>$B$37</f>
        <v>100000</v>
      </c>
      <c r="C145" s="270"/>
      <c r="D145" s="26" t="s">
        <v>272</v>
      </c>
      <c r="E145" s="27">
        <f>IF(COUNT(E125:E144), SUM(E125:E144) / COUNT(E125:E144), 0)</f>
        <v>3.985210785433109E-2</v>
      </c>
      <c r="F145" s="28">
        <f>SUM(F125:F144)</f>
        <v>79704.215708662203</v>
      </c>
      <c r="G145" s="26" t="s">
        <v>272</v>
      </c>
      <c r="H145" s="27">
        <f>IF(COUNT(H125:H144), SUM(H125:H144) / COUNT(H125:H144), 0)</f>
        <v>3.6420135198758453E-2</v>
      </c>
      <c r="I145" s="28">
        <f>SUM(I125:I144)</f>
        <v>72840.270397516899</v>
      </c>
      <c r="J145" s="26" t="s">
        <v>272</v>
      </c>
      <c r="K145" s="27">
        <f>IF(COUNT(K125:K144), SUM(K125:K144) / COUNT(K125:K144), 0)</f>
        <v>3.8599734170203487E-2</v>
      </c>
      <c r="L145" s="28">
        <f>SUM(L125:L144)</f>
        <v>77199.468340406995</v>
      </c>
      <c r="M145" s="26" t="s">
        <v>272</v>
      </c>
      <c r="N145" s="27">
        <f>IF(COUNT(N125:N144), SUM(N125:N144) / COUNT(N125:N144), 0)</f>
        <v>3.1959760607062696E-2</v>
      </c>
      <c r="O145" s="28">
        <f>SUM(O125:O144)</f>
        <v>63919.521214125409</v>
      </c>
      <c r="Q145" s="211"/>
      <c r="R145" s="212"/>
      <c r="S145" s="213"/>
    </row>
    <row r="147" spans="1:19" ht="17.25" thickBot="1"/>
    <row r="148" spans="1:19" ht="17.25" thickBot="1">
      <c r="A148" s="227" t="s">
        <v>260</v>
      </c>
      <c r="B148" s="228"/>
      <c r="C148" s="228"/>
      <c r="D148" s="228"/>
      <c r="E148" s="228"/>
      <c r="F148" s="228"/>
      <c r="G148" s="228"/>
      <c r="H148" s="228"/>
      <c r="I148" s="228"/>
      <c r="J148" s="228"/>
      <c r="K148" s="228"/>
      <c r="L148" s="228"/>
      <c r="M148" s="228"/>
      <c r="N148" s="228"/>
      <c r="O148" s="229"/>
      <c r="Q148" s="226"/>
      <c r="R148" s="226"/>
      <c r="S148" s="226"/>
    </row>
    <row r="149" spans="1:19" ht="17.25" thickBot="1">
      <c r="A149" s="193" t="s">
        <v>268</v>
      </c>
      <c r="B149" s="227" t="s">
        <v>49</v>
      </c>
      <c r="C149" s="229"/>
      <c r="D149" s="227" t="s">
        <v>58</v>
      </c>
      <c r="E149" s="228"/>
      <c r="F149" s="229"/>
      <c r="G149" s="230">
        <f>_xlfn.IFNA(VLOOKUP(B149, 현재가테이블!$B$2:$D$200, 2, FALSE), "-")</f>
        <v>39916000</v>
      </c>
      <c r="H149" s="231"/>
      <c r="I149" s="232"/>
      <c r="J149" s="227" t="s">
        <v>59</v>
      </c>
      <c r="K149" s="228"/>
      <c r="L149" s="229"/>
      <c r="M149" s="233">
        <f>_xlfn.IFNA(VLOOKUP(B149, 현재가테이블!$B$2:$D$200, 3, FALSE), "-")</f>
        <v>7.3184273000000003E-3</v>
      </c>
      <c r="N149" s="234"/>
      <c r="O149" s="235"/>
      <c r="Q149" s="226"/>
      <c r="R149" s="226"/>
      <c r="S149" s="226"/>
    </row>
    <row r="150" spans="1:19" ht="17.25" thickBot="1">
      <c r="A150" s="271" t="s">
        <v>55</v>
      </c>
      <c r="B150" s="267" t="str">
        <f>TEXT($G$1, "[$-ko-KR]yyyy-mm-dd(ddd) ") &amp; "오전 00:00"</f>
        <v>2021-07-10(토) 오전 00:00</v>
      </c>
      <c r="C150" s="268"/>
      <c r="D150" s="240" t="str">
        <f>TEXT($G$1, "[$-ko-KR]yyyy-mm-dd(ddd) ") &amp; "오후 14:00"</f>
        <v>2021-07-10(토) 오후 14:00</v>
      </c>
      <c r="E150" s="241"/>
      <c r="F150" s="242"/>
      <c r="G150" s="240" t="str">
        <f>TEXT($G$1, "[$-ko-KR]yyyy-mm-dd(ddd) ") &amp; "오후 19:00"</f>
        <v>2021-07-10(토) 오후 19:00</v>
      </c>
      <c r="H150" s="241"/>
      <c r="I150" s="242"/>
      <c r="J150" s="240" t="str">
        <f>TEXT($G$1, "[$-ko-KR]yyyy-mm-dd(ddd) ") &amp; "오후 21:00"</f>
        <v>2021-07-10(토) 오후 21:00</v>
      </c>
      <c r="K150" s="241"/>
      <c r="L150" s="242"/>
      <c r="M150" s="240" t="str">
        <f>TEXT($G$1+1, "[$-ko-KR]yyyy-mm-dd(ddd) ") &amp; "오전 00:00"</f>
        <v>2021-07-11(일) 오전 00:00</v>
      </c>
      <c r="N150" s="241"/>
      <c r="O150" s="242"/>
      <c r="Q150" s="226"/>
      <c r="R150" s="226"/>
      <c r="S150" s="226"/>
    </row>
    <row r="151" spans="1:19" ht="17.25" thickBot="1">
      <c r="A151" s="27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4" t="s">
        <v>58</v>
      </c>
      <c r="H151" s="195" t="s">
        <v>269</v>
      </c>
      <c r="I151" s="19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6"/>
      <c r="R151" s="216"/>
      <c r="S151" s="216"/>
    </row>
    <row r="152" spans="1:19" ht="17.25" thickBot="1">
      <c r="A152" s="123" t="s">
        <v>174</v>
      </c>
      <c r="B152" s="124">
        <v>215</v>
      </c>
      <c r="C152" s="76">
        <v>9.3896714000000006E-3</v>
      </c>
      <c r="D152" s="13">
        <v>220</v>
      </c>
      <c r="E152" s="14">
        <f>IF(ISNUMBER(D152), (D152 - $B152) / $B152, "")</f>
        <v>2.3255813953488372E-2</v>
      </c>
      <c r="F152" s="16">
        <f>IF(ISNUMBER(D152), $B172 * E152, "")</f>
        <v>2325.5813953488373</v>
      </c>
      <c r="G152" s="29">
        <v>214</v>
      </c>
      <c r="H152" s="14">
        <f>IF(ISNUMBER(G152), (G152 - $B152) / $B152, "")</f>
        <v>-4.6511627906976744E-3</v>
      </c>
      <c r="I152" s="100">
        <f>IF(ISNUMBER(G152), $B172 * H152, "")</f>
        <v>-465.11627906976742</v>
      </c>
      <c r="J152" s="13">
        <v>215</v>
      </c>
      <c r="K152" s="14">
        <f>IF(ISNUMBER(J152), (J152 - $B152) / $B152, "")</f>
        <v>0</v>
      </c>
      <c r="L152" s="16">
        <f>IF(ISNUMBER(J152), $B172 * K152, "")</f>
        <v>0</v>
      </c>
      <c r="M152" s="29">
        <v>213</v>
      </c>
      <c r="N152" s="14">
        <f>IF(ISNUMBER(M152), (M152 - $B152) / $B152, "")</f>
        <v>-9.3023255813953487E-3</v>
      </c>
      <c r="O152" s="16">
        <f>IF(ISNUMBER(M152), $B172 * N152, "")</f>
        <v>-930.23255813953483</v>
      </c>
      <c r="Q152" s="226"/>
      <c r="R152" s="226"/>
      <c r="S152" s="226"/>
    </row>
    <row r="153" spans="1:19" ht="17.25" thickBot="1">
      <c r="A153" s="125" t="s">
        <v>51</v>
      </c>
      <c r="B153" s="126">
        <v>291</v>
      </c>
      <c r="C153" s="77">
        <v>6.9204152000000001E-3</v>
      </c>
      <c r="D153" s="15">
        <v>288</v>
      </c>
      <c r="E153" s="32">
        <f t="shared" ref="E153:E156" si="78">IF(ISNUMBER(D153), (D153 - $B153) / $B153, "")</f>
        <v>-1.0309278350515464E-2</v>
      </c>
      <c r="F153" s="18">
        <f>IF(ISNUMBER(D153), $B172 * E153, "")</f>
        <v>-1030.9278350515465</v>
      </c>
      <c r="G153" s="31">
        <v>285</v>
      </c>
      <c r="H153" s="32">
        <f t="shared" ref="H153:H156" si="79">IF(ISNUMBER(G153), (G153 - $B153) / $B153, "")</f>
        <v>-2.0618556701030927E-2</v>
      </c>
      <c r="I153" s="101">
        <f>IF(ISNUMBER(G153), $B172 * H153, "")</f>
        <v>-2061.855670103093</v>
      </c>
      <c r="J153" s="15">
        <v>286</v>
      </c>
      <c r="K153" s="32">
        <f t="shared" ref="K153:K156" si="80">IF(ISNUMBER(J153), (J153 - $B153) / $B153, "")</f>
        <v>-1.7182130584192441E-2</v>
      </c>
      <c r="L153" s="18">
        <f>IF(ISNUMBER(J153), $B172 * K153, "")</f>
        <v>-1718.2130584192441</v>
      </c>
      <c r="M153" s="31">
        <v>285</v>
      </c>
      <c r="N153" s="32">
        <f t="shared" ref="N153:N156" si="81">IF(ISNUMBER(M153), (M153 - $B153) / $B153, "")</f>
        <v>-2.0618556701030927E-2</v>
      </c>
      <c r="O153" s="18">
        <f>IF(ISNUMBER(M153), $B172 * N153, "")</f>
        <v>-2061.855670103093</v>
      </c>
      <c r="Q153" s="226"/>
      <c r="R153" s="226"/>
      <c r="S153" s="226"/>
    </row>
    <row r="154" spans="1:19" ht="17.25" thickBot="1">
      <c r="A154" s="125" t="s">
        <v>200</v>
      </c>
      <c r="B154" s="126">
        <v>112</v>
      </c>
      <c r="C154" s="77">
        <v>0</v>
      </c>
      <c r="D154" s="15">
        <v>111</v>
      </c>
      <c r="E154" s="32">
        <f t="shared" si="78"/>
        <v>-8.9285714285714281E-3</v>
      </c>
      <c r="F154" s="18">
        <f>IF(ISNUMBER(D154), $B172 * E154, "")</f>
        <v>-892.85714285714278</v>
      </c>
      <c r="G154" s="31">
        <v>111</v>
      </c>
      <c r="H154" s="32">
        <f t="shared" si="79"/>
        <v>-8.9285714285714281E-3</v>
      </c>
      <c r="I154" s="101">
        <f>IF(ISNUMBER(G154), $B172 * H154, "")</f>
        <v>-892.85714285714278</v>
      </c>
      <c r="J154" s="15">
        <v>110</v>
      </c>
      <c r="K154" s="32">
        <f t="shared" si="80"/>
        <v>-1.7857142857142856E-2</v>
      </c>
      <c r="L154" s="18">
        <f>IF(ISNUMBER(J154), $B172 * K154, "")</f>
        <v>-1785.7142857142856</v>
      </c>
      <c r="M154" s="31">
        <v>111</v>
      </c>
      <c r="N154" s="32">
        <f t="shared" si="81"/>
        <v>-8.9285714285714281E-3</v>
      </c>
      <c r="O154" s="18">
        <f>IF(ISNUMBER(M154), $B172 * N154, "")</f>
        <v>-892.85714285714278</v>
      </c>
      <c r="Q154" s="216"/>
      <c r="R154" s="216"/>
      <c r="S154" s="216"/>
    </row>
    <row r="155" spans="1:19" ht="17.25" thickBot="1">
      <c r="A155" s="125" t="s">
        <v>253</v>
      </c>
      <c r="B155" s="126">
        <v>748</v>
      </c>
      <c r="C155" s="77">
        <v>-2.6666667000000001E-3</v>
      </c>
      <c r="D155" s="15">
        <v>741</v>
      </c>
      <c r="E155" s="32">
        <f t="shared" si="78"/>
        <v>-9.3582887700534752E-3</v>
      </c>
      <c r="F155" s="18">
        <f>IF(ISNUMBER(D155), $B172 * E155, "")</f>
        <v>-935.82887700534752</v>
      </c>
      <c r="G155" s="31">
        <v>735</v>
      </c>
      <c r="H155" s="32">
        <f t="shared" si="79"/>
        <v>-1.7379679144385027E-2</v>
      </c>
      <c r="I155" s="101">
        <f>IF(ISNUMBER(G155), $B172 * H155, "")</f>
        <v>-1737.9679144385027</v>
      </c>
      <c r="J155" s="15">
        <v>739</v>
      </c>
      <c r="K155" s="32">
        <f t="shared" si="80"/>
        <v>-1.2032085561497326E-2</v>
      </c>
      <c r="L155" s="18">
        <f>IF(ISNUMBER(J155), $B172 * K155, "")</f>
        <v>-1203.2085561497327</v>
      </c>
      <c r="M155" s="31">
        <v>736</v>
      </c>
      <c r="N155" s="32">
        <f t="shared" si="81"/>
        <v>-1.6042780748663103E-2</v>
      </c>
      <c r="O155" s="18">
        <f>IF(ISNUMBER(M155), $B172 * N155, "")</f>
        <v>-1604.2780748663104</v>
      </c>
      <c r="Q155" s="216"/>
      <c r="R155" s="216"/>
      <c r="S155" s="216"/>
    </row>
    <row r="156" spans="1:19" ht="17.25" thickBot="1">
      <c r="A156" s="127" t="s">
        <v>192</v>
      </c>
      <c r="B156" s="128">
        <v>182</v>
      </c>
      <c r="C156" s="78">
        <v>-5.4644808999999997E-3</v>
      </c>
      <c r="D156" s="20">
        <v>184</v>
      </c>
      <c r="E156" s="21">
        <f t="shared" si="78"/>
        <v>1.098901098901099E-2</v>
      </c>
      <c r="F156" s="22">
        <f>IF(ISNUMBER(D156), $B172 * E156, "")</f>
        <v>1098.901098901099</v>
      </c>
      <c r="G156" s="30">
        <v>180</v>
      </c>
      <c r="H156" s="21">
        <f t="shared" si="79"/>
        <v>-1.098901098901099E-2</v>
      </c>
      <c r="I156" s="105">
        <f>IF(ISNUMBER(G156), $B172 * H156, "")</f>
        <v>-1098.901098901099</v>
      </c>
      <c r="J156" s="20">
        <v>181</v>
      </c>
      <c r="K156" s="21">
        <f t="shared" si="80"/>
        <v>-5.4945054945054949E-3</v>
      </c>
      <c r="L156" s="22">
        <f>IF(ISNUMBER(J156), $B172 * K156, "")</f>
        <v>-549.45054945054949</v>
      </c>
      <c r="M156" s="30">
        <v>180</v>
      </c>
      <c r="N156" s="21">
        <f t="shared" si="81"/>
        <v>-1.098901098901099E-2</v>
      </c>
      <c r="O156" s="22">
        <f>IF(ISNUMBER(M156), $B172 * N156, "")</f>
        <v>-1098.901098901099</v>
      </c>
      <c r="Q156" s="216"/>
      <c r="R156" s="216"/>
      <c r="S156" s="216"/>
    </row>
    <row r="157" spans="1:19" ht="17.25" thickBot="1">
      <c r="A157" s="125" t="s">
        <v>102</v>
      </c>
      <c r="B157" s="129">
        <v>830</v>
      </c>
      <c r="C157" s="80">
        <v>-5.9880239999999998E-3</v>
      </c>
      <c r="D157" s="106">
        <v>820</v>
      </c>
      <c r="E157" s="107">
        <f>IF(ISNUMBER(D157), (D157 - $B157) / $B157, "")</f>
        <v>-1.2048192771084338E-2</v>
      </c>
      <c r="F157" s="108">
        <f>IF(ISNUMBER(D157), $B172 * E157, "")</f>
        <v>-1204.8192771084339</v>
      </c>
      <c r="G157" s="109">
        <v>814</v>
      </c>
      <c r="H157" s="107">
        <f>IF(ISNUMBER(G157), (G157 - $B157) / $B157, "")</f>
        <v>-1.9277108433734941E-2</v>
      </c>
      <c r="I157" s="110">
        <f>IF(ISNUMBER(G157), $B172 * H157, "")</f>
        <v>-1927.7108433734941</v>
      </c>
      <c r="J157" s="106">
        <v>818</v>
      </c>
      <c r="K157" s="107">
        <f>IF(ISNUMBER(J157), (J157 - $B157) / $B157, "")</f>
        <v>-1.4457831325301205E-2</v>
      </c>
      <c r="L157" s="108">
        <f>IF(ISNUMBER(J157), $B172 * K157, "")</f>
        <v>-1445.7831325301206</v>
      </c>
      <c r="M157" s="109">
        <v>813</v>
      </c>
      <c r="N157" s="107">
        <f>IF(ISNUMBER(M157), (M157 - $B157) / $B157, "")</f>
        <v>-2.0481927710843374E-2</v>
      </c>
      <c r="O157" s="108">
        <f>IF(ISNUMBER(M157), $B172 * N157, "")</f>
        <v>-2048.1927710843374</v>
      </c>
      <c r="Q157" s="216"/>
      <c r="R157" s="216"/>
      <c r="S157" s="216"/>
    </row>
    <row r="158" spans="1:19" ht="17.25" thickBot="1">
      <c r="A158" s="125" t="s">
        <v>164</v>
      </c>
      <c r="B158" s="126">
        <v>232</v>
      </c>
      <c r="C158" s="77">
        <v>-8.5470084999999998E-3</v>
      </c>
      <c r="D158" s="15">
        <v>234</v>
      </c>
      <c r="E158" s="32">
        <f t="shared" ref="E158:E161" si="82">IF(ISNUMBER(D158), (D158 - $B158) / $B158, "")</f>
        <v>8.6206896551724137E-3</v>
      </c>
      <c r="F158" s="18">
        <f>IF(ISNUMBER(D158), $B172 * E158, "")</f>
        <v>862.06896551724139</v>
      </c>
      <c r="G158" s="31">
        <v>232</v>
      </c>
      <c r="H158" s="32">
        <f t="shared" ref="H158:H161" si="83">IF(ISNUMBER(G158), (G158 - $B158) / $B158, "")</f>
        <v>0</v>
      </c>
      <c r="I158" s="101">
        <f>IF(ISNUMBER(G158), $B172 * H158, "")</f>
        <v>0</v>
      </c>
      <c r="J158" s="15">
        <v>234</v>
      </c>
      <c r="K158" s="32">
        <f t="shared" ref="K158:K161" si="84">IF(ISNUMBER(J158), (J158 - $B158) / $B158, "")</f>
        <v>8.6206896551724137E-3</v>
      </c>
      <c r="L158" s="18">
        <f>IF(ISNUMBER(J158), $B172 * K158, "")</f>
        <v>862.06896551724139</v>
      </c>
      <c r="M158" s="31">
        <v>232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16"/>
      <c r="R158" s="216"/>
      <c r="S158" s="216"/>
    </row>
    <row r="159" spans="1:19" ht="17.25" thickBot="1">
      <c r="A159" s="125" t="s">
        <v>233</v>
      </c>
      <c r="B159" s="126">
        <v>351</v>
      </c>
      <c r="C159" s="77">
        <v>-1.4044943799999999E-2</v>
      </c>
      <c r="D159" s="15">
        <v>363</v>
      </c>
      <c r="E159" s="32">
        <f t="shared" si="82"/>
        <v>3.4188034188034191E-2</v>
      </c>
      <c r="F159" s="18">
        <f>IF(ISNUMBER(D159), $B172 * E159, "")</f>
        <v>3418.8034188034189</v>
      </c>
      <c r="G159" s="31">
        <v>360</v>
      </c>
      <c r="H159" s="32">
        <f t="shared" si="83"/>
        <v>2.564102564102564E-2</v>
      </c>
      <c r="I159" s="101">
        <f>IF(ISNUMBER(G159), $B172 * H159, "")</f>
        <v>2564.102564102564</v>
      </c>
      <c r="J159" s="15">
        <v>360</v>
      </c>
      <c r="K159" s="32">
        <f t="shared" si="84"/>
        <v>2.564102564102564E-2</v>
      </c>
      <c r="L159" s="18">
        <f>IF(ISNUMBER(J159), $B172 * K159, "")</f>
        <v>2564.102564102564</v>
      </c>
      <c r="M159" s="31">
        <v>364</v>
      </c>
      <c r="N159" s="32">
        <f t="shared" si="85"/>
        <v>3.7037037037037035E-2</v>
      </c>
      <c r="O159" s="18">
        <f>IF(ISNUMBER(M159), $B172 * N159, "")</f>
        <v>3703.7037037037035</v>
      </c>
      <c r="Q159" s="216"/>
      <c r="R159" s="216"/>
      <c r="S159" s="216"/>
    </row>
    <row r="160" spans="1:19" ht="17.25" thickBot="1">
      <c r="A160" s="125" t="s">
        <v>80</v>
      </c>
      <c r="B160" s="126">
        <v>667</v>
      </c>
      <c r="C160" s="77">
        <v>-1.4771048700000001E-2</v>
      </c>
      <c r="D160" s="15">
        <v>674</v>
      </c>
      <c r="E160" s="32">
        <f t="shared" si="82"/>
        <v>1.0494752623688156E-2</v>
      </c>
      <c r="F160" s="18">
        <f>IF(ISNUMBER(D160), $B172 * E160, "")</f>
        <v>1049.4752623688157</v>
      </c>
      <c r="G160" s="31">
        <v>661</v>
      </c>
      <c r="H160" s="32">
        <f t="shared" si="83"/>
        <v>-8.9955022488755615E-3</v>
      </c>
      <c r="I160" s="101">
        <f>IF(ISNUMBER(G160), $B172 * H160, "")</f>
        <v>-899.55022488755617</v>
      </c>
      <c r="J160" s="15">
        <v>664</v>
      </c>
      <c r="K160" s="32">
        <f t="shared" si="84"/>
        <v>-4.4977511244377807E-3</v>
      </c>
      <c r="L160" s="18">
        <f>IF(ISNUMBER(J160), $B172 * K160, "")</f>
        <v>-449.77511244377808</v>
      </c>
      <c r="M160" s="31">
        <v>656</v>
      </c>
      <c r="N160" s="32">
        <f t="shared" si="85"/>
        <v>-1.6491754122938532E-2</v>
      </c>
      <c r="O160" s="18">
        <f>IF(ISNUMBER(M160), $B172 * N160, "")</f>
        <v>-1649.1754122938532</v>
      </c>
      <c r="Q160" s="33"/>
      <c r="R160" s="33"/>
    </row>
    <row r="161" spans="1:19" ht="17.25" thickBot="1">
      <c r="A161" s="130" t="s">
        <v>243</v>
      </c>
      <c r="B161" s="131">
        <v>366</v>
      </c>
      <c r="C161" s="79">
        <v>-1.6129032299999999E-2</v>
      </c>
      <c r="D161" s="24">
        <v>371</v>
      </c>
      <c r="E161" s="25">
        <f t="shared" si="82"/>
        <v>1.3661202185792349E-2</v>
      </c>
      <c r="F161" s="104">
        <f>IF(ISNUMBER(D161), $B172 * E161, "")</f>
        <v>1366.1202185792349</v>
      </c>
      <c r="G161" s="102">
        <v>368</v>
      </c>
      <c r="H161" s="25">
        <f t="shared" si="83"/>
        <v>5.4644808743169399E-3</v>
      </c>
      <c r="I161" s="103">
        <f>IF(ISNUMBER(G161), $B172 * H161, "")</f>
        <v>546.44808743169403</v>
      </c>
      <c r="J161" s="24">
        <v>369</v>
      </c>
      <c r="K161" s="25">
        <f t="shared" si="84"/>
        <v>8.1967213114754103E-3</v>
      </c>
      <c r="L161" s="104">
        <f>IF(ISNUMBER(J161), $B172 * K161, "")</f>
        <v>819.67213114754099</v>
      </c>
      <c r="M161" s="102">
        <v>369</v>
      </c>
      <c r="N161" s="25">
        <f t="shared" si="85"/>
        <v>8.1967213114754103E-3</v>
      </c>
      <c r="O161" s="104">
        <f>IF(ISNUMBER(M161), $B172 * N161, "")</f>
        <v>819.67213114754099</v>
      </c>
      <c r="Q161" s="217"/>
      <c r="R161" s="218"/>
      <c r="S161" s="219"/>
    </row>
    <row r="162" spans="1:19">
      <c r="A162" s="123" t="s">
        <v>184</v>
      </c>
      <c r="B162" s="124">
        <v>848</v>
      </c>
      <c r="C162" s="76">
        <v>-1.6241299300000001E-2</v>
      </c>
      <c r="D162" s="13">
        <v>855</v>
      </c>
      <c r="E162" s="14">
        <f>IF(ISNUMBER(D162), (D162 - $B162) / $B162, "")</f>
        <v>8.2547169811320754E-3</v>
      </c>
      <c r="F162" s="16">
        <f>IF(ISNUMBER(D162), $B172 * E162, "")</f>
        <v>825.47169811320748</v>
      </c>
      <c r="G162" s="29">
        <v>852</v>
      </c>
      <c r="H162" s="14">
        <f>IF(ISNUMBER(G162), (G162 - $B162) / $B162, "")</f>
        <v>4.7169811320754715E-3</v>
      </c>
      <c r="I162" s="100">
        <f>IF(ISNUMBER(G162), $B172 * H162, "")</f>
        <v>471.69811320754712</v>
      </c>
      <c r="J162" s="13">
        <v>852</v>
      </c>
      <c r="K162" s="14">
        <f>IF(ISNUMBER(J162), (J162 - $B162) / $B162, "")</f>
        <v>4.7169811320754715E-3</v>
      </c>
      <c r="L162" s="16">
        <f>IF(ISNUMBER(J162), $B172 * K162, "")</f>
        <v>471.69811320754712</v>
      </c>
      <c r="M162" s="29">
        <v>850</v>
      </c>
      <c r="N162" s="14">
        <f>IF(ISNUMBER(M162), (M162 - $B162) / $B162, "")</f>
        <v>2.3584905660377358E-3</v>
      </c>
      <c r="O162" s="16">
        <f>IF(ISNUMBER(M162), $B172 * N162, "")</f>
        <v>235.84905660377356</v>
      </c>
      <c r="Q162" s="220"/>
      <c r="R162" s="221"/>
      <c r="S162" s="222"/>
    </row>
    <row r="163" spans="1:19" ht="17.25" thickBot="1">
      <c r="A163" s="125" t="s">
        <v>124</v>
      </c>
      <c r="B163" s="126">
        <v>285</v>
      </c>
      <c r="C163" s="77">
        <v>-1.7241379300000002E-2</v>
      </c>
      <c r="D163" s="15">
        <v>291</v>
      </c>
      <c r="E163" s="32">
        <f t="shared" ref="E163:E166" si="86">IF(ISNUMBER(D163), (D163 - $B163) / $B163, "")</f>
        <v>2.1052631578947368E-2</v>
      </c>
      <c r="F163" s="18">
        <f>IF(ISNUMBER(D163), $B172 * E163, "")</f>
        <v>2105.2631578947367</v>
      </c>
      <c r="G163" s="31">
        <v>286</v>
      </c>
      <c r="H163" s="32">
        <f t="shared" ref="H163:H166" si="87">IF(ISNUMBER(G163), (G163 - $B163) / $B163, "")</f>
        <v>3.5087719298245615E-3</v>
      </c>
      <c r="I163" s="101">
        <f>IF(ISNUMBER(G163), $B172 * H163, "")</f>
        <v>350.87719298245617</v>
      </c>
      <c r="J163" s="15">
        <v>286</v>
      </c>
      <c r="K163" s="32">
        <f t="shared" ref="K163:K166" si="88">IF(ISNUMBER(J163), (J163 - $B163) / $B163, "")</f>
        <v>3.5087719298245615E-3</v>
      </c>
      <c r="L163" s="18">
        <f>IF(ISNUMBER(J163), $B172 * K163, "")</f>
        <v>350.87719298245617</v>
      </c>
      <c r="M163" s="31">
        <v>285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23"/>
      <c r="R163" s="224"/>
      <c r="S163" s="225"/>
    </row>
    <row r="164" spans="1:19" ht="17.25" thickBot="1">
      <c r="A164" s="125" t="s">
        <v>86</v>
      </c>
      <c r="B164" s="126">
        <v>289</v>
      </c>
      <c r="C164" s="77">
        <v>-2.0338983099999999E-2</v>
      </c>
      <c r="D164" s="15">
        <v>306</v>
      </c>
      <c r="E164" s="32">
        <f t="shared" si="86"/>
        <v>5.8823529411764705E-2</v>
      </c>
      <c r="F164" s="18">
        <f>IF(ISNUMBER(D164), $B172 * E164, "")</f>
        <v>5882.3529411764703</v>
      </c>
      <c r="G164" s="31">
        <v>306</v>
      </c>
      <c r="H164" s="32">
        <f t="shared" si="87"/>
        <v>5.8823529411764705E-2</v>
      </c>
      <c r="I164" s="101">
        <f>IF(ISNUMBER(G164), $B172 * H164, "")</f>
        <v>5882.3529411764703</v>
      </c>
      <c r="J164" s="15">
        <v>307</v>
      </c>
      <c r="K164" s="32">
        <f t="shared" si="88"/>
        <v>6.228373702422145E-2</v>
      </c>
      <c r="L164" s="18">
        <f>IF(ISNUMBER(J164), $B172 * K164, "")</f>
        <v>6228.3737024221446</v>
      </c>
      <c r="M164" s="31">
        <v>306</v>
      </c>
      <c r="N164" s="32">
        <f t="shared" si="89"/>
        <v>5.8823529411764705E-2</v>
      </c>
      <c r="O164" s="18">
        <f>IF(ISNUMBER(M164), $B172 * N164, "")</f>
        <v>5882.3529411764703</v>
      </c>
      <c r="Q164" s="216"/>
      <c r="R164" s="216"/>
      <c r="S164" s="216"/>
    </row>
    <row r="165" spans="1:19" ht="17.25" thickBot="1">
      <c r="A165" s="125" t="s">
        <v>57</v>
      </c>
      <c r="B165" s="126">
        <v>143</v>
      </c>
      <c r="C165" s="77">
        <v>-2.0547945200000001E-2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143</v>
      </c>
      <c r="H165" s="32">
        <f t="shared" si="87"/>
        <v>0</v>
      </c>
      <c r="I165" s="101">
        <f>IF(ISNUMBER(G165), $B172 * H165, "")</f>
        <v>0</v>
      </c>
      <c r="J165" s="15">
        <v>143</v>
      </c>
      <c r="K165" s="32">
        <f t="shared" si="88"/>
        <v>0</v>
      </c>
      <c r="L165" s="18">
        <f>IF(ISNUMBER(J165), $B172 * K165, "")</f>
        <v>0</v>
      </c>
      <c r="M165" s="31">
        <v>143</v>
      </c>
      <c r="N165" s="32">
        <f t="shared" si="89"/>
        <v>0</v>
      </c>
      <c r="O165" s="18">
        <f>IF(ISNUMBER(M165), $B172 * N165, "")</f>
        <v>0</v>
      </c>
      <c r="Q165" s="226"/>
      <c r="R165" s="226"/>
      <c r="S165" s="226"/>
    </row>
    <row r="166" spans="1:19" ht="17.25" thickBot="1">
      <c r="A166" s="127" t="s">
        <v>237</v>
      </c>
      <c r="B166" s="128">
        <v>422</v>
      </c>
      <c r="C166" s="78">
        <v>-2.7649769599999999E-2</v>
      </c>
      <c r="D166" s="20">
        <v>464</v>
      </c>
      <c r="E166" s="21">
        <f t="shared" si="86"/>
        <v>9.9526066350710901E-2</v>
      </c>
      <c r="F166" s="22">
        <f>IF(ISNUMBER(D166), $B172 * E166, "")</f>
        <v>9952.6066350710898</v>
      </c>
      <c r="G166" s="30">
        <v>458</v>
      </c>
      <c r="H166" s="21">
        <f t="shared" si="87"/>
        <v>8.5308056872037921E-2</v>
      </c>
      <c r="I166" s="105">
        <f>IF(ISNUMBER(G166), $B172 * H166, "")</f>
        <v>8530.8056872037923</v>
      </c>
      <c r="J166" s="20">
        <v>458</v>
      </c>
      <c r="K166" s="21">
        <f t="shared" si="88"/>
        <v>8.5308056872037921E-2</v>
      </c>
      <c r="L166" s="22">
        <f>IF(ISNUMBER(J166), $B172 * K166, "")</f>
        <v>8530.8056872037923</v>
      </c>
      <c r="M166" s="30">
        <v>459</v>
      </c>
      <c r="N166" s="21">
        <f t="shared" si="89"/>
        <v>8.7677725118483416E-2</v>
      </c>
      <c r="O166" s="22">
        <f>IF(ISNUMBER(M166), $B172 * N166, "")</f>
        <v>8767.7725118483413</v>
      </c>
      <c r="Q166" s="226"/>
      <c r="R166" s="226"/>
      <c r="S166" s="226"/>
    </row>
    <row r="167" spans="1:19" ht="17.25" thickBot="1">
      <c r="A167" s="125" t="s">
        <v>194</v>
      </c>
      <c r="B167" s="129">
        <v>121</v>
      </c>
      <c r="C167" s="80">
        <v>-3.2000000000000001E-2</v>
      </c>
      <c r="D167" s="106">
        <v>123</v>
      </c>
      <c r="E167" s="107">
        <f>IF(ISNUMBER(D167), (D167 - $B167) / $B167, "")</f>
        <v>1.6528925619834711E-2</v>
      </c>
      <c r="F167" s="108">
        <f>IF(ISNUMBER(D167), $B172 * E167, "")</f>
        <v>1652.8925619834711</v>
      </c>
      <c r="G167" s="109">
        <v>121</v>
      </c>
      <c r="H167" s="107">
        <f>IF(ISNUMBER(G167), (G167 - $B167) / $B167, "")</f>
        <v>0</v>
      </c>
      <c r="I167" s="110">
        <f>IF(ISNUMBER(G167), $B172 * H167, "")</f>
        <v>0</v>
      </c>
      <c r="J167" s="106">
        <v>122</v>
      </c>
      <c r="K167" s="107">
        <f>IF(ISNUMBER(J167), (J167 - $B167) / $B167, "")</f>
        <v>8.2644628099173556E-3</v>
      </c>
      <c r="L167" s="108">
        <f>IF(ISNUMBER(J167), $B172 * K167, "")</f>
        <v>826.44628099173553</v>
      </c>
      <c r="M167" s="109">
        <v>123</v>
      </c>
      <c r="N167" s="107">
        <f>IF(ISNUMBER(M167), (M167 - $B167) / $B167, "")</f>
        <v>1.6528925619834711E-2</v>
      </c>
      <c r="O167" s="108">
        <f>IF(ISNUMBER(M167), $B172 * N167, "")</f>
        <v>1652.8925619834711</v>
      </c>
      <c r="Q167" s="216"/>
      <c r="R167" s="216"/>
      <c r="S167" s="216"/>
    </row>
    <row r="168" spans="1:19" ht="17.25" thickBot="1">
      <c r="A168" s="125" t="s">
        <v>206</v>
      </c>
      <c r="B168" s="126">
        <v>208</v>
      </c>
      <c r="C168" s="77">
        <v>-3.7037037000000002E-2</v>
      </c>
      <c r="D168" s="15">
        <v>214</v>
      </c>
      <c r="E168" s="32">
        <f t="shared" ref="E168:E171" si="90">IF(ISNUMBER(D168), (D168 - $B168) / $B168, "")</f>
        <v>2.8846153846153848E-2</v>
      </c>
      <c r="F168" s="18">
        <f>IF(ISNUMBER(D168), $B172 * E168, "")</f>
        <v>2884.6153846153848</v>
      </c>
      <c r="G168" s="31">
        <v>213</v>
      </c>
      <c r="H168" s="32">
        <f t="shared" ref="H168:H171" si="91">IF(ISNUMBER(G168), (G168 - $B168) / $B168, "")</f>
        <v>2.403846153846154E-2</v>
      </c>
      <c r="I168" s="101">
        <f>IF(ISNUMBER(G168), $B172 * H168, "")</f>
        <v>2403.8461538461538</v>
      </c>
      <c r="J168" s="15">
        <v>215</v>
      </c>
      <c r="K168" s="32">
        <f t="shared" ref="K168:K171" si="92">IF(ISNUMBER(J168), (J168 - $B168) / $B168, "")</f>
        <v>3.3653846153846152E-2</v>
      </c>
      <c r="L168" s="18">
        <f>IF(ISNUMBER(J168), $B172 * K168, "")</f>
        <v>3365.3846153846152</v>
      </c>
      <c r="M168" s="31">
        <v>216</v>
      </c>
      <c r="N168" s="32">
        <f t="shared" ref="N168:N171" si="93">IF(ISNUMBER(M168), (M168 - $B168) / $B168, "")</f>
        <v>3.8461538461538464E-2</v>
      </c>
      <c r="O168" s="18">
        <f>IF(ISNUMBER(M168), $B172 * N168, "")</f>
        <v>3846.1538461538462</v>
      </c>
      <c r="Q168" s="216"/>
      <c r="R168" s="216"/>
      <c r="S168" s="216"/>
    </row>
    <row r="169" spans="1:19" ht="17.25" thickBot="1">
      <c r="A169" s="125" t="s">
        <v>231</v>
      </c>
      <c r="B169" s="126">
        <v>148</v>
      </c>
      <c r="C169" s="77">
        <v>-3.8961039000000003E-2</v>
      </c>
      <c r="D169" s="15">
        <v>152</v>
      </c>
      <c r="E169" s="32">
        <f t="shared" si="90"/>
        <v>2.7027027027027029E-2</v>
      </c>
      <c r="F169" s="18">
        <f>IF(ISNUMBER(D169), $B172 * E169, "")</f>
        <v>2702.7027027027029</v>
      </c>
      <c r="G169" s="31">
        <v>151</v>
      </c>
      <c r="H169" s="32">
        <f t="shared" si="91"/>
        <v>2.0270270270270271E-2</v>
      </c>
      <c r="I169" s="101">
        <f>IF(ISNUMBER(G169), $B172 * H169, "")</f>
        <v>2027.0270270270271</v>
      </c>
      <c r="J169" s="15">
        <v>151</v>
      </c>
      <c r="K169" s="32">
        <f t="shared" si="92"/>
        <v>2.0270270270270271E-2</v>
      </c>
      <c r="L169" s="18">
        <f>IF(ISNUMBER(J169), $B172 * K169, "")</f>
        <v>2027.0270270270271</v>
      </c>
      <c r="M169" s="31">
        <v>153</v>
      </c>
      <c r="N169" s="32">
        <f t="shared" si="93"/>
        <v>3.3783783783783786E-2</v>
      </c>
      <c r="O169" s="18">
        <f>IF(ISNUMBER(M169), $B172 * N169, "")</f>
        <v>3378.3783783783788</v>
      </c>
      <c r="Q169" s="216"/>
      <c r="R169" s="216"/>
      <c r="S169" s="216"/>
    </row>
    <row r="170" spans="1:19">
      <c r="A170" s="125" t="s">
        <v>114</v>
      </c>
      <c r="B170" s="126">
        <v>487</v>
      </c>
      <c r="C170" s="77">
        <v>-4.5098039200000002E-2</v>
      </c>
      <c r="D170" s="15">
        <v>608</v>
      </c>
      <c r="E170" s="32">
        <f t="shared" si="90"/>
        <v>0.24845995893223818</v>
      </c>
      <c r="F170" s="18">
        <f>IF(ISNUMBER(D170), $B172 * E170, "")</f>
        <v>24845.995893223819</v>
      </c>
      <c r="G170" s="31">
        <v>593</v>
      </c>
      <c r="H170" s="32">
        <f t="shared" si="91"/>
        <v>0.21765913757700206</v>
      </c>
      <c r="I170" s="101">
        <f>IF(ISNUMBER(G170), $B172 * H170, "")</f>
        <v>21765.913757700207</v>
      </c>
      <c r="J170" s="15">
        <v>602</v>
      </c>
      <c r="K170" s="32">
        <f t="shared" si="92"/>
        <v>0.23613963039014374</v>
      </c>
      <c r="L170" s="18">
        <f>IF(ISNUMBER(J170), $B172 * K170, "")</f>
        <v>23613.963039014376</v>
      </c>
      <c r="M170" s="31">
        <v>607</v>
      </c>
      <c r="N170" s="32">
        <f t="shared" si="93"/>
        <v>0.24640657084188911</v>
      </c>
      <c r="O170" s="18">
        <f>IF(ISNUMBER(M170), $B172 * N170, "")</f>
        <v>24640.657084188912</v>
      </c>
      <c r="Q170" s="205"/>
      <c r="R170" s="206"/>
      <c r="S170" s="207"/>
    </row>
    <row r="171" spans="1:19" ht="17.25" thickBot="1">
      <c r="A171" s="130" t="s">
        <v>138</v>
      </c>
      <c r="B171" s="131">
        <v>422</v>
      </c>
      <c r="C171" s="79">
        <v>-7.2527472499999995E-2</v>
      </c>
      <c r="D171" s="24">
        <v>413</v>
      </c>
      <c r="E171" s="25">
        <f t="shared" si="90"/>
        <v>-2.132701421800948E-2</v>
      </c>
      <c r="F171" s="104">
        <f>IF(ISNUMBER(D171), $B172 * E171, "")</f>
        <v>-2132.7014218009481</v>
      </c>
      <c r="G171" s="102">
        <v>410</v>
      </c>
      <c r="H171" s="25">
        <f t="shared" si="91"/>
        <v>-2.843601895734597E-2</v>
      </c>
      <c r="I171" s="103">
        <f>IF(ISNUMBER(G171), $B172 * H171, "")</f>
        <v>-2843.6018957345968</v>
      </c>
      <c r="J171" s="24">
        <v>411</v>
      </c>
      <c r="K171" s="25">
        <f t="shared" si="92"/>
        <v>-2.6066350710900472E-2</v>
      </c>
      <c r="L171" s="104">
        <f>IF(ISNUMBER(J171), $B172 * K171, "")</f>
        <v>-2606.6350710900474</v>
      </c>
      <c r="M171" s="102">
        <v>409</v>
      </c>
      <c r="N171" s="25">
        <f t="shared" si="93"/>
        <v>-3.0805687203791468E-2</v>
      </c>
      <c r="O171" s="104">
        <f>IF(ISNUMBER(M171), $B172 * N171, "")</f>
        <v>-3080.5687203791467</v>
      </c>
      <c r="Q171" s="208"/>
      <c r="R171" s="209"/>
      <c r="S171" s="210"/>
    </row>
    <row r="172" spans="1:19" ht="17.25" thickBot="1">
      <c r="A172" s="132" t="s">
        <v>271</v>
      </c>
      <c r="B172" s="269">
        <f>$B$37</f>
        <v>100000</v>
      </c>
      <c r="C172" s="270"/>
      <c r="D172" s="26" t="s">
        <v>272</v>
      </c>
      <c r="E172" s="27">
        <f>IF(COUNT(E152:E171), SUM(E152:E171) / COUNT(E152:E171), 0)</f>
        <v>2.8087159089538748E-2</v>
      </c>
      <c r="F172" s="28">
        <f>SUM(F152:F171)</f>
        <v>56174.318179077505</v>
      </c>
      <c r="G172" s="26" t="s">
        <v>272</v>
      </c>
      <c r="H172" s="27">
        <f>IF(COUNT(H152:H171), SUM(H152:H171) / COUNT(H152:H171), 0)</f>
        <v>1.6307755227656328E-2</v>
      </c>
      <c r="I172" s="28">
        <f>SUM(I152:I171)</f>
        <v>32615.510455312666</v>
      </c>
      <c r="J172" s="26" t="s">
        <v>272</v>
      </c>
      <c r="K172" s="27">
        <f>IF(COUNT(K152:K171), SUM(K152:K171) / COUNT(K152:K171), 0)</f>
        <v>1.9950819776601642E-2</v>
      </c>
      <c r="L172" s="28">
        <f>SUM(L152:L171)</f>
        <v>39901.639553203291</v>
      </c>
      <c r="M172" s="26" t="s">
        <v>272</v>
      </c>
      <c r="N172" s="27">
        <f>IF(COUNT(N152:N171), SUM(N152:N171) / COUNT(N152:N171), 0)</f>
        <v>1.9780685383279963E-2</v>
      </c>
      <c r="O172" s="28">
        <f>SUM(O152:O171)</f>
        <v>39561.370766559921</v>
      </c>
      <c r="Q172" s="211"/>
      <c r="R172" s="212"/>
      <c r="S172" s="213"/>
    </row>
    <row r="174" spans="1:19" ht="17.25" thickBot="1"/>
    <row r="175" spans="1:19" ht="17.25" thickBot="1">
      <c r="A175" s="227" t="s">
        <v>256</v>
      </c>
      <c r="B175" s="228"/>
      <c r="C175" s="228"/>
      <c r="D175" s="228"/>
      <c r="E175" s="228"/>
      <c r="F175" s="228"/>
      <c r="G175" s="228"/>
      <c r="H175" s="228"/>
      <c r="I175" s="228"/>
      <c r="J175" s="228"/>
      <c r="K175" s="228"/>
      <c r="L175" s="228"/>
      <c r="M175" s="228"/>
      <c r="N175" s="228"/>
      <c r="O175" s="229"/>
      <c r="Q175" s="226"/>
      <c r="R175" s="226"/>
      <c r="S175" s="226"/>
    </row>
    <row r="176" spans="1:19" ht="17.25" thickBot="1">
      <c r="A176" s="193" t="s">
        <v>268</v>
      </c>
      <c r="B176" s="227" t="s">
        <v>49</v>
      </c>
      <c r="C176" s="229"/>
      <c r="D176" s="227" t="s">
        <v>58</v>
      </c>
      <c r="E176" s="228"/>
      <c r="F176" s="229"/>
      <c r="G176" s="230">
        <f>_xlfn.IFNA(VLOOKUP(B176, 현재가테이블!$B$2:$D$200, 2, FALSE), "-")</f>
        <v>39916000</v>
      </c>
      <c r="H176" s="231"/>
      <c r="I176" s="232"/>
      <c r="J176" s="227" t="s">
        <v>59</v>
      </c>
      <c r="K176" s="228"/>
      <c r="L176" s="229"/>
      <c r="M176" s="233">
        <f>_xlfn.IFNA(VLOOKUP(B176, 현재가테이블!$B$2:$D$200, 3, FALSE), "-")</f>
        <v>7.3184273000000003E-3</v>
      </c>
      <c r="N176" s="234"/>
      <c r="O176" s="235"/>
      <c r="Q176" s="226"/>
      <c r="R176" s="226"/>
      <c r="S176" s="226"/>
    </row>
    <row r="177" spans="1:19" ht="17.25" thickBot="1">
      <c r="A177" s="271" t="s">
        <v>55</v>
      </c>
      <c r="B177" s="267" t="str">
        <f>TEXT($G$1, "[$-ko-KR]yyyy-mm-dd(ddd) ") &amp; "오전 00:00"</f>
        <v>2021-07-10(토) 오전 00:00</v>
      </c>
      <c r="C177" s="268"/>
      <c r="D177" s="240" t="str">
        <f>TEXT($G$1, "[$-ko-KR]yyyy-mm-dd(ddd) ") &amp; "오후 14:00"</f>
        <v>2021-07-10(토) 오후 14:00</v>
      </c>
      <c r="E177" s="241"/>
      <c r="F177" s="242"/>
      <c r="G177" s="240" t="str">
        <f>TEXT($G$1, "[$-ko-KR]yyyy-mm-dd(ddd) ") &amp; "오후 19:00"</f>
        <v>2021-07-10(토) 오후 19:00</v>
      </c>
      <c r="H177" s="241"/>
      <c r="I177" s="242"/>
      <c r="J177" s="240" t="str">
        <f>TEXT($G$1, "[$-ko-KR]yyyy-mm-dd(ddd) ") &amp; "오후 21:00"</f>
        <v>2021-07-10(토) 오후 21:00</v>
      </c>
      <c r="K177" s="241"/>
      <c r="L177" s="242"/>
      <c r="M177" s="240" t="str">
        <f>TEXT($G$1+1, "[$-ko-KR]yyyy-mm-dd(ddd) ") &amp; "오전 00:00"</f>
        <v>2021-07-11(일) 오전 00:00</v>
      </c>
      <c r="N177" s="241"/>
      <c r="O177" s="242"/>
      <c r="Q177" s="226"/>
      <c r="R177" s="226"/>
      <c r="S177" s="226"/>
    </row>
    <row r="178" spans="1:19" ht="17.25" thickBot="1">
      <c r="A178" s="27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4" t="s">
        <v>58</v>
      </c>
      <c r="H178" s="195" t="s">
        <v>269</v>
      </c>
      <c r="I178" s="19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6"/>
      <c r="R178" s="216"/>
      <c r="S178" s="216"/>
    </row>
    <row r="179" spans="1:19" ht="17.25" thickBot="1">
      <c r="A179" s="123" t="s">
        <v>142</v>
      </c>
      <c r="B179" s="124">
        <v>6835</v>
      </c>
      <c r="C179" s="76">
        <v>-3.3239038200000001E-2</v>
      </c>
      <c r="D179" s="13">
        <v>6825</v>
      </c>
      <c r="E179" s="14">
        <f>IF(ISNUMBER(D179), (D179 - $B179) / $B179, "")</f>
        <v>-1.463057790782736E-3</v>
      </c>
      <c r="F179" s="16">
        <f>IF(ISNUMBER(D179), $B199 * E179, "")</f>
        <v>-146.30577907827359</v>
      </c>
      <c r="G179" s="29">
        <v>6770</v>
      </c>
      <c r="H179" s="14">
        <f>IF(ISNUMBER(G179), (G179 - $B179) / $B179, "")</f>
        <v>-9.5098756400877841E-3</v>
      </c>
      <c r="I179" s="100">
        <f>IF(ISNUMBER(G179), $B199 * H179, "")</f>
        <v>-950.98756400877846</v>
      </c>
      <c r="J179" s="13">
        <v>6805</v>
      </c>
      <c r="K179" s="14">
        <f>IF(ISNUMBER(J179), (J179 - $B179) / $B179, "")</f>
        <v>-4.3891733723482075E-3</v>
      </c>
      <c r="L179" s="16">
        <f>IF(ISNUMBER(J179), $B199 * K179, "")</f>
        <v>-438.91733723482076</v>
      </c>
      <c r="M179" s="29">
        <v>6780</v>
      </c>
      <c r="N179" s="14">
        <f>IF(ISNUMBER(M179), (M179 - $B179) / $B179, "")</f>
        <v>-8.0468178493050477E-3</v>
      </c>
      <c r="O179" s="16">
        <f>IF(ISNUMBER(M179), $B199 * N179, "")</f>
        <v>-804.68178493050482</v>
      </c>
      <c r="Q179" s="226"/>
      <c r="R179" s="226"/>
      <c r="S179" s="226"/>
    </row>
    <row r="180" spans="1:19" ht="17.25" thickBot="1">
      <c r="A180" s="125" t="s">
        <v>208</v>
      </c>
      <c r="B180" s="126">
        <v>8.8699999999999992</v>
      </c>
      <c r="C180" s="77">
        <v>-3.3769063199999998E-2</v>
      </c>
      <c r="D180" s="15">
        <v>9.43</v>
      </c>
      <c r="E180" s="32">
        <f t="shared" ref="E180:E183" si="94">IF(ISNUMBER(D180), (D180 - $B180) / $B180, "")</f>
        <v>6.3134160090191724E-2</v>
      </c>
      <c r="F180" s="18">
        <f>IF(ISNUMBER(D180), $B199 * E180, "")</f>
        <v>6313.4160090191726</v>
      </c>
      <c r="G180" s="31">
        <v>9.5</v>
      </c>
      <c r="H180" s="32">
        <f t="shared" ref="H180:H183" si="95">IF(ISNUMBER(G180), (G180 - $B180) / $B180, "")</f>
        <v>7.1025930101465712E-2</v>
      </c>
      <c r="I180" s="101">
        <f>IF(ISNUMBER(G180), $B199 * H180, "")</f>
        <v>7102.593010146571</v>
      </c>
      <c r="J180" s="15">
        <v>9.51</v>
      </c>
      <c r="K180" s="32">
        <f t="shared" ref="K180:K183" si="96">IF(ISNUMBER(J180), (J180 - $B180) / $B180, "")</f>
        <v>7.215332581736196E-2</v>
      </c>
      <c r="L180" s="18">
        <f>IF(ISNUMBER(J180), $B199 * K180, "")</f>
        <v>7215.3325817361956</v>
      </c>
      <c r="M180" s="31">
        <v>9.44</v>
      </c>
      <c r="N180" s="32">
        <f t="shared" ref="N180:N183" si="97">IF(ISNUMBER(M180), (M180 - $B180) / $B180, "")</f>
        <v>6.4261555806087972E-2</v>
      </c>
      <c r="O180" s="18">
        <f>IF(ISNUMBER(M180), $B199 * N180, "")</f>
        <v>6426.1555806087972</v>
      </c>
      <c r="Q180" s="226"/>
      <c r="R180" s="226"/>
      <c r="S180" s="226"/>
    </row>
    <row r="181" spans="1:19" ht="17.25" thickBot="1">
      <c r="A181" s="125" t="s">
        <v>210</v>
      </c>
      <c r="B181" s="126">
        <v>8.81</v>
      </c>
      <c r="C181" s="77">
        <v>-3.39912281E-2</v>
      </c>
      <c r="D181" s="15">
        <v>9.58</v>
      </c>
      <c r="E181" s="32">
        <f t="shared" si="94"/>
        <v>8.7400681044267819E-2</v>
      </c>
      <c r="F181" s="18">
        <f>IF(ISNUMBER(D181), $B199 * E181, "")</f>
        <v>8740.0681044267822</v>
      </c>
      <c r="G181" s="31">
        <v>9.75</v>
      </c>
      <c r="H181" s="32">
        <f t="shared" si="95"/>
        <v>0.10669693530079449</v>
      </c>
      <c r="I181" s="101">
        <f>IF(ISNUMBER(G181), $B199 * H181, "")</f>
        <v>10669.693530079448</v>
      </c>
      <c r="J181" s="15">
        <v>9.93</v>
      </c>
      <c r="K181" s="32">
        <f t="shared" si="96"/>
        <v>0.12712826333711683</v>
      </c>
      <c r="L181" s="18">
        <f>IF(ISNUMBER(J181), $B199 * K181, "")</f>
        <v>12712.826333711682</v>
      </c>
      <c r="M181" s="31">
        <v>9.8800000000000008</v>
      </c>
      <c r="N181" s="32">
        <f t="shared" si="97"/>
        <v>0.1214528944381385</v>
      </c>
      <c r="O181" s="18">
        <f>IF(ISNUMBER(M181), $B199 * N181, "")</f>
        <v>12145.28944381385</v>
      </c>
      <c r="Q181" s="216"/>
      <c r="R181" s="216"/>
      <c r="S181" s="216"/>
    </row>
    <row r="182" spans="1:19" ht="17.25" thickBot="1">
      <c r="A182" s="125" t="s">
        <v>249</v>
      </c>
      <c r="B182" s="126">
        <v>1845</v>
      </c>
      <c r="C182" s="77">
        <v>-3.6553524800000001E-2</v>
      </c>
      <c r="D182" s="15">
        <v>1875</v>
      </c>
      <c r="E182" s="32">
        <f t="shared" si="94"/>
        <v>1.6260162601626018E-2</v>
      </c>
      <c r="F182" s="18">
        <f>IF(ISNUMBER(D182), $B199 * E182, "")</f>
        <v>1626.0162601626018</v>
      </c>
      <c r="G182" s="31">
        <v>1885</v>
      </c>
      <c r="H182" s="32">
        <f t="shared" si="95"/>
        <v>2.1680216802168022E-2</v>
      </c>
      <c r="I182" s="101">
        <f>IF(ISNUMBER(G182), $B199 * H182, "")</f>
        <v>2168.021680216802</v>
      </c>
      <c r="J182" s="15">
        <v>1870</v>
      </c>
      <c r="K182" s="32">
        <f t="shared" si="96"/>
        <v>1.3550135501355014E-2</v>
      </c>
      <c r="L182" s="18">
        <f>IF(ISNUMBER(J182), $B199 * K182, "")</f>
        <v>1355.0135501355014</v>
      </c>
      <c r="M182" s="31">
        <v>1870</v>
      </c>
      <c r="N182" s="32">
        <f t="shared" si="97"/>
        <v>1.3550135501355014E-2</v>
      </c>
      <c r="O182" s="18">
        <f>IF(ISNUMBER(M182), $B199 * N182, "")</f>
        <v>1355.0135501355014</v>
      </c>
      <c r="Q182" s="216"/>
      <c r="R182" s="216"/>
      <c r="S182" s="216"/>
    </row>
    <row r="183" spans="1:19" ht="17.25" thickBot="1">
      <c r="A183" s="127" t="s">
        <v>206</v>
      </c>
      <c r="B183" s="128">
        <v>208</v>
      </c>
      <c r="C183" s="78">
        <v>-3.7037037000000002E-2</v>
      </c>
      <c r="D183" s="20">
        <v>214</v>
      </c>
      <c r="E183" s="21">
        <f t="shared" si="94"/>
        <v>2.8846153846153848E-2</v>
      </c>
      <c r="F183" s="22">
        <f>IF(ISNUMBER(D183), $B199 * E183, "")</f>
        <v>2884.6153846153848</v>
      </c>
      <c r="G183" s="30">
        <v>213</v>
      </c>
      <c r="H183" s="21">
        <f t="shared" si="95"/>
        <v>2.403846153846154E-2</v>
      </c>
      <c r="I183" s="105">
        <f>IF(ISNUMBER(G183), $B199 * H183, "")</f>
        <v>2403.8461538461538</v>
      </c>
      <c r="J183" s="20">
        <v>215</v>
      </c>
      <c r="K183" s="21">
        <f t="shared" si="96"/>
        <v>3.3653846153846152E-2</v>
      </c>
      <c r="L183" s="22">
        <f>IF(ISNUMBER(J183), $B199 * K183, "")</f>
        <v>3365.3846153846152</v>
      </c>
      <c r="M183" s="30">
        <v>216</v>
      </c>
      <c r="N183" s="21">
        <f t="shared" si="97"/>
        <v>3.8461538461538464E-2</v>
      </c>
      <c r="O183" s="22">
        <f>IF(ISNUMBER(M183), $B199 * N183, "")</f>
        <v>3846.1538461538462</v>
      </c>
      <c r="Q183" s="216"/>
      <c r="R183" s="216"/>
      <c r="S183" s="216"/>
    </row>
    <row r="184" spans="1:19" ht="17.25" thickBot="1">
      <c r="A184" s="125" t="s">
        <v>148</v>
      </c>
      <c r="B184" s="129">
        <v>15.4</v>
      </c>
      <c r="C184" s="80">
        <v>-3.7499999999999999E-2</v>
      </c>
      <c r="D184" s="106">
        <v>15.5</v>
      </c>
      <c r="E184" s="107">
        <f>IF(ISNUMBER(D184), (D184 - $B184) / $B184, "")</f>
        <v>6.4935064935064705E-3</v>
      </c>
      <c r="F184" s="108">
        <f>IF(ISNUMBER(D184), $B199 * E184, "")</f>
        <v>649.35064935064702</v>
      </c>
      <c r="G184" s="109">
        <v>15.3</v>
      </c>
      <c r="H184" s="107">
        <f>IF(ISNUMBER(G184), (G184 - $B184) / $B184, "")</f>
        <v>-6.4935064935064705E-3</v>
      </c>
      <c r="I184" s="110">
        <f>IF(ISNUMBER(G184), $B199 * H184, "")</f>
        <v>-649.35064935064702</v>
      </c>
      <c r="J184" s="106">
        <v>15.3</v>
      </c>
      <c r="K184" s="107">
        <f>IF(ISNUMBER(J184), (J184 - $B184) / $B184, "")</f>
        <v>-6.4935064935064705E-3</v>
      </c>
      <c r="L184" s="108">
        <f>IF(ISNUMBER(J184), $B199 * K184, "")</f>
        <v>-649.35064935064702</v>
      </c>
      <c r="M184" s="109">
        <v>15.2</v>
      </c>
      <c r="N184" s="107">
        <f>IF(ISNUMBER(M184), (M184 - $B184) / $B184, "")</f>
        <v>-1.2987012987013056E-2</v>
      </c>
      <c r="O184" s="108">
        <f>IF(ISNUMBER(M184), $B199 * N184, "")</f>
        <v>-1298.7012987013056</v>
      </c>
      <c r="Q184" s="216"/>
      <c r="R184" s="216"/>
      <c r="S184" s="216"/>
    </row>
    <row r="185" spans="1:19" ht="17.25" thickBot="1">
      <c r="A185" s="125" t="s">
        <v>231</v>
      </c>
      <c r="B185" s="126">
        <v>148</v>
      </c>
      <c r="C185" s="77">
        <v>-3.8961039000000003E-2</v>
      </c>
      <c r="D185" s="15">
        <v>152</v>
      </c>
      <c r="E185" s="32">
        <f t="shared" ref="E185:E188" si="98">IF(ISNUMBER(D185), (D185 - $B185) / $B185, "")</f>
        <v>2.7027027027027029E-2</v>
      </c>
      <c r="F185" s="18">
        <f>IF(ISNUMBER(D185), $B199 * E185, "")</f>
        <v>2702.7027027027029</v>
      </c>
      <c r="G185" s="31">
        <v>151</v>
      </c>
      <c r="H185" s="32">
        <f t="shared" ref="H185:H188" si="99">IF(ISNUMBER(G185), (G185 - $B185) / $B185, "")</f>
        <v>2.0270270270270271E-2</v>
      </c>
      <c r="I185" s="101">
        <f>IF(ISNUMBER(G185), $B199 * H185, "")</f>
        <v>2027.0270270270271</v>
      </c>
      <c r="J185" s="15">
        <v>151</v>
      </c>
      <c r="K185" s="32">
        <f t="shared" ref="K185:K188" si="100">IF(ISNUMBER(J185), (J185 - $B185) / $B185, "")</f>
        <v>2.0270270270270271E-2</v>
      </c>
      <c r="L185" s="18">
        <f>IF(ISNUMBER(J185), $B199 * K185, "")</f>
        <v>2027.0270270270271</v>
      </c>
      <c r="M185" s="31">
        <v>153</v>
      </c>
      <c r="N185" s="32">
        <f t="shared" ref="N185:N188" si="101">IF(ISNUMBER(M185), (M185 - $B185) / $B185, "")</f>
        <v>3.3783783783783786E-2</v>
      </c>
      <c r="O185" s="18">
        <f>IF(ISNUMBER(M185), $B199 * N185, "")</f>
        <v>3378.3783783783788</v>
      </c>
      <c r="Q185" s="216"/>
      <c r="R185" s="216"/>
      <c r="S185" s="216"/>
    </row>
    <row r="186" spans="1:19" ht="17.25" thickBot="1">
      <c r="A186" s="125" t="s">
        <v>204</v>
      </c>
      <c r="B186" s="126">
        <v>11.5</v>
      </c>
      <c r="C186" s="77">
        <v>-4.16666667E-2</v>
      </c>
      <c r="D186" s="15">
        <v>11.8</v>
      </c>
      <c r="E186" s="32">
        <f t="shared" si="98"/>
        <v>2.6086956521739191E-2</v>
      </c>
      <c r="F186" s="18">
        <f>IF(ISNUMBER(D186), $B199 * E186, "")</f>
        <v>2608.6956521739194</v>
      </c>
      <c r="G186" s="31">
        <v>11.8</v>
      </c>
      <c r="H186" s="32">
        <f t="shared" si="99"/>
        <v>2.6086956521739191E-2</v>
      </c>
      <c r="I186" s="101">
        <f>IF(ISNUMBER(G186), $B199 * H186, "")</f>
        <v>2608.6956521739194</v>
      </c>
      <c r="J186" s="15">
        <v>11.7</v>
      </c>
      <c r="K186" s="32">
        <f t="shared" si="100"/>
        <v>1.7391304347826025E-2</v>
      </c>
      <c r="L186" s="18">
        <f>IF(ISNUMBER(J186), $B199 * K186, "")</f>
        <v>1739.1304347826024</v>
      </c>
      <c r="M186" s="31">
        <v>11.8</v>
      </c>
      <c r="N186" s="32">
        <f t="shared" si="101"/>
        <v>2.6086956521739191E-2</v>
      </c>
      <c r="O186" s="18">
        <f>IF(ISNUMBER(M186), $B199 * N186, "")</f>
        <v>2608.6956521739194</v>
      </c>
      <c r="Q186" s="216"/>
      <c r="R186" s="216"/>
      <c r="S186" s="216"/>
    </row>
    <row r="187" spans="1:19" ht="17.25" thickBot="1">
      <c r="A187" s="125" t="s">
        <v>178</v>
      </c>
      <c r="B187" s="126">
        <v>13.5</v>
      </c>
      <c r="C187" s="77">
        <v>-4.2553191499999997E-2</v>
      </c>
      <c r="D187" s="15">
        <v>14.4</v>
      </c>
      <c r="E187" s="32">
        <f t="shared" si="98"/>
        <v>6.6666666666666693E-2</v>
      </c>
      <c r="F187" s="18">
        <f>IF(ISNUMBER(D187), $B199 * E187, "")</f>
        <v>6666.6666666666697</v>
      </c>
      <c r="G187" s="31">
        <v>14.3</v>
      </c>
      <c r="H187" s="32">
        <f t="shared" si="99"/>
        <v>5.925925925925931E-2</v>
      </c>
      <c r="I187" s="101">
        <f>IF(ISNUMBER(G187), $B199 * H187, "")</f>
        <v>5925.9259259259306</v>
      </c>
      <c r="J187" s="15">
        <v>14.2</v>
      </c>
      <c r="K187" s="32">
        <f t="shared" si="100"/>
        <v>5.1851851851851802E-2</v>
      </c>
      <c r="L187" s="18">
        <f>IF(ISNUMBER(J187), $B199 * K187, "")</f>
        <v>5185.1851851851798</v>
      </c>
      <c r="M187" s="31">
        <v>14.1</v>
      </c>
      <c r="N187" s="32">
        <f t="shared" si="101"/>
        <v>4.4444444444444418E-2</v>
      </c>
      <c r="O187" s="18">
        <f>IF(ISNUMBER(M187), $B199 * N187, "")</f>
        <v>4444.4444444444416</v>
      </c>
      <c r="Q187" s="33"/>
      <c r="R187" s="33"/>
    </row>
    <row r="188" spans="1:19" ht="17.25" thickBot="1">
      <c r="A188" s="130" t="s">
        <v>172</v>
      </c>
      <c r="B188" s="131">
        <v>1815</v>
      </c>
      <c r="C188" s="79">
        <v>-4.47368421E-2</v>
      </c>
      <c r="D188" s="24">
        <v>1855</v>
      </c>
      <c r="E188" s="25">
        <f t="shared" si="98"/>
        <v>2.2038567493112948E-2</v>
      </c>
      <c r="F188" s="104">
        <f>IF(ISNUMBER(D188), $B199 * E188, "")</f>
        <v>2203.8567493112946</v>
      </c>
      <c r="G188" s="102">
        <v>1835</v>
      </c>
      <c r="H188" s="25">
        <f t="shared" si="99"/>
        <v>1.1019283746556474E-2</v>
      </c>
      <c r="I188" s="103">
        <f>IF(ISNUMBER(G188), $B199 * H188, "")</f>
        <v>1101.9283746556473</v>
      </c>
      <c r="J188" s="24">
        <v>1850</v>
      </c>
      <c r="K188" s="25">
        <f t="shared" si="100"/>
        <v>1.928374655647383E-2</v>
      </c>
      <c r="L188" s="104">
        <f>IF(ISNUMBER(J188), $B199 * K188, "")</f>
        <v>1928.374655647383</v>
      </c>
      <c r="M188" s="102">
        <v>1830</v>
      </c>
      <c r="N188" s="25">
        <f t="shared" si="101"/>
        <v>8.2644628099173556E-3</v>
      </c>
      <c r="O188" s="104">
        <f>IF(ISNUMBER(M188), $B199 * N188, "")</f>
        <v>826.44628099173553</v>
      </c>
      <c r="Q188" s="217"/>
      <c r="R188" s="218"/>
      <c r="S188" s="219"/>
    </row>
    <row r="189" spans="1:19">
      <c r="A189" s="123" t="s">
        <v>114</v>
      </c>
      <c r="B189" s="124">
        <v>487</v>
      </c>
      <c r="C189" s="76">
        <v>-4.5098039200000002E-2</v>
      </c>
      <c r="D189" s="13">
        <v>608</v>
      </c>
      <c r="E189" s="14">
        <f>IF(ISNUMBER(D189), (D189 - $B189) / $B189, "")</f>
        <v>0.24845995893223818</v>
      </c>
      <c r="F189" s="16">
        <f>IF(ISNUMBER(D189), $B199 * E189, "")</f>
        <v>24845.995893223819</v>
      </c>
      <c r="G189" s="29">
        <v>593</v>
      </c>
      <c r="H189" s="14">
        <f>IF(ISNUMBER(G189), (G189 - $B189) / $B189, "")</f>
        <v>0.21765913757700206</v>
      </c>
      <c r="I189" s="100">
        <f>IF(ISNUMBER(G189), $B199 * H189, "")</f>
        <v>21765.913757700207</v>
      </c>
      <c r="J189" s="13">
        <v>602</v>
      </c>
      <c r="K189" s="14">
        <f>IF(ISNUMBER(J189), (J189 - $B189) / $B189, "")</f>
        <v>0.23613963039014374</v>
      </c>
      <c r="L189" s="16">
        <f>IF(ISNUMBER(J189), $B199 * K189, "")</f>
        <v>23613.963039014376</v>
      </c>
      <c r="M189" s="29">
        <v>607</v>
      </c>
      <c r="N189" s="14">
        <f>IF(ISNUMBER(M189), (M189 - $B189) / $B189, "")</f>
        <v>0.24640657084188911</v>
      </c>
      <c r="O189" s="16">
        <f>IF(ISNUMBER(M189), $B199 * N189, "")</f>
        <v>24640.657084188912</v>
      </c>
      <c r="Q189" s="220"/>
      <c r="R189" s="221"/>
      <c r="S189" s="222"/>
    </row>
    <row r="190" spans="1:19" ht="17.25" thickBot="1">
      <c r="A190" s="125" t="s">
        <v>186</v>
      </c>
      <c r="B190" s="126">
        <v>5990</v>
      </c>
      <c r="C190" s="77">
        <v>-4.6937151900000001E-2</v>
      </c>
      <c r="D190" s="15">
        <v>6050</v>
      </c>
      <c r="E190" s="32">
        <f t="shared" ref="E190:E193" si="102">IF(ISNUMBER(D190), (D190 - $B190) / $B190, "")</f>
        <v>1.001669449081803E-2</v>
      </c>
      <c r="F190" s="18">
        <f>IF(ISNUMBER(D190), $B199 * E190, "")</f>
        <v>1001.669449081803</v>
      </c>
      <c r="G190" s="31">
        <v>6045</v>
      </c>
      <c r="H190" s="32">
        <f t="shared" ref="H190:H193" si="103">IF(ISNUMBER(G190), (G190 - $B190) / $B190, "")</f>
        <v>9.1819699499165273E-3</v>
      </c>
      <c r="I190" s="101">
        <f>IF(ISNUMBER(G190), $B199 * H190, "")</f>
        <v>918.19699499165267</v>
      </c>
      <c r="J190" s="15">
        <v>6070</v>
      </c>
      <c r="K190" s="32">
        <f t="shared" ref="K190:K193" si="104">IF(ISNUMBER(J190), (J190 - $B190) / $B190, "")</f>
        <v>1.335559265442404E-2</v>
      </c>
      <c r="L190" s="18">
        <f>IF(ISNUMBER(J190), $B199 * K190, "")</f>
        <v>1335.559265442404</v>
      </c>
      <c r="M190" s="31">
        <v>6030</v>
      </c>
      <c r="N190" s="32">
        <f t="shared" ref="N190:N193" si="105">IF(ISNUMBER(M190), (M190 - $B190) / $B190, "")</f>
        <v>6.6777963272120202E-3</v>
      </c>
      <c r="O190" s="18">
        <f>IF(ISNUMBER(M190), $B199 * N190, "")</f>
        <v>667.77963272120201</v>
      </c>
      <c r="Q190" s="223"/>
      <c r="R190" s="224"/>
      <c r="S190" s="225"/>
    </row>
    <row r="191" spans="1:19" ht="17.25" thickBot="1">
      <c r="A191" s="125" t="s">
        <v>212</v>
      </c>
      <c r="B191" s="126">
        <v>1010</v>
      </c>
      <c r="C191" s="77">
        <v>-4.7169811300000003E-2</v>
      </c>
      <c r="D191" s="15">
        <v>1055</v>
      </c>
      <c r="E191" s="32">
        <f t="shared" si="102"/>
        <v>4.4554455445544552E-2</v>
      </c>
      <c r="F191" s="18">
        <f>IF(ISNUMBER(D191), $B199 * E191, "")</f>
        <v>4455.4455445544554</v>
      </c>
      <c r="G191" s="31">
        <v>1030</v>
      </c>
      <c r="H191" s="32">
        <f t="shared" si="103"/>
        <v>1.9801980198019802E-2</v>
      </c>
      <c r="I191" s="101">
        <f>IF(ISNUMBER(G191), $B199 * H191, "")</f>
        <v>1980.1980198019803</v>
      </c>
      <c r="J191" s="15">
        <v>1035</v>
      </c>
      <c r="K191" s="32">
        <f t="shared" si="104"/>
        <v>2.4752475247524754E-2</v>
      </c>
      <c r="L191" s="18">
        <f>IF(ISNUMBER(J191), $B199 * K191, "")</f>
        <v>2475.2475247524753</v>
      </c>
      <c r="M191" s="31">
        <v>1020</v>
      </c>
      <c r="N191" s="32">
        <f t="shared" si="105"/>
        <v>9.9009900990099011E-3</v>
      </c>
      <c r="O191" s="18">
        <f>IF(ISNUMBER(M191), $B199 * N191, "")</f>
        <v>990.09900990099015</v>
      </c>
      <c r="Q191" s="216"/>
      <c r="R191" s="216"/>
      <c r="S191" s="216"/>
    </row>
    <row r="192" spans="1:19" ht="17.25" thickBot="1">
      <c r="A192" s="125" t="s">
        <v>188</v>
      </c>
      <c r="B192" s="126">
        <v>9.5</v>
      </c>
      <c r="C192" s="77">
        <v>-0.05</v>
      </c>
      <c r="D192" s="15">
        <v>9.91</v>
      </c>
      <c r="E192" s="32">
        <f t="shared" si="102"/>
        <v>4.3157894736842117E-2</v>
      </c>
      <c r="F192" s="18">
        <f>IF(ISNUMBER(D192), $B199 * E192, "")</f>
        <v>4315.7894736842118</v>
      </c>
      <c r="G192" s="31">
        <v>9.92</v>
      </c>
      <c r="H192" s="32">
        <f t="shared" si="103"/>
        <v>4.4210526315789464E-2</v>
      </c>
      <c r="I192" s="101">
        <f>IF(ISNUMBER(G192), $B199 * H192, "")</f>
        <v>4421.0526315789466</v>
      </c>
      <c r="J192" s="15">
        <v>9.9499999999999993</v>
      </c>
      <c r="K192" s="32">
        <f t="shared" si="104"/>
        <v>4.7368421052631504E-2</v>
      </c>
      <c r="L192" s="18">
        <f>IF(ISNUMBER(J192), $B199 * K192, "")</f>
        <v>4736.8421052631502</v>
      </c>
      <c r="M192" s="31">
        <v>9.89</v>
      </c>
      <c r="N192" s="32">
        <f t="shared" si="105"/>
        <v>4.1052631578947431E-2</v>
      </c>
      <c r="O192" s="18">
        <f>IF(ISNUMBER(M192), $B199 * N192, "")</f>
        <v>4105.263157894743</v>
      </c>
      <c r="Q192" s="226"/>
      <c r="R192" s="226"/>
      <c r="S192" s="226"/>
    </row>
    <row r="193" spans="1:19" ht="17.25" thickBot="1">
      <c r="A193" s="127" t="s">
        <v>67</v>
      </c>
      <c r="B193" s="128">
        <v>3060</v>
      </c>
      <c r="C193" s="78">
        <v>-5.1162790700000002E-2</v>
      </c>
      <c r="D193" s="20">
        <v>3160</v>
      </c>
      <c r="E193" s="21">
        <f t="shared" si="102"/>
        <v>3.2679738562091505E-2</v>
      </c>
      <c r="F193" s="22">
        <f>IF(ISNUMBER(D193), $B199 * E193, "")</f>
        <v>3267.9738562091507</v>
      </c>
      <c r="G193" s="30">
        <v>3130</v>
      </c>
      <c r="H193" s="21">
        <f t="shared" si="103"/>
        <v>2.2875816993464051E-2</v>
      </c>
      <c r="I193" s="105">
        <f>IF(ISNUMBER(G193), $B199 * H193, "")</f>
        <v>2287.581699346405</v>
      </c>
      <c r="J193" s="20">
        <v>3120</v>
      </c>
      <c r="K193" s="21">
        <f t="shared" si="104"/>
        <v>1.9607843137254902E-2</v>
      </c>
      <c r="L193" s="22">
        <f>IF(ISNUMBER(J193), $B199 * K193, "")</f>
        <v>1960.7843137254902</v>
      </c>
      <c r="M193" s="30">
        <v>3125</v>
      </c>
      <c r="N193" s="21">
        <f t="shared" si="105"/>
        <v>2.1241830065359478E-2</v>
      </c>
      <c r="O193" s="22">
        <f>IF(ISNUMBER(M193), $B199 * N193, "")</f>
        <v>2124.1830065359477</v>
      </c>
      <c r="Q193" s="226"/>
      <c r="R193" s="226"/>
      <c r="S193" s="226"/>
    </row>
    <row r="194" spans="1:19" ht="17.25" thickBot="1">
      <c r="A194" s="125" t="s">
        <v>120</v>
      </c>
      <c r="B194" s="129">
        <v>2580</v>
      </c>
      <c r="C194" s="80">
        <v>-5.6672760500000002E-2</v>
      </c>
      <c r="D194" s="106">
        <v>2610</v>
      </c>
      <c r="E194" s="107">
        <f>IF(ISNUMBER(D194), (D194 - $B194) / $B194, "")</f>
        <v>1.1627906976744186E-2</v>
      </c>
      <c r="F194" s="108">
        <f>IF(ISNUMBER(D194), $B199 * E194, "")</f>
        <v>1162.7906976744187</v>
      </c>
      <c r="G194" s="109">
        <v>2555</v>
      </c>
      <c r="H194" s="107">
        <f>IF(ISNUMBER(G194), (G194 - $B194) / $B194, "")</f>
        <v>-9.6899224806201549E-3</v>
      </c>
      <c r="I194" s="110">
        <f>IF(ISNUMBER(G194), $B199 * H194, "")</f>
        <v>-968.99224806201551</v>
      </c>
      <c r="J194" s="106">
        <v>2585</v>
      </c>
      <c r="K194" s="107">
        <f>IF(ISNUMBER(J194), (J194 - $B194) / $B194, "")</f>
        <v>1.937984496124031E-3</v>
      </c>
      <c r="L194" s="108">
        <f>IF(ISNUMBER(J194), $B199 * K194, "")</f>
        <v>193.79844961240309</v>
      </c>
      <c r="M194" s="109">
        <v>2590</v>
      </c>
      <c r="N194" s="107">
        <f>IF(ISNUMBER(M194), (M194 - $B194) / $B194, "")</f>
        <v>3.875968992248062E-3</v>
      </c>
      <c r="O194" s="108">
        <f>IF(ISNUMBER(M194), $B199 * N194, "")</f>
        <v>387.59689922480618</v>
      </c>
      <c r="Q194" s="216"/>
      <c r="R194" s="216"/>
      <c r="S194" s="216"/>
    </row>
    <row r="195" spans="1:19" ht="17.25" thickBot="1">
      <c r="A195" s="125" t="s">
        <v>138</v>
      </c>
      <c r="B195" s="126">
        <v>422</v>
      </c>
      <c r="C195" s="77">
        <v>-7.2527472499999995E-2</v>
      </c>
      <c r="D195" s="15">
        <v>413</v>
      </c>
      <c r="E195" s="32">
        <f t="shared" ref="E195:E198" si="106">IF(ISNUMBER(D195), (D195 - $B195) / $B195, "")</f>
        <v>-2.132701421800948E-2</v>
      </c>
      <c r="F195" s="18">
        <f>IF(ISNUMBER(D195), $B199 * E195, "")</f>
        <v>-2132.7014218009481</v>
      </c>
      <c r="G195" s="31">
        <v>410</v>
      </c>
      <c r="H195" s="32">
        <f t="shared" ref="H195:H198" si="107">IF(ISNUMBER(G195), (G195 - $B195) / $B195, "")</f>
        <v>-2.843601895734597E-2</v>
      </c>
      <c r="I195" s="101">
        <f>IF(ISNUMBER(G195), $B199 * H195, "")</f>
        <v>-2843.6018957345968</v>
      </c>
      <c r="J195" s="15">
        <v>411</v>
      </c>
      <c r="K195" s="32">
        <f t="shared" ref="K195:K198" si="108">IF(ISNUMBER(J195), (J195 - $B195) / $B195, "")</f>
        <v>-2.6066350710900472E-2</v>
      </c>
      <c r="L195" s="18">
        <f>IF(ISNUMBER(J195), $B199 * K195, "")</f>
        <v>-2606.6350710900474</v>
      </c>
      <c r="M195" s="31">
        <v>409</v>
      </c>
      <c r="N195" s="32">
        <f t="shared" ref="N195:N198" si="109">IF(ISNUMBER(M195), (M195 - $B195) / $B195, "")</f>
        <v>-3.0805687203791468E-2</v>
      </c>
      <c r="O195" s="18">
        <f>IF(ISNUMBER(M195), $B199 * N195, "")</f>
        <v>-3080.5687203791467</v>
      </c>
      <c r="Q195" s="216"/>
      <c r="R195" s="216"/>
      <c r="S195" s="216"/>
    </row>
    <row r="196" spans="1:19" ht="17.25" thickBot="1">
      <c r="A196" s="125" t="s">
        <v>160</v>
      </c>
      <c r="B196" s="126">
        <v>1170</v>
      </c>
      <c r="C196" s="77">
        <v>-7.8740157500000005E-2</v>
      </c>
      <c r="D196" s="15">
        <v>1145</v>
      </c>
      <c r="E196" s="32">
        <f t="shared" si="106"/>
        <v>-2.1367521367521368E-2</v>
      </c>
      <c r="F196" s="18">
        <f>IF(ISNUMBER(D196), $B199 * E196, "")</f>
        <v>-2136.7521367521367</v>
      </c>
      <c r="G196" s="31">
        <v>1125</v>
      </c>
      <c r="H196" s="32">
        <f t="shared" si="107"/>
        <v>-3.8461538461538464E-2</v>
      </c>
      <c r="I196" s="101">
        <f>IF(ISNUMBER(G196), $B199 * H196, "")</f>
        <v>-3846.1538461538462</v>
      </c>
      <c r="J196" s="15">
        <v>1130</v>
      </c>
      <c r="K196" s="32">
        <f t="shared" si="108"/>
        <v>-3.4188034188034191E-2</v>
      </c>
      <c r="L196" s="18">
        <f>IF(ISNUMBER(J196), $B199 * K196, "")</f>
        <v>-3418.8034188034189</v>
      </c>
      <c r="M196" s="31">
        <v>1135</v>
      </c>
      <c r="N196" s="32">
        <f t="shared" si="109"/>
        <v>-2.9914529914529916E-2</v>
      </c>
      <c r="O196" s="18">
        <f>IF(ISNUMBER(M196), $B199 * N196, "")</f>
        <v>-2991.4529914529917</v>
      </c>
      <c r="Q196" s="216"/>
      <c r="R196" s="216"/>
      <c r="S196" s="216"/>
    </row>
    <row r="197" spans="1:19">
      <c r="A197" s="125" t="s">
        <v>168</v>
      </c>
      <c r="B197" s="126">
        <v>1305</v>
      </c>
      <c r="C197" s="77">
        <v>-9.375E-2</v>
      </c>
      <c r="D197" s="15">
        <v>1445</v>
      </c>
      <c r="E197" s="32">
        <f t="shared" si="106"/>
        <v>0.10727969348659004</v>
      </c>
      <c r="F197" s="18">
        <f>IF(ISNUMBER(D197), $B199 * E197, "")</f>
        <v>10727.969348659004</v>
      </c>
      <c r="G197" s="31">
        <v>1405</v>
      </c>
      <c r="H197" s="32">
        <f t="shared" si="107"/>
        <v>7.662835249042145E-2</v>
      </c>
      <c r="I197" s="101">
        <f>IF(ISNUMBER(G197), $B199 * H197, "")</f>
        <v>7662.8352490421448</v>
      </c>
      <c r="J197" s="15">
        <v>1445</v>
      </c>
      <c r="K197" s="32">
        <f t="shared" si="108"/>
        <v>0.10727969348659004</v>
      </c>
      <c r="L197" s="18">
        <f>IF(ISNUMBER(J197), $B199 * K197, "")</f>
        <v>10727.969348659004</v>
      </c>
      <c r="M197" s="31">
        <v>1565</v>
      </c>
      <c r="N197" s="32">
        <f t="shared" si="109"/>
        <v>0.19923371647509577</v>
      </c>
      <c r="O197" s="18">
        <f>IF(ISNUMBER(M197), $B199 * N197, "")</f>
        <v>19923.371647509579</v>
      </c>
      <c r="Q197" s="205"/>
      <c r="R197" s="206"/>
      <c r="S197" s="207"/>
    </row>
    <row r="198" spans="1:19" ht="17.25" thickBot="1">
      <c r="A198" s="130" t="s">
        <v>108</v>
      </c>
      <c r="B198" s="131">
        <v>1120</v>
      </c>
      <c r="C198" s="79">
        <v>-9.6774193499999994E-2</v>
      </c>
      <c r="D198" s="24">
        <v>1120</v>
      </c>
      <c r="E198" s="25">
        <f t="shared" si="106"/>
        <v>0</v>
      </c>
      <c r="F198" s="104">
        <f>IF(ISNUMBER(D198), $B199 * E198, "")</f>
        <v>0</v>
      </c>
      <c r="G198" s="102">
        <v>1090</v>
      </c>
      <c r="H198" s="25">
        <f t="shared" si="107"/>
        <v>-2.6785714285714284E-2</v>
      </c>
      <c r="I198" s="103">
        <f>IF(ISNUMBER(G198), $B199 * H198, "")</f>
        <v>-2678.5714285714284</v>
      </c>
      <c r="J198" s="24">
        <v>1095</v>
      </c>
      <c r="K198" s="25">
        <f t="shared" si="108"/>
        <v>-2.2321428571428572E-2</v>
      </c>
      <c r="L198" s="104">
        <f>IF(ISNUMBER(J198), $B199 * K198, "")</f>
        <v>-2232.1428571428573</v>
      </c>
      <c r="M198" s="102">
        <v>1100</v>
      </c>
      <c r="N198" s="25">
        <f t="shared" si="109"/>
        <v>-1.7857142857142856E-2</v>
      </c>
      <c r="O198" s="104">
        <f>IF(ISNUMBER(M198), $B199 * N198, "")</f>
        <v>-1785.7142857142856</v>
      </c>
      <c r="Q198" s="208"/>
      <c r="R198" s="209"/>
      <c r="S198" s="210"/>
    </row>
    <row r="199" spans="1:19" ht="17.25" thickBot="1">
      <c r="A199" s="132" t="s">
        <v>271</v>
      </c>
      <c r="B199" s="269">
        <f>$B$37</f>
        <v>100000</v>
      </c>
      <c r="C199" s="270"/>
      <c r="D199" s="26" t="s">
        <v>272</v>
      </c>
      <c r="E199" s="27">
        <f>IF(COUNT(E179:E198), SUM(E179:E198) / COUNT(E179:E198), 0)</f>
        <v>3.9878631551942337E-2</v>
      </c>
      <c r="F199" s="28">
        <f>SUM(F179:F198)</f>
        <v>79757.263103884674</v>
      </c>
      <c r="G199" s="26" t="s">
        <v>272</v>
      </c>
      <c r="H199" s="27">
        <f>IF(COUNT(H179:H198), SUM(H179:H198) / COUNT(H179:H198), 0)</f>
        <v>3.0552926037325769E-2</v>
      </c>
      <c r="I199" s="28">
        <f>SUM(I179:I198)</f>
        <v>61105.852074651528</v>
      </c>
      <c r="J199" s="26" t="s">
        <v>272</v>
      </c>
      <c r="K199" s="27">
        <f>IF(COUNT(K179:K198), SUM(K179:K198) / COUNT(K179:K198), 0)</f>
        <v>3.5613294548228855E-2</v>
      </c>
      <c r="L199" s="28">
        <f>SUM(L179:L198)</f>
        <v>71226.589096457683</v>
      </c>
      <c r="M199" s="26" t="s">
        <v>272</v>
      </c>
      <c r="N199" s="27">
        <f>IF(COUNT(N179:N198), SUM(N179:N198) / COUNT(N179:N198), 0)</f>
        <v>3.8954204266749205E-2</v>
      </c>
      <c r="O199" s="28">
        <f>SUM(O179:O198)</f>
        <v>77908.408533498412</v>
      </c>
      <c r="Q199" s="211"/>
      <c r="R199" s="212"/>
      <c r="S199" s="2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21E6A-9427-4A7F-8499-7FC38CD6A47D}">
  <sheetPr codeName="Sheet17"/>
  <dimension ref="A1:S199"/>
  <sheetViews>
    <sheetView topLeftCell="G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7" t="s">
        <v>0</v>
      </c>
      <c r="B1" s="228"/>
      <c r="C1" s="228"/>
      <c r="D1" s="228"/>
      <c r="E1" s="228"/>
      <c r="F1" s="229"/>
      <c r="G1" s="258">
        <v>44388</v>
      </c>
      <c r="H1" s="259"/>
      <c r="I1" s="260"/>
      <c r="J1" s="227" t="s">
        <v>1</v>
      </c>
      <c r="K1" s="228"/>
      <c r="L1" s="228"/>
      <c r="M1" s="228"/>
      <c r="N1" s="228"/>
      <c r="O1" s="229"/>
      <c r="Q1" s="227" t="s">
        <v>2</v>
      </c>
      <c r="R1" s="229"/>
    </row>
    <row r="2" spans="1:19" ht="17.25" customHeight="1">
      <c r="A2" s="117" t="s">
        <v>3</v>
      </c>
      <c r="B2" s="261" t="s">
        <v>8</v>
      </c>
      <c r="C2" s="262"/>
      <c r="D2" s="262"/>
      <c r="E2" s="262"/>
      <c r="F2" s="263"/>
      <c r="G2" s="255" t="s">
        <v>46</v>
      </c>
      <c r="H2" s="256"/>
      <c r="I2" s="257"/>
      <c r="J2" s="1" t="s">
        <v>3</v>
      </c>
      <c r="K2" s="261" t="s">
        <v>321</v>
      </c>
      <c r="L2" s="262"/>
      <c r="M2" s="262"/>
      <c r="N2" s="262"/>
      <c r="O2" s="263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329</v>
      </c>
      <c r="C3" s="253"/>
      <c r="D3" s="253"/>
      <c r="E3" s="253"/>
      <c r="F3" s="254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7,938 KRW (0.40%)</v>
      </c>
      <c r="H3" s="249"/>
      <c r="I3" s="250"/>
      <c r="J3" s="4" t="s">
        <v>7</v>
      </c>
      <c r="K3" s="252" t="s">
        <v>322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55" t="s">
        <v>44</v>
      </c>
      <c r="H4" s="256"/>
      <c r="I4" s="257"/>
      <c r="J4" s="4" t="s">
        <v>11</v>
      </c>
      <c r="K4" s="252" t="s">
        <v>323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320</v>
      </c>
      <c r="C5" s="253"/>
      <c r="D5" s="253"/>
      <c r="E5" s="253"/>
      <c r="F5" s="254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11,407 KRW (0.57%)</v>
      </c>
      <c r="H5" s="249"/>
      <c r="I5" s="250"/>
      <c r="J5" s="4" t="s">
        <v>15</v>
      </c>
      <c r="K5" s="252" t="s">
        <v>324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55" t="s">
        <v>45</v>
      </c>
      <c r="H6" s="256"/>
      <c r="I6" s="257"/>
      <c r="J6" s="4" t="s">
        <v>18</v>
      </c>
      <c r="K6" s="252" t="s">
        <v>325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20,960 KRW (1.05%)</v>
      </c>
      <c r="H7" s="249"/>
      <c r="I7" s="250"/>
      <c r="J7" s="4" t="s">
        <v>21</v>
      </c>
      <c r="K7" s="252" t="s">
        <v>326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55" t="s">
        <v>256</v>
      </c>
      <c r="H8" s="256"/>
      <c r="I8" s="257"/>
      <c r="J8" s="4" t="s">
        <v>24</v>
      </c>
      <c r="K8" s="252"/>
      <c r="L8" s="253"/>
      <c r="M8" s="253"/>
      <c r="N8" s="253"/>
      <c r="O8" s="254"/>
      <c r="Q8" s="227" t="s">
        <v>27</v>
      </c>
      <c r="R8" s="229"/>
    </row>
    <row r="9" spans="1:19" ht="17.25" thickBot="1">
      <c r="A9" s="118" t="s">
        <v>28</v>
      </c>
      <c r="B9" s="252"/>
      <c r="C9" s="253"/>
      <c r="D9" s="253"/>
      <c r="E9" s="253"/>
      <c r="F9" s="254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41,926 KRW (2.10%)</v>
      </c>
      <c r="H9" s="249"/>
      <c r="I9" s="250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55" t="s">
        <v>47</v>
      </c>
      <c r="H10" s="256"/>
      <c r="I10" s="257"/>
      <c r="J10" s="4" t="s">
        <v>30</v>
      </c>
      <c r="K10" s="252" t="s">
        <v>327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45" t="s">
        <v>328</v>
      </c>
      <c r="C11" s="246"/>
      <c r="D11" s="246"/>
      <c r="E11" s="246"/>
      <c r="F11" s="247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45" t="s">
        <v>319</v>
      </c>
      <c r="L11" s="246"/>
      <c r="M11" s="246"/>
      <c r="N11" s="246"/>
      <c r="O11" s="247"/>
      <c r="Q11" s="65" t="s">
        <v>33</v>
      </c>
      <c r="R11" s="8">
        <v>1000</v>
      </c>
    </row>
    <row r="12" spans="1:19" ht="17.25" thickBot="1"/>
    <row r="13" spans="1:19" ht="17.25" customHeight="1" thickBot="1">
      <c r="A13" s="227" t="s">
        <v>34</v>
      </c>
      <c r="B13" s="228"/>
      <c r="C13" s="228"/>
      <c r="D13" s="228"/>
      <c r="E13" s="228"/>
      <c r="F13" s="228"/>
      <c r="G13" s="228"/>
      <c r="H13" s="228"/>
      <c r="I13" s="228"/>
      <c r="J13" s="228"/>
      <c r="K13" s="228"/>
      <c r="L13" s="228"/>
      <c r="M13" s="228"/>
      <c r="N13" s="228"/>
      <c r="O13" s="229"/>
      <c r="Q13" s="226"/>
      <c r="R13" s="226"/>
      <c r="S13" s="226"/>
    </row>
    <row r="14" spans="1:19" ht="17.25" customHeight="1" thickBot="1">
      <c r="A14" s="197" t="s">
        <v>35</v>
      </c>
      <c r="B14" s="227" t="s">
        <v>36</v>
      </c>
      <c r="C14" s="229"/>
      <c r="D14" s="227" t="s">
        <v>37</v>
      </c>
      <c r="E14" s="228"/>
      <c r="F14" s="229"/>
      <c r="G14" s="230">
        <f>_xlfn.IFNA(VLOOKUP(B14, 현재가테이블!$B$2:$D$200, 2, FALSE), "-")</f>
        <v>39916000</v>
      </c>
      <c r="H14" s="231"/>
      <c r="I14" s="232"/>
      <c r="J14" s="227" t="s">
        <v>38</v>
      </c>
      <c r="K14" s="228"/>
      <c r="L14" s="229"/>
      <c r="M14" s="233">
        <f>_xlfn.IFNA(VLOOKUP(B14, 현재가테이블!$B$2:$D$200, 3, FALSE), "-")</f>
        <v>7.3184273000000003E-3</v>
      </c>
      <c r="N14" s="234"/>
      <c r="O14" s="235"/>
      <c r="Q14" s="226"/>
      <c r="R14" s="226"/>
      <c r="S14" s="226"/>
    </row>
    <row r="15" spans="1:19" ht="17.25" customHeight="1" thickBot="1">
      <c r="A15" s="264" t="s">
        <v>39</v>
      </c>
      <c r="B15" s="265" t="str">
        <f>TEXT($G$1, "[$-ko-KR]yyyy-mm-dd(ddd) ") &amp; "오전 00:00"</f>
        <v>2021-07-11(일) 오전 00:00</v>
      </c>
      <c r="C15" s="266"/>
      <c r="D15" s="240" t="str">
        <f>TEXT($G$1, "[$-ko-KR]yyyy-mm-dd(ddd) ") &amp; "오후 14:00"</f>
        <v>2021-07-11(일) 오후 14:00</v>
      </c>
      <c r="E15" s="241"/>
      <c r="F15" s="242"/>
      <c r="G15" s="240" t="str">
        <f>TEXT($G$1, "[$-ko-KR]yyyy-mm-dd(ddd) ") &amp; "오후 19:00"</f>
        <v>2021-07-11(일) 오후 19:00</v>
      </c>
      <c r="H15" s="241"/>
      <c r="I15" s="242"/>
      <c r="J15" s="240" t="str">
        <f>TEXT($G$1, "[$-ko-KR]yyyy-mm-dd(ddd) ") &amp; "오후 21:00"</f>
        <v>2021-07-11(일) 오후 21:00</v>
      </c>
      <c r="K15" s="241"/>
      <c r="L15" s="242"/>
      <c r="M15" s="240" t="str">
        <f>TEXT($G$1+1, "[$-ko-KR]yyyy-mm-dd(ddd) ") &amp; "오전 00:00"</f>
        <v>2021-07-12(월) 오전 00:00</v>
      </c>
      <c r="N15" s="241"/>
      <c r="O15" s="242"/>
      <c r="Q15" s="226"/>
      <c r="R15" s="226"/>
      <c r="S15" s="226"/>
    </row>
    <row r="16" spans="1:19" ht="17.25" customHeight="1" thickBot="1">
      <c r="A16" s="26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6"/>
      <c r="R16" s="216"/>
      <c r="S16" s="21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6"/>
      <c r="R19" s="216"/>
      <c r="S19" s="21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6"/>
      <c r="R20" s="216"/>
      <c r="S20" s="21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6"/>
      <c r="R21" s="216"/>
      <c r="S21" s="21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6"/>
      <c r="R22" s="216"/>
      <c r="S22" s="21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6"/>
      <c r="R23" s="216"/>
      <c r="S23" s="21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6"/>
      <c r="R24" s="216"/>
      <c r="S24" s="21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6"/>
      <c r="R29" s="216"/>
      <c r="S29" s="21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6"/>
      <c r="R32" s="216"/>
      <c r="S32" s="21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6"/>
      <c r="R33" s="216"/>
      <c r="S33" s="21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6"/>
      <c r="R34" s="216"/>
      <c r="S34" s="21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5"/>
      <c r="R35" s="206"/>
      <c r="S35" s="2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8"/>
      <c r="R36" s="209"/>
      <c r="S36" s="210"/>
    </row>
    <row r="37" spans="1:19" ht="17.25" customHeight="1" thickBot="1">
      <c r="A37" s="132" t="s">
        <v>42</v>
      </c>
      <c r="B37" s="269">
        <v>100000</v>
      </c>
      <c r="C37" s="27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1"/>
      <c r="R37" s="212"/>
      <c r="S37" s="213"/>
    </row>
    <row r="38" spans="1:19" ht="17.25" customHeight="1"/>
    <row r="39" spans="1:19" ht="17.25" customHeight="1" thickBot="1"/>
    <row r="40" spans="1:19" ht="17.25" customHeight="1" thickBot="1">
      <c r="A40" s="227" t="s">
        <v>44</v>
      </c>
      <c r="B40" s="228"/>
      <c r="C40" s="228"/>
      <c r="D40" s="228"/>
      <c r="E40" s="228"/>
      <c r="F40" s="228"/>
      <c r="G40" s="228"/>
      <c r="H40" s="228"/>
      <c r="I40" s="228"/>
      <c r="J40" s="228"/>
      <c r="K40" s="228"/>
      <c r="L40" s="228"/>
      <c r="M40" s="228"/>
      <c r="N40" s="228"/>
      <c r="O40" s="229"/>
      <c r="Q40" s="226"/>
      <c r="R40" s="226"/>
      <c r="S40" s="226"/>
    </row>
    <row r="41" spans="1:19" ht="17.25" customHeight="1" thickBot="1">
      <c r="A41" s="197" t="s">
        <v>268</v>
      </c>
      <c r="B41" s="227" t="s">
        <v>49</v>
      </c>
      <c r="C41" s="229"/>
      <c r="D41" s="227" t="s">
        <v>58</v>
      </c>
      <c r="E41" s="228"/>
      <c r="F41" s="229"/>
      <c r="G41" s="230">
        <f>_xlfn.IFNA(VLOOKUP(B41, 현재가테이블!$B$2:$D$200, 2, FALSE), "-")</f>
        <v>39916000</v>
      </c>
      <c r="H41" s="231"/>
      <c r="I41" s="232"/>
      <c r="J41" s="227" t="s">
        <v>59</v>
      </c>
      <c r="K41" s="228"/>
      <c r="L41" s="229"/>
      <c r="M41" s="233">
        <f>_xlfn.IFNA(VLOOKUP(B41, 현재가테이블!$B$2:$D$200, 3, FALSE), "-")</f>
        <v>7.3184273000000003E-3</v>
      </c>
      <c r="N41" s="234"/>
      <c r="O41" s="235"/>
      <c r="Q41" s="226"/>
      <c r="R41" s="226"/>
      <c r="S41" s="226"/>
    </row>
    <row r="42" spans="1:19" ht="17.25" customHeight="1" thickBot="1">
      <c r="A42" s="271" t="s">
        <v>55</v>
      </c>
      <c r="B42" s="267" t="str">
        <f>TEXT($G$1, "[$-ko-KR]yyyy-mm-dd(ddd) ") &amp; "오전 00:00"</f>
        <v>2021-07-11(일) 오전 00:00</v>
      </c>
      <c r="C42" s="268"/>
      <c r="D42" s="240" t="str">
        <f>TEXT($G$1, "[$-ko-KR]yyyy-mm-dd(ddd) ") &amp; "오후 14:00"</f>
        <v>2021-07-11(일) 오후 14:00</v>
      </c>
      <c r="E42" s="241"/>
      <c r="F42" s="242"/>
      <c r="G42" s="240" t="str">
        <f>TEXT($G$1, "[$-ko-KR]yyyy-mm-dd(ddd) ") &amp; "오후 19:00"</f>
        <v>2021-07-11(일) 오후 19:00</v>
      </c>
      <c r="H42" s="241"/>
      <c r="I42" s="242"/>
      <c r="J42" s="240" t="str">
        <f>TEXT($G$1, "[$-ko-KR]yyyy-mm-dd(ddd) ") &amp; "오후 21:00"</f>
        <v>2021-07-11(일) 오후 21:00</v>
      </c>
      <c r="K42" s="241"/>
      <c r="L42" s="242"/>
      <c r="M42" s="240" t="str">
        <f>TEXT($G$1+1, "[$-ko-KR]yyyy-mm-dd(ddd) ") &amp; "오전 00:00"</f>
        <v>2021-07-12(월) 오전 00:00</v>
      </c>
      <c r="N42" s="241"/>
      <c r="O42" s="242"/>
      <c r="Q42" s="226"/>
      <c r="R42" s="226"/>
      <c r="S42" s="226"/>
    </row>
    <row r="43" spans="1:19" ht="17.25" customHeight="1" thickBot="1">
      <c r="A43" s="27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8" t="s">
        <v>58</v>
      </c>
      <c r="H43" s="199" t="s">
        <v>269</v>
      </c>
      <c r="I43" s="20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6"/>
      <c r="R43" s="216"/>
      <c r="S43" s="216"/>
    </row>
    <row r="44" spans="1:19" ht="17.25" customHeight="1" thickBot="1">
      <c r="A44" s="123" t="s">
        <v>241</v>
      </c>
      <c r="B44" s="124">
        <v>56.9</v>
      </c>
      <c r="C44" s="76">
        <v>0.12450592890000001</v>
      </c>
      <c r="D44" s="13">
        <v>51.8</v>
      </c>
      <c r="E44" s="14">
        <f>IF(ISNUMBER(D44), (D44 - $B44) / $B44, "")</f>
        <v>-8.9630931458699506E-2</v>
      </c>
      <c r="F44" s="16">
        <f>IF(ISNUMBER(D44), $B64 * E44, "")</f>
        <v>-8963.0931458699506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53.5</v>
      </c>
      <c r="K44" s="14">
        <f>IF(ISNUMBER(J44), (J44 - $B44) / $B44, "")</f>
        <v>-5.9753954305799627E-2</v>
      </c>
      <c r="L44" s="16">
        <f>IF(ISNUMBER(J44), $B64 * K44, "")</f>
        <v>-5975.3954305799625</v>
      </c>
      <c r="M44" s="29">
        <v>53.9</v>
      </c>
      <c r="N44" s="14">
        <f>IF(ISNUMBER(M44), (M44 - $B44) / $B44, "")</f>
        <v>-5.272407732864675E-2</v>
      </c>
      <c r="O44" s="16">
        <f>IF(ISNUMBER(M44), $B64 * N44, "")</f>
        <v>-5272.4077328646754</v>
      </c>
      <c r="Q44" s="226"/>
      <c r="R44" s="226"/>
      <c r="S44" s="226"/>
    </row>
    <row r="45" spans="1:19" ht="17.25" customHeight="1" thickBot="1">
      <c r="A45" s="125" t="s">
        <v>210</v>
      </c>
      <c r="B45" s="126">
        <v>9.8800000000000008</v>
      </c>
      <c r="C45" s="77">
        <v>9.1712707199999993E-2</v>
      </c>
      <c r="D45" s="15">
        <v>9.27</v>
      </c>
      <c r="E45" s="32">
        <f t="shared" ref="E45:E48" si="14">IF(ISNUMBER(D45), (D45 - $B45) / $B45, "")</f>
        <v>-6.1740890688259227E-2</v>
      </c>
      <c r="F45" s="18">
        <f>IF(ISNUMBER(D45), $B64 * E45, "")</f>
        <v>-6174.0890688259224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9.5399999999999991</v>
      </c>
      <c r="K45" s="32">
        <f t="shared" ref="K45:K48" si="16">IF(ISNUMBER(J45), (J45 - $B45) / $B45, "")</f>
        <v>-3.441295546558721E-2</v>
      </c>
      <c r="L45" s="18">
        <f>IF(ISNUMBER(J45), $B64 * K45, "")</f>
        <v>-3441.2955465587211</v>
      </c>
      <c r="M45" s="31">
        <v>9.5</v>
      </c>
      <c r="N45" s="32">
        <f t="shared" ref="N45:N48" si="17">IF(ISNUMBER(M45), (M45 - $B45) / $B45, "")</f>
        <v>-3.846153846153854E-2</v>
      </c>
      <c r="O45" s="18">
        <f>IF(ISNUMBER(M45), $B64 * N45, "")</f>
        <v>-3846.1538461538539</v>
      </c>
      <c r="Q45" s="226"/>
      <c r="R45" s="226"/>
      <c r="S45" s="226"/>
    </row>
    <row r="46" spans="1:19" ht="17.25" customHeight="1" thickBot="1">
      <c r="A46" s="125" t="s">
        <v>208</v>
      </c>
      <c r="B46" s="126">
        <v>9.44</v>
      </c>
      <c r="C46" s="77">
        <v>3.8503850399999998E-2</v>
      </c>
      <c r="D46" s="15">
        <v>9.07</v>
      </c>
      <c r="E46" s="32">
        <f t="shared" si="14"/>
        <v>-3.9194915254237205E-2</v>
      </c>
      <c r="F46" s="18">
        <f>IF(ISNUMBER(D46), $B64 * E46, "")</f>
        <v>-3919.4915254237203</v>
      </c>
      <c r="G46" s="31"/>
      <c r="H46" s="32" t="str">
        <f t="shared" si="15"/>
        <v/>
      </c>
      <c r="I46" s="101" t="str">
        <f>IF(ISNUMBER(G46), $B64 * H46, "")</f>
        <v/>
      </c>
      <c r="J46" s="15">
        <v>9.34</v>
      </c>
      <c r="K46" s="32">
        <f t="shared" si="16"/>
        <v>-1.0593220338983014E-2</v>
      </c>
      <c r="L46" s="18">
        <f>IF(ISNUMBER(J46), $B64 * K46, "")</f>
        <v>-1059.3220338983015</v>
      </c>
      <c r="M46" s="31">
        <v>9.76</v>
      </c>
      <c r="N46" s="32">
        <f t="shared" si="17"/>
        <v>3.3898305084745797E-2</v>
      </c>
      <c r="O46" s="18">
        <f>IF(ISNUMBER(M46), $B64 * N46, "")</f>
        <v>3389.8305084745798</v>
      </c>
      <c r="Q46" s="216"/>
      <c r="R46" s="216"/>
      <c r="S46" s="216"/>
    </row>
    <row r="47" spans="1:19" ht="17.25" customHeight="1" thickBot="1">
      <c r="A47" s="125" t="s">
        <v>188</v>
      </c>
      <c r="B47" s="126">
        <v>9.89</v>
      </c>
      <c r="C47" s="77">
        <v>1.74897119E-2</v>
      </c>
      <c r="D47" s="15">
        <v>9.3800000000000008</v>
      </c>
      <c r="E47" s="32">
        <f t="shared" si="14"/>
        <v>-5.156723963599593E-2</v>
      </c>
      <c r="F47" s="18">
        <f>IF(ISNUMBER(D47), $B64 * E47, "")</f>
        <v>-5156.7239635995929</v>
      </c>
      <c r="G47" s="31"/>
      <c r="H47" s="32" t="str">
        <f t="shared" si="15"/>
        <v/>
      </c>
      <c r="I47" s="101" t="str">
        <f>IF(ISNUMBER(G47), $B64 * H47, "")</f>
        <v/>
      </c>
      <c r="J47" s="15">
        <v>9.68</v>
      </c>
      <c r="K47" s="32">
        <f t="shared" si="16"/>
        <v>-2.1233569261880771E-2</v>
      </c>
      <c r="L47" s="18">
        <f>IF(ISNUMBER(J47), $B64 * K47, "")</f>
        <v>-2123.3569261880771</v>
      </c>
      <c r="M47" s="31">
        <v>9.6999999999999993</v>
      </c>
      <c r="N47" s="32">
        <f t="shared" si="17"/>
        <v>-1.9211324570273133E-2</v>
      </c>
      <c r="O47" s="18">
        <f>IF(ISNUMBER(M47), $B64 * N47, "")</f>
        <v>-1921.1324570273132</v>
      </c>
      <c r="Q47" s="216"/>
      <c r="R47" s="216"/>
      <c r="S47" s="216"/>
    </row>
    <row r="48" spans="1:19" ht="17.25" customHeight="1" thickBot="1">
      <c r="A48" s="127" t="s">
        <v>178</v>
      </c>
      <c r="B48" s="128">
        <v>14.1</v>
      </c>
      <c r="C48" s="78">
        <v>1.43884892E-2</v>
      </c>
      <c r="D48" s="20">
        <v>14.1</v>
      </c>
      <c r="E48" s="21">
        <f t="shared" si="14"/>
        <v>0</v>
      </c>
      <c r="F48" s="22">
        <f>IF(ISNUMBER(D48), $B64 * E48, "")</f>
        <v>0</v>
      </c>
      <c r="G48" s="30"/>
      <c r="H48" s="21" t="str">
        <f t="shared" si="15"/>
        <v/>
      </c>
      <c r="I48" s="105" t="str">
        <f>IF(ISNUMBER(G48), $B64 * H48, "")</f>
        <v/>
      </c>
      <c r="J48" s="20">
        <v>14.3</v>
      </c>
      <c r="K48" s="21">
        <f t="shared" si="16"/>
        <v>1.4184397163120643E-2</v>
      </c>
      <c r="L48" s="22">
        <f>IF(ISNUMBER(J48), $B64 * K48, "")</f>
        <v>1418.4397163120643</v>
      </c>
      <c r="M48" s="30">
        <v>14.3</v>
      </c>
      <c r="N48" s="21">
        <f t="shared" si="17"/>
        <v>1.4184397163120643E-2</v>
      </c>
      <c r="O48" s="22">
        <f>IF(ISNUMBER(M48), $B64 * N48, "")</f>
        <v>1418.4397163120643</v>
      </c>
      <c r="Q48" s="216"/>
      <c r="R48" s="216"/>
      <c r="S48" s="216"/>
    </row>
    <row r="49" spans="1:19" ht="17.25" customHeight="1" thickBot="1">
      <c r="A49" s="125" t="s">
        <v>190</v>
      </c>
      <c r="B49" s="129">
        <v>14.4</v>
      </c>
      <c r="C49" s="80">
        <v>1.4084507E-2</v>
      </c>
      <c r="D49" s="106">
        <v>14</v>
      </c>
      <c r="E49" s="107">
        <f>IF(ISNUMBER(D49), (D49 - $B49) / $B49, "")</f>
        <v>-2.7777777777777801E-2</v>
      </c>
      <c r="F49" s="108">
        <f>IF(ISNUMBER(D49), $B64 * E49, "")</f>
        <v>-2777.7777777777801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14.4</v>
      </c>
      <c r="K49" s="107">
        <f>IF(ISNUMBER(J49), (J49 - $B49) / $B49, "")</f>
        <v>0</v>
      </c>
      <c r="L49" s="108">
        <f>IF(ISNUMBER(J49), $B64 * K49, "")</f>
        <v>0</v>
      </c>
      <c r="M49" s="109">
        <v>14.5</v>
      </c>
      <c r="N49" s="107">
        <f>IF(ISNUMBER(M49), (M49 - $B49) / $B49, "")</f>
        <v>6.9444444444444198E-3</v>
      </c>
      <c r="O49" s="108">
        <f>IF(ISNUMBER(M49), $B64 * N49, "")</f>
        <v>694.44444444444196</v>
      </c>
      <c r="Q49" s="216"/>
      <c r="R49" s="216"/>
      <c r="S49" s="216"/>
    </row>
    <row r="50" spans="1:19" ht="17.25" customHeight="1" thickBot="1">
      <c r="A50" s="125" t="s">
        <v>216</v>
      </c>
      <c r="B50" s="126">
        <v>8.2799999999999994</v>
      </c>
      <c r="C50" s="77">
        <v>1.0989011E-2</v>
      </c>
      <c r="D50" s="15">
        <v>7.96</v>
      </c>
      <c r="E50" s="32">
        <f t="shared" ref="E50:E53" si="18">IF(ISNUMBER(D50), (D50 - $B50) / $B50, "")</f>
        <v>-3.8647342995169011E-2</v>
      </c>
      <c r="F50" s="18">
        <f>IF(ISNUMBER(D50), $B64 * E50, "")</f>
        <v>-3864.734299516901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8.32</v>
      </c>
      <c r="K50" s="32">
        <f t="shared" ref="K50:K53" si="20">IF(ISNUMBER(J50), (J50 - $B50) / $B50, "")</f>
        <v>4.8309178743962469E-3</v>
      </c>
      <c r="L50" s="18">
        <f>IF(ISNUMBER(J50), $B64 * K50, "")</f>
        <v>483.09178743962468</v>
      </c>
      <c r="M50" s="31">
        <v>8.32</v>
      </c>
      <c r="N50" s="32">
        <f t="shared" ref="N50:N53" si="21">IF(ISNUMBER(M50), (M50 - $B50) / $B50, "")</f>
        <v>4.8309178743962469E-3</v>
      </c>
      <c r="O50" s="18">
        <f>IF(ISNUMBER(M50), $B64 * N50, "")</f>
        <v>483.09178743962468</v>
      </c>
      <c r="Q50" s="216"/>
      <c r="R50" s="216"/>
      <c r="S50" s="216"/>
    </row>
    <row r="51" spans="1:19" ht="17.25" customHeight="1" thickBot="1">
      <c r="A51" s="125" t="s">
        <v>150</v>
      </c>
      <c r="B51" s="126">
        <v>9.4</v>
      </c>
      <c r="C51" s="77">
        <v>1.0752688200000001E-2</v>
      </c>
      <c r="D51" s="15">
        <v>9</v>
      </c>
      <c r="E51" s="32">
        <f t="shared" si="18"/>
        <v>-4.2553191489361736E-2</v>
      </c>
      <c r="F51" s="18">
        <f>IF(ISNUMBER(D51), $B64 * E51, "")</f>
        <v>-4255.3191489361734</v>
      </c>
      <c r="G51" s="31"/>
      <c r="H51" s="32" t="str">
        <f t="shared" si="19"/>
        <v/>
      </c>
      <c r="I51" s="101" t="str">
        <f>IF(ISNUMBER(G51), $B64 * H51, "")</f>
        <v/>
      </c>
      <c r="J51" s="15">
        <v>9.27</v>
      </c>
      <c r="K51" s="32">
        <f t="shared" si="20"/>
        <v>-1.3829787234042636E-2</v>
      </c>
      <c r="L51" s="18">
        <f>IF(ISNUMBER(J51), $B64 * K51, "")</f>
        <v>-1382.9787234042635</v>
      </c>
      <c r="M51" s="31">
        <v>9.32</v>
      </c>
      <c r="N51" s="32">
        <f t="shared" si="21"/>
        <v>-8.5106382978723475E-3</v>
      </c>
      <c r="O51" s="18">
        <f>IF(ISNUMBER(M51), $B64 * N51, "")</f>
        <v>-851.06382978723479</v>
      </c>
      <c r="Q51" s="216"/>
      <c r="R51" s="216"/>
      <c r="S51" s="216"/>
    </row>
    <row r="52" spans="1:19" ht="17.25" customHeight="1" thickBot="1">
      <c r="A52" s="125" t="s">
        <v>122</v>
      </c>
      <c r="B52" s="126">
        <v>22</v>
      </c>
      <c r="C52" s="77">
        <v>9.1743119000000008E-3</v>
      </c>
      <c r="D52" s="15">
        <v>21.3</v>
      </c>
      <c r="E52" s="32">
        <f t="shared" si="18"/>
        <v>-3.1818181818181787E-2</v>
      </c>
      <c r="F52" s="18">
        <f>IF(ISNUMBER(D52), $B64 * E52, "")</f>
        <v>-3181.8181818181788</v>
      </c>
      <c r="G52" s="31"/>
      <c r="H52" s="32" t="str">
        <f t="shared" si="19"/>
        <v/>
      </c>
      <c r="I52" s="101" t="str">
        <f>IF(ISNUMBER(G52), $B64 * H52, "")</f>
        <v/>
      </c>
      <c r="J52" s="15">
        <v>22</v>
      </c>
      <c r="K52" s="32">
        <f t="shared" si="20"/>
        <v>0</v>
      </c>
      <c r="L52" s="18">
        <f>IF(ISNUMBER(J52), $B64 * K52, "")</f>
        <v>0</v>
      </c>
      <c r="M52" s="31">
        <v>22.1</v>
      </c>
      <c r="N52" s="32">
        <f t="shared" si="21"/>
        <v>4.5454545454546103E-3</v>
      </c>
      <c r="O52" s="18">
        <f>IF(ISNUMBER(M52), $B64 * N52, "")</f>
        <v>454.54545454546104</v>
      </c>
      <c r="Q52" s="33"/>
      <c r="R52" s="33"/>
    </row>
    <row r="53" spans="1:19" ht="17.25" customHeight="1" thickBot="1">
      <c r="A53" s="130" t="s">
        <v>235</v>
      </c>
      <c r="B53" s="131">
        <v>52</v>
      </c>
      <c r="C53" s="79">
        <v>5.8027078999999997E-3</v>
      </c>
      <c r="D53" s="24">
        <v>50.9</v>
      </c>
      <c r="E53" s="25">
        <f t="shared" si="18"/>
        <v>-2.1153846153846183E-2</v>
      </c>
      <c r="F53" s="104">
        <f>IF(ISNUMBER(D53), $B64 * E53, "")</f>
        <v>-2115.3846153846184</v>
      </c>
      <c r="G53" s="102"/>
      <c r="H53" s="25" t="str">
        <f t="shared" si="19"/>
        <v/>
      </c>
      <c r="I53" s="103" t="str">
        <f>IF(ISNUMBER(G53), $B64 * H53, "")</f>
        <v/>
      </c>
      <c r="J53" s="24">
        <v>56.6</v>
      </c>
      <c r="K53" s="25">
        <f t="shared" si="20"/>
        <v>8.8461538461538494E-2</v>
      </c>
      <c r="L53" s="104">
        <f>IF(ISNUMBER(J53), $B64 * K53, "")</f>
        <v>8846.1538461538494</v>
      </c>
      <c r="M53" s="102">
        <v>54.7</v>
      </c>
      <c r="N53" s="25">
        <f t="shared" si="21"/>
        <v>5.1923076923076975E-2</v>
      </c>
      <c r="O53" s="104">
        <f>IF(ISNUMBER(M53), $B64 * N53, "")</f>
        <v>5192.3076923076978</v>
      </c>
      <c r="Q53" s="217"/>
      <c r="R53" s="218"/>
      <c r="S53" s="219"/>
    </row>
    <row r="54" spans="1:19" ht="17.25" customHeight="1">
      <c r="A54" s="123" t="s">
        <v>130</v>
      </c>
      <c r="B54" s="124">
        <v>82.3</v>
      </c>
      <c r="C54" s="76">
        <v>1.2165450000000001E-3</v>
      </c>
      <c r="D54" s="13">
        <v>79.400000000000006</v>
      </c>
      <c r="E54" s="14">
        <f>IF(ISNUMBER(D54), (D54 - $B54) / $B54, "")</f>
        <v>-3.5236938031591634E-2</v>
      </c>
      <c r="F54" s="16">
        <f>IF(ISNUMBER(D54), $B64 * E54, "")</f>
        <v>-3523.6938031591635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81.400000000000006</v>
      </c>
      <c r="K54" s="14">
        <f>IF(ISNUMBER(J54), (J54 - $B54) / $B54, "")</f>
        <v>-1.0935601458080091E-2</v>
      </c>
      <c r="L54" s="16">
        <f>IF(ISNUMBER(J54), $B64 * K54, "")</f>
        <v>-1093.5601458080091</v>
      </c>
      <c r="M54" s="29">
        <v>81.8</v>
      </c>
      <c r="N54" s="14">
        <f>IF(ISNUMBER(M54), (M54 - $B54) / $B54, "")</f>
        <v>-6.0753341433778859E-3</v>
      </c>
      <c r="O54" s="16">
        <f>IF(ISNUMBER(M54), $B64 * N54, "")</f>
        <v>-607.5334143377886</v>
      </c>
      <c r="Q54" s="220"/>
      <c r="R54" s="221"/>
      <c r="S54" s="222"/>
    </row>
    <row r="55" spans="1:19" ht="17.25" customHeight="1" thickBot="1">
      <c r="A55" s="125" t="s">
        <v>72</v>
      </c>
      <c r="B55" s="126">
        <v>17.8</v>
      </c>
      <c r="C55" s="77">
        <v>0</v>
      </c>
      <c r="D55" s="15">
        <v>17.600000000000001</v>
      </c>
      <c r="E55" s="32">
        <f t="shared" ref="E55:E58" si="22">IF(ISNUMBER(D55), (D55 - $B55) / $B55, "")</f>
        <v>-1.1235955056179735E-2</v>
      </c>
      <c r="F55" s="18">
        <f>IF(ISNUMBER(D55), $B64 * E55, "")</f>
        <v>-1123.5955056179735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18</v>
      </c>
      <c r="K55" s="32">
        <f t="shared" ref="K55:K58" si="24">IF(ISNUMBER(J55), (J55 - $B55) / $B55, "")</f>
        <v>1.1235955056179735E-2</v>
      </c>
      <c r="L55" s="18">
        <f>IF(ISNUMBER(J55), $B64 * K55, "")</f>
        <v>1123.5955056179735</v>
      </c>
      <c r="M55" s="31">
        <v>18.2</v>
      </c>
      <c r="N55" s="32">
        <f t="shared" ref="N55:N58" si="25">IF(ISNUMBER(M55), (M55 - $B55) / $B55, "")</f>
        <v>2.247191011235947E-2</v>
      </c>
      <c r="O55" s="18">
        <f>IF(ISNUMBER(M55), $B64 * N55, "")</f>
        <v>2247.1910112359469</v>
      </c>
      <c r="Q55" s="223"/>
      <c r="R55" s="224"/>
      <c r="S55" s="225"/>
    </row>
    <row r="56" spans="1:19" ht="17.25" customHeight="1" thickBot="1">
      <c r="A56" s="125" t="s">
        <v>202</v>
      </c>
      <c r="B56" s="126">
        <v>53.8</v>
      </c>
      <c r="C56" s="77">
        <v>-1.8552875999999999E-3</v>
      </c>
      <c r="D56" s="15">
        <v>53.4</v>
      </c>
      <c r="E56" s="32">
        <f t="shared" si="22"/>
        <v>-7.4349442379181892E-3</v>
      </c>
      <c r="F56" s="18">
        <f>IF(ISNUMBER(D56), $B64 * E56, "")</f>
        <v>-743.49442379181892</v>
      </c>
      <c r="G56" s="31"/>
      <c r="H56" s="32" t="str">
        <f t="shared" si="23"/>
        <v/>
      </c>
      <c r="I56" s="101" t="str">
        <f>IF(ISNUMBER(G56), $B64 * H56, "")</f>
        <v/>
      </c>
      <c r="J56" s="15">
        <v>57.2</v>
      </c>
      <c r="K56" s="32">
        <f t="shared" si="24"/>
        <v>6.3197026022304939E-2</v>
      </c>
      <c r="L56" s="18">
        <f>IF(ISNUMBER(J56), $B64 * K56, "")</f>
        <v>6319.7026022304935</v>
      </c>
      <c r="M56" s="31">
        <v>57.1</v>
      </c>
      <c r="N56" s="32">
        <f t="shared" si="25"/>
        <v>6.1338289962825358E-2</v>
      </c>
      <c r="O56" s="18">
        <f>IF(ISNUMBER(M56), $B64 * N56, "")</f>
        <v>6133.8289962825356</v>
      </c>
      <c r="Q56" s="216"/>
      <c r="R56" s="216"/>
      <c r="S56" s="216"/>
    </row>
    <row r="57" spans="1:19" ht="17.25" customHeight="1" thickBot="1">
      <c r="A57" s="125" t="s">
        <v>98</v>
      </c>
      <c r="B57" s="126">
        <v>2.98</v>
      </c>
      <c r="C57" s="77">
        <v>-6.6666666999999997E-3</v>
      </c>
      <c r="D57" s="15">
        <v>2.93</v>
      </c>
      <c r="E57" s="32">
        <f t="shared" si="22"/>
        <v>-1.6778523489932827E-2</v>
      </c>
      <c r="F57" s="18">
        <f>IF(ISNUMBER(D57), $B64 * E57, "")</f>
        <v>-1677.8523489932827</v>
      </c>
      <c r="G57" s="31"/>
      <c r="H57" s="32" t="str">
        <f t="shared" si="23"/>
        <v/>
      </c>
      <c r="I57" s="101" t="str">
        <f>IF(ISNUMBER(G57), $B64 * H57, "")</f>
        <v/>
      </c>
      <c r="J57" s="15">
        <v>2.94</v>
      </c>
      <c r="K57" s="32">
        <f t="shared" si="24"/>
        <v>-1.3422818791946321E-2</v>
      </c>
      <c r="L57" s="18">
        <f>IF(ISNUMBER(J57), $B64 * K57, "")</f>
        <v>-1342.281879194632</v>
      </c>
      <c r="M57" s="31">
        <v>2.97</v>
      </c>
      <c r="N57" s="32">
        <f t="shared" si="25"/>
        <v>-3.3557046979865056E-3</v>
      </c>
      <c r="O57" s="18">
        <f>IF(ISNUMBER(M57), $B64 * N57, "")</f>
        <v>-335.57046979865055</v>
      </c>
      <c r="Q57" s="226"/>
      <c r="R57" s="226"/>
      <c r="S57" s="226"/>
    </row>
    <row r="58" spans="1:19" ht="17.25" customHeight="1" thickBot="1">
      <c r="A58" s="127" t="s">
        <v>128</v>
      </c>
      <c r="B58" s="128">
        <v>90.2</v>
      </c>
      <c r="C58" s="78">
        <v>-7.7007700999999996E-3</v>
      </c>
      <c r="D58" s="20">
        <v>89.1</v>
      </c>
      <c r="E58" s="21">
        <f t="shared" si="22"/>
        <v>-1.2195121951219606E-2</v>
      </c>
      <c r="F58" s="22">
        <f>IF(ISNUMBER(D58), $B64 * E58, "")</f>
        <v>-1219.5121951219605</v>
      </c>
      <c r="G58" s="30"/>
      <c r="H58" s="21" t="str">
        <f t="shared" si="23"/>
        <v/>
      </c>
      <c r="I58" s="105" t="str">
        <f>IF(ISNUMBER(G58), $B64 * H58, "")</f>
        <v/>
      </c>
      <c r="J58" s="20">
        <v>90.5</v>
      </c>
      <c r="K58" s="21">
        <f t="shared" si="24"/>
        <v>3.3259423503325626E-3</v>
      </c>
      <c r="L58" s="22">
        <f>IF(ISNUMBER(J58), $B64 * K58, "")</f>
        <v>332.59423503325627</v>
      </c>
      <c r="M58" s="30">
        <v>91.5</v>
      </c>
      <c r="N58" s="21">
        <f t="shared" si="25"/>
        <v>1.441241685144121E-2</v>
      </c>
      <c r="O58" s="22">
        <f>IF(ISNUMBER(M58), $B64 * N58, "")</f>
        <v>1441.241685144121</v>
      </c>
      <c r="Q58" s="226"/>
      <c r="R58" s="226"/>
      <c r="S58" s="226"/>
    </row>
    <row r="59" spans="1:19" ht="17.25" customHeight="1" thickBot="1">
      <c r="A59" s="125" t="s">
        <v>152</v>
      </c>
      <c r="B59" s="129">
        <v>72.8</v>
      </c>
      <c r="C59" s="80">
        <v>-9.5238094999999991E-3</v>
      </c>
      <c r="D59" s="106">
        <v>71.900000000000006</v>
      </c>
      <c r="E59" s="107">
        <f>IF(ISNUMBER(D59), (D59 - $B59) / $B59, "")</f>
        <v>-1.2362637362637246E-2</v>
      </c>
      <c r="F59" s="108">
        <f>IF(ISNUMBER(D59), $B64 * E59, "")</f>
        <v>-1236.2637362637247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72.5</v>
      </c>
      <c r="K59" s="107">
        <f>IF(ISNUMBER(J59), (J59 - $B59) / $B59, "")</f>
        <v>-4.120879120879082E-3</v>
      </c>
      <c r="L59" s="108">
        <f>IF(ISNUMBER(J59), $B64 * K59, "")</f>
        <v>-412.08791208790819</v>
      </c>
      <c r="M59" s="109">
        <v>72.900000000000006</v>
      </c>
      <c r="N59" s="107">
        <f>IF(ISNUMBER(M59), (M59 - $B59) / $B59, "")</f>
        <v>1.3736263736264908E-3</v>
      </c>
      <c r="O59" s="108">
        <f>IF(ISNUMBER(M59), $B64 * N59, "")</f>
        <v>137.36263736264908</v>
      </c>
      <c r="Q59" s="216"/>
      <c r="R59" s="216"/>
      <c r="S59" s="216"/>
    </row>
    <row r="60" spans="1:19" ht="17.25" customHeight="1" thickBot="1">
      <c r="A60" s="125" t="s">
        <v>251</v>
      </c>
      <c r="B60" s="126">
        <v>60.1</v>
      </c>
      <c r="C60" s="77">
        <v>-1.1513157899999999E-2</v>
      </c>
      <c r="D60" s="15">
        <v>58.7</v>
      </c>
      <c r="E60" s="32">
        <f t="shared" ref="E60:E63" si="26">IF(ISNUMBER(D60), (D60 - $B60) / $B60, "")</f>
        <v>-2.3294509151414285E-2</v>
      </c>
      <c r="F60" s="18">
        <f>IF(ISNUMBER(D60), $B64 * E60, "")</f>
        <v>-2329.4509151414286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58.7</v>
      </c>
      <c r="K60" s="32">
        <f t="shared" ref="K60:K63" si="28">IF(ISNUMBER(J60), (J60 - $B60) / $B60, "")</f>
        <v>-2.3294509151414285E-2</v>
      </c>
      <c r="L60" s="18">
        <f>IF(ISNUMBER(J60), $B64 * K60, "")</f>
        <v>-2329.4509151414286</v>
      </c>
      <c r="M60" s="31">
        <v>59</v>
      </c>
      <c r="N60" s="32">
        <f t="shared" ref="N60:N63" si="29">IF(ISNUMBER(M60), (M60 - $B60) / $B60, "")</f>
        <v>-1.8302828618968408E-2</v>
      </c>
      <c r="O60" s="18">
        <f>IF(ISNUMBER(M60), $B64 * N60, "")</f>
        <v>-1830.2828618968408</v>
      </c>
      <c r="Q60" s="216"/>
      <c r="R60" s="216"/>
      <c r="S60" s="216"/>
    </row>
    <row r="61" spans="1:19" ht="17.25" customHeight="1" thickBot="1">
      <c r="A61" s="125" t="s">
        <v>239</v>
      </c>
      <c r="B61" s="126">
        <v>71.8</v>
      </c>
      <c r="C61" s="77">
        <v>-1.50891632E-2</v>
      </c>
      <c r="D61" s="15">
        <v>70.599999999999994</v>
      </c>
      <c r="E61" s="32">
        <f t="shared" si="26"/>
        <v>-1.671309192200561E-2</v>
      </c>
      <c r="F61" s="18">
        <f>IF(ISNUMBER(D61), $B64 * E61, "")</f>
        <v>-1671.309192200561</v>
      </c>
      <c r="G61" s="31"/>
      <c r="H61" s="32" t="str">
        <f t="shared" si="27"/>
        <v/>
      </c>
      <c r="I61" s="101" t="str">
        <f>IF(ISNUMBER(G61), $B64 * H61, "")</f>
        <v/>
      </c>
      <c r="J61" s="15">
        <v>73.599999999999994</v>
      </c>
      <c r="K61" s="32">
        <f t="shared" si="28"/>
        <v>2.5069637883008318E-2</v>
      </c>
      <c r="L61" s="18">
        <f>IF(ISNUMBER(J61), $B64 * K61, "")</f>
        <v>2506.9637883008318</v>
      </c>
      <c r="M61" s="31">
        <v>72.900000000000006</v>
      </c>
      <c r="N61" s="32">
        <f t="shared" si="29"/>
        <v>1.5320334261838559E-2</v>
      </c>
      <c r="O61" s="18">
        <f>IF(ISNUMBER(M61), $B64 * N61, "")</f>
        <v>1532.0334261838559</v>
      </c>
      <c r="Q61" s="216"/>
      <c r="R61" s="216"/>
      <c r="S61" s="216"/>
    </row>
    <row r="62" spans="1:19" ht="17.25" customHeight="1">
      <c r="A62" s="125" t="s">
        <v>144</v>
      </c>
      <c r="B62" s="126">
        <v>83.3</v>
      </c>
      <c r="C62" s="77">
        <v>-1.6528925600000001E-2</v>
      </c>
      <c r="D62" s="15">
        <v>82.6</v>
      </c>
      <c r="E62" s="32">
        <f t="shared" si="26"/>
        <v>-8.4033613445378495E-3</v>
      </c>
      <c r="F62" s="18">
        <f>IF(ISNUMBER(D62), $B64 * E62, "")</f>
        <v>-840.33613445378489</v>
      </c>
      <c r="G62" s="31"/>
      <c r="H62" s="32" t="str">
        <f t="shared" si="27"/>
        <v/>
      </c>
      <c r="I62" s="101" t="str">
        <f>IF(ISNUMBER(G62), $B64 * H62, "")</f>
        <v/>
      </c>
      <c r="J62" s="15">
        <v>83.8</v>
      </c>
      <c r="K62" s="32">
        <f t="shared" si="28"/>
        <v>6.0024009603841539E-3</v>
      </c>
      <c r="L62" s="18">
        <f>IF(ISNUMBER(J62), $B64 * K62, "")</f>
        <v>600.24009603841534</v>
      </c>
      <c r="M62" s="31">
        <v>84.4</v>
      </c>
      <c r="N62" s="32">
        <f t="shared" si="29"/>
        <v>1.3205282112845241E-2</v>
      </c>
      <c r="O62" s="18">
        <f>IF(ISNUMBER(M62), $B64 * N62, "")</f>
        <v>1320.5282112845241</v>
      </c>
      <c r="Q62" s="205"/>
      <c r="R62" s="206"/>
      <c r="S62" s="207"/>
    </row>
    <row r="63" spans="1:19" ht="17.25" customHeight="1" thickBot="1">
      <c r="A63" s="130" t="s">
        <v>65</v>
      </c>
      <c r="B63" s="131">
        <v>24.6</v>
      </c>
      <c r="C63" s="79">
        <v>-1.9920318699999998E-2</v>
      </c>
      <c r="D63" s="24">
        <v>24.1</v>
      </c>
      <c r="E63" s="25">
        <f t="shared" si="26"/>
        <v>-2.032520325203252E-2</v>
      </c>
      <c r="F63" s="104">
        <f>IF(ISNUMBER(D63), $B64 * E63, "")</f>
        <v>-2032.520325203252</v>
      </c>
      <c r="G63" s="102"/>
      <c r="H63" s="25" t="str">
        <f t="shared" si="27"/>
        <v/>
      </c>
      <c r="I63" s="103" t="str">
        <f>IF(ISNUMBER(G63), $B64 * H63, "")</f>
        <v/>
      </c>
      <c r="J63" s="24">
        <v>24.8</v>
      </c>
      <c r="K63" s="25">
        <f t="shared" si="28"/>
        <v>8.1300813008129795E-3</v>
      </c>
      <c r="L63" s="104">
        <f>IF(ISNUMBER(J63), $B64 * K63, "")</f>
        <v>813.00813008129796</v>
      </c>
      <c r="M63" s="102">
        <v>25</v>
      </c>
      <c r="N63" s="25">
        <f t="shared" si="29"/>
        <v>1.6260162601625959E-2</v>
      </c>
      <c r="O63" s="104">
        <f>IF(ISNUMBER(M63), $B64 * N63, "")</f>
        <v>1626.0162601625959</v>
      </c>
      <c r="Q63" s="208"/>
      <c r="R63" s="209"/>
      <c r="S63" s="210"/>
    </row>
    <row r="64" spans="1:19" ht="17.25" customHeight="1" thickBot="1">
      <c r="A64" s="132" t="s">
        <v>271</v>
      </c>
      <c r="B64" s="269">
        <f>$B$37</f>
        <v>100000</v>
      </c>
      <c r="C64" s="270"/>
      <c r="D64" s="26" t="s">
        <v>272</v>
      </c>
      <c r="E64" s="27">
        <f>IF(COUNT(E44:E63), SUM(E44:E63) / COUNT(E44:E63), 0)</f>
        <v>-2.8403230153549897E-2</v>
      </c>
      <c r="F64" s="28">
        <f>SUM(F44:F63)</f>
        <v>-56806.460307099791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1.6420300971732526E-3</v>
      </c>
      <c r="L64" s="28">
        <f>SUM(L44:L63)</f>
        <v>3284.0601943465058</v>
      </c>
      <c r="M64" s="26" t="s">
        <v>272</v>
      </c>
      <c r="N64" s="27">
        <f>IF(COUNT(N44:N63), SUM(N44:N63) / COUNT(N44:N63), 0)</f>
        <v>5.7033586096568705E-3</v>
      </c>
      <c r="O64" s="28">
        <f>SUM(O44:O63)</f>
        <v>11406.717219313739</v>
      </c>
      <c r="Q64" s="211"/>
      <c r="R64" s="212"/>
      <c r="S64" s="213"/>
    </row>
    <row r="65" spans="1:19" ht="17.25" customHeight="1"/>
    <row r="66" spans="1:19" ht="17.25" customHeight="1" thickBot="1"/>
    <row r="67" spans="1:19" ht="17.25" thickBot="1">
      <c r="A67" s="227" t="s">
        <v>45</v>
      </c>
      <c r="B67" s="228"/>
      <c r="C67" s="228"/>
      <c r="D67" s="228"/>
      <c r="E67" s="228"/>
      <c r="F67" s="228"/>
      <c r="G67" s="228"/>
      <c r="H67" s="228"/>
      <c r="I67" s="228"/>
      <c r="J67" s="228"/>
      <c r="K67" s="228"/>
      <c r="L67" s="228"/>
      <c r="M67" s="228"/>
      <c r="N67" s="228"/>
      <c r="O67" s="229"/>
      <c r="Q67" s="226"/>
      <c r="R67" s="226"/>
      <c r="S67" s="226"/>
    </row>
    <row r="68" spans="1:19" ht="17.25" thickBot="1">
      <c r="A68" s="197" t="s">
        <v>268</v>
      </c>
      <c r="B68" s="227" t="s">
        <v>49</v>
      </c>
      <c r="C68" s="229"/>
      <c r="D68" s="227" t="s">
        <v>58</v>
      </c>
      <c r="E68" s="228"/>
      <c r="F68" s="229"/>
      <c r="G68" s="230">
        <f>_xlfn.IFNA(VLOOKUP(B68, 현재가테이블!$B$2:$D$200, 2, FALSE), "-")</f>
        <v>39916000</v>
      </c>
      <c r="H68" s="231"/>
      <c r="I68" s="232"/>
      <c r="J68" s="227" t="s">
        <v>59</v>
      </c>
      <c r="K68" s="228"/>
      <c r="L68" s="229"/>
      <c r="M68" s="233">
        <f>_xlfn.IFNA(VLOOKUP(B68, 현재가테이블!$B$2:$D$200, 3, FALSE), "-")</f>
        <v>7.3184273000000003E-3</v>
      </c>
      <c r="N68" s="234"/>
      <c r="O68" s="235"/>
      <c r="Q68" s="226"/>
      <c r="R68" s="226"/>
      <c r="S68" s="226"/>
    </row>
    <row r="69" spans="1:19" ht="17.25" thickBot="1">
      <c r="A69" s="271" t="s">
        <v>55</v>
      </c>
      <c r="B69" s="267" t="str">
        <f>TEXT($G$1, "[$-ko-KR]yyyy-mm-dd(ddd) ") &amp; "오전 00:00"</f>
        <v>2021-07-11(일) 오전 00:00</v>
      </c>
      <c r="C69" s="268"/>
      <c r="D69" s="240" t="str">
        <f>TEXT($G$1, "[$-ko-KR]yyyy-mm-dd(ddd) ") &amp; "오후 14:00"</f>
        <v>2021-07-11(일) 오후 14:00</v>
      </c>
      <c r="E69" s="241"/>
      <c r="F69" s="242"/>
      <c r="G69" s="240" t="str">
        <f>TEXT($G$1, "[$-ko-KR]yyyy-mm-dd(ddd) ") &amp; "오후 19:00"</f>
        <v>2021-07-11(일) 오후 19:00</v>
      </c>
      <c r="H69" s="241"/>
      <c r="I69" s="242"/>
      <c r="J69" s="240" t="str">
        <f>TEXT($G$1, "[$-ko-KR]yyyy-mm-dd(ddd) ") &amp; "오후 21:00"</f>
        <v>2021-07-11(일) 오후 21:00</v>
      </c>
      <c r="K69" s="241"/>
      <c r="L69" s="242"/>
      <c r="M69" s="240" t="str">
        <f>TEXT($G$1+1, "[$-ko-KR]yyyy-mm-dd(ddd) ") &amp; "오전 00:00"</f>
        <v>2021-07-12(월) 오전 00:00</v>
      </c>
      <c r="N69" s="241"/>
      <c r="O69" s="242"/>
      <c r="Q69" s="226"/>
      <c r="R69" s="226"/>
      <c r="S69" s="226"/>
    </row>
    <row r="70" spans="1:19" ht="17.25" thickBot="1">
      <c r="A70" s="27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8" t="s">
        <v>58</v>
      </c>
      <c r="H70" s="199" t="s">
        <v>269</v>
      </c>
      <c r="I70" s="20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6"/>
      <c r="R70" s="216"/>
      <c r="S70" s="216"/>
    </row>
    <row r="71" spans="1:19" ht="17.25" thickBot="1">
      <c r="A71" s="123" t="s">
        <v>61</v>
      </c>
      <c r="B71" s="124">
        <v>916</v>
      </c>
      <c r="C71" s="76">
        <v>0.1184371184</v>
      </c>
      <c r="D71" s="13">
        <v>870</v>
      </c>
      <c r="E71" s="14">
        <f>IF(ISNUMBER(D71), (D71 - $B71) / $B71, "")</f>
        <v>-5.0218340611353711E-2</v>
      </c>
      <c r="F71" s="16">
        <f>IF(ISNUMBER(D71), $B91 * E71, "")</f>
        <v>-5021.8340611353715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865</v>
      </c>
      <c r="K71" s="14">
        <f>IF(ISNUMBER(J71), (J71 - $B71) / $B71, "")</f>
        <v>-5.5676855895196505E-2</v>
      </c>
      <c r="L71" s="16">
        <f>IF(ISNUMBER(J71), $B91 * K71, "")</f>
        <v>-5567.6855895196504</v>
      </c>
      <c r="M71" s="29">
        <v>870</v>
      </c>
      <c r="N71" s="14">
        <f>IF(ISNUMBER(M71), (M71 - $B71) / $B71, "")</f>
        <v>-5.0218340611353711E-2</v>
      </c>
      <c r="O71" s="16">
        <f>IF(ISNUMBER(M71), $B91 * N71, "")</f>
        <v>-5021.8340611353715</v>
      </c>
      <c r="Q71" s="226"/>
      <c r="R71" s="226"/>
      <c r="S71" s="226"/>
    </row>
    <row r="72" spans="1:19" ht="17.25" thickBot="1">
      <c r="A72" s="125" t="s">
        <v>237</v>
      </c>
      <c r="B72" s="126">
        <v>459</v>
      </c>
      <c r="C72" s="77">
        <v>5.27522936E-2</v>
      </c>
      <c r="D72" s="15">
        <v>491</v>
      </c>
      <c r="E72" s="32">
        <f t="shared" ref="E72:E75" si="30">IF(ISNUMBER(D72), (D72 - $B72) / $B72, "")</f>
        <v>6.9716775599128547E-2</v>
      </c>
      <c r="F72" s="18">
        <f>IF(ISNUMBER(D72), $B91 * E72, "")</f>
        <v>6971.677559912855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489</v>
      </c>
      <c r="K72" s="32">
        <f t="shared" ref="K72:K75" si="32">IF(ISNUMBER(J72), (J72 - $B72) / $B72, "")</f>
        <v>6.535947712418301E-2</v>
      </c>
      <c r="L72" s="18">
        <f>IF(ISNUMBER(J72), $B91 * K72, "")</f>
        <v>6535.9477124183013</v>
      </c>
      <c r="M72" s="31">
        <v>489</v>
      </c>
      <c r="N72" s="32">
        <f t="shared" ref="N72:N75" si="33">IF(ISNUMBER(M72), (M72 - $B72) / $B72, "")</f>
        <v>6.535947712418301E-2</v>
      </c>
      <c r="O72" s="18">
        <f>IF(ISNUMBER(M72), $B91 * N72, "")</f>
        <v>6535.9477124183013</v>
      </c>
      <c r="Q72" s="226"/>
      <c r="R72" s="226"/>
      <c r="S72" s="226"/>
    </row>
    <row r="73" spans="1:19" ht="17.25" thickBot="1">
      <c r="A73" s="125" t="s">
        <v>110</v>
      </c>
      <c r="B73" s="126">
        <v>119</v>
      </c>
      <c r="C73" s="77">
        <v>4.3859649100000002E-2</v>
      </c>
      <c r="D73" s="15">
        <v>118</v>
      </c>
      <c r="E73" s="32">
        <f t="shared" si="30"/>
        <v>-8.4033613445378148E-3</v>
      </c>
      <c r="F73" s="18">
        <f>IF(ISNUMBER(D73), $B91 * E73, "")</f>
        <v>-840.33613445378148</v>
      </c>
      <c r="G73" s="31"/>
      <c r="H73" s="32" t="str">
        <f t="shared" si="31"/>
        <v/>
      </c>
      <c r="I73" s="101" t="str">
        <f>IF(ISNUMBER(G73), $B91 * H73, "")</f>
        <v/>
      </c>
      <c r="J73" s="15">
        <v>121</v>
      </c>
      <c r="K73" s="32">
        <f t="shared" si="32"/>
        <v>1.680672268907563E-2</v>
      </c>
      <c r="L73" s="18">
        <f>IF(ISNUMBER(J73), $B91 * K73, "")</f>
        <v>1680.672268907563</v>
      </c>
      <c r="M73" s="31">
        <v>122</v>
      </c>
      <c r="N73" s="32">
        <f t="shared" si="33"/>
        <v>2.5210084033613446E-2</v>
      </c>
      <c r="O73" s="18">
        <f>IF(ISNUMBER(M73), $B91 * N73, "")</f>
        <v>2521.0084033613448</v>
      </c>
      <c r="Q73" s="216"/>
      <c r="R73" s="216"/>
      <c r="S73" s="216"/>
    </row>
    <row r="74" spans="1:19" ht="17.25" thickBot="1">
      <c r="A74" s="125" t="s">
        <v>114</v>
      </c>
      <c r="B74" s="126">
        <v>607</v>
      </c>
      <c r="C74" s="77">
        <v>4.2955326500000002E-2</v>
      </c>
      <c r="D74" s="15">
        <v>551</v>
      </c>
      <c r="E74" s="32">
        <f t="shared" si="30"/>
        <v>-9.2257001647446463E-2</v>
      </c>
      <c r="F74" s="18">
        <f>IF(ISNUMBER(D74), $B91 * E74, "")</f>
        <v>-9225.7001647446468</v>
      </c>
      <c r="G74" s="31"/>
      <c r="H74" s="32" t="str">
        <f t="shared" si="31"/>
        <v/>
      </c>
      <c r="I74" s="101" t="str">
        <f>IF(ISNUMBER(G74), $B91 * H74, "")</f>
        <v/>
      </c>
      <c r="J74" s="15">
        <v>564</v>
      </c>
      <c r="K74" s="32">
        <f t="shared" si="32"/>
        <v>-7.0840197693574955E-2</v>
      </c>
      <c r="L74" s="18">
        <f>IF(ISNUMBER(J74), $B91 * K74, "")</f>
        <v>-7084.0197693574955</v>
      </c>
      <c r="M74" s="31">
        <v>562</v>
      </c>
      <c r="N74" s="32">
        <f t="shared" si="33"/>
        <v>-7.4135090609555185E-2</v>
      </c>
      <c r="O74" s="18">
        <f>IF(ISNUMBER(M74), $B91 * N74, "")</f>
        <v>-7413.5090609555182</v>
      </c>
      <c r="Q74" s="216"/>
      <c r="R74" s="216"/>
      <c r="S74" s="216"/>
    </row>
    <row r="75" spans="1:19" ht="17.25" thickBot="1">
      <c r="A75" s="127" t="s">
        <v>222</v>
      </c>
      <c r="B75" s="128">
        <v>107</v>
      </c>
      <c r="C75" s="78">
        <v>2.88461538E-2</v>
      </c>
      <c r="D75" s="20">
        <v>106</v>
      </c>
      <c r="E75" s="21">
        <f t="shared" si="30"/>
        <v>-9.3457943925233638E-3</v>
      </c>
      <c r="F75" s="22">
        <f>IF(ISNUMBER(D75), $B91 * E75, "")</f>
        <v>-934.57943925233633</v>
      </c>
      <c r="G75" s="30"/>
      <c r="H75" s="21" t="str">
        <f t="shared" si="31"/>
        <v/>
      </c>
      <c r="I75" s="105" t="str">
        <f>IF(ISNUMBER(G75), $B91 * H75, "")</f>
        <v/>
      </c>
      <c r="J75" s="20">
        <v>107</v>
      </c>
      <c r="K75" s="21">
        <f t="shared" si="32"/>
        <v>0</v>
      </c>
      <c r="L75" s="22">
        <f>IF(ISNUMBER(J75), $B91 * K75, "")</f>
        <v>0</v>
      </c>
      <c r="M75" s="30">
        <v>109</v>
      </c>
      <c r="N75" s="21">
        <f t="shared" si="33"/>
        <v>1.8691588785046728E-2</v>
      </c>
      <c r="O75" s="22">
        <f>IF(ISNUMBER(M75), $B91 * N75, "")</f>
        <v>1869.1588785046727</v>
      </c>
      <c r="Q75" s="216"/>
      <c r="R75" s="216"/>
      <c r="S75" s="216"/>
    </row>
    <row r="76" spans="1:19" ht="17.25" thickBot="1">
      <c r="A76" s="125" t="s">
        <v>86</v>
      </c>
      <c r="B76" s="129">
        <v>306</v>
      </c>
      <c r="C76" s="80">
        <v>2.3411371199999999E-2</v>
      </c>
      <c r="D76" s="106">
        <v>300</v>
      </c>
      <c r="E76" s="107">
        <f>IF(ISNUMBER(D76), (D76 - $B76) / $B76, "")</f>
        <v>-1.9607843137254902E-2</v>
      </c>
      <c r="F76" s="108">
        <f>IF(ISNUMBER(D76), $B91 * E76, "")</f>
        <v>-1960.7843137254902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302</v>
      </c>
      <c r="K76" s="107">
        <f>IF(ISNUMBER(J76), (J76 - $B76) / $B76, "")</f>
        <v>-1.3071895424836602E-2</v>
      </c>
      <c r="L76" s="108">
        <f>IF(ISNUMBER(J76), $B91 * K76, "")</f>
        <v>-1307.1895424836603</v>
      </c>
      <c r="M76" s="109">
        <v>305</v>
      </c>
      <c r="N76" s="107">
        <f>IF(ISNUMBER(M76), (M76 - $B76) / $B76, "")</f>
        <v>-3.2679738562091504E-3</v>
      </c>
      <c r="O76" s="108">
        <f>IF(ISNUMBER(M76), $B91 * N76, "")</f>
        <v>-326.79738562091507</v>
      </c>
      <c r="Q76" s="216"/>
      <c r="R76" s="216"/>
      <c r="S76" s="216"/>
    </row>
    <row r="77" spans="1:19" ht="17.25" thickBot="1">
      <c r="A77" s="125" t="s">
        <v>166</v>
      </c>
      <c r="B77" s="126">
        <v>138</v>
      </c>
      <c r="C77" s="77">
        <v>2.2222222199999999E-2</v>
      </c>
      <c r="D77" s="15">
        <v>130</v>
      </c>
      <c r="E77" s="32">
        <f t="shared" ref="E77:E80" si="34">IF(ISNUMBER(D77), (D77 - $B77) / $B77, "")</f>
        <v>-5.7971014492753624E-2</v>
      </c>
      <c r="F77" s="18">
        <f>IF(ISNUMBER(D77), $B91 * E77, "")</f>
        <v>-5797.101449275362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137</v>
      </c>
      <c r="K77" s="32">
        <f t="shared" ref="K77:K80" si="36">IF(ISNUMBER(J77), (J77 - $B77) / $B77, "")</f>
        <v>-7.246376811594203E-3</v>
      </c>
      <c r="L77" s="18">
        <f>IF(ISNUMBER(J77), $B91 * K77, "")</f>
        <v>-724.63768115942025</v>
      </c>
      <c r="M77" s="31">
        <v>139</v>
      </c>
      <c r="N77" s="32">
        <f t="shared" ref="N77:N80" si="37">IF(ISNUMBER(M77), (M77 - $B77) / $B77, "")</f>
        <v>7.246376811594203E-3</v>
      </c>
      <c r="O77" s="18">
        <f>IF(ISNUMBER(M77), $B91 * N77, "")</f>
        <v>724.63768115942025</v>
      </c>
      <c r="Q77" s="216"/>
      <c r="R77" s="216"/>
      <c r="S77" s="216"/>
    </row>
    <row r="78" spans="1:19" ht="17.25" thickBot="1">
      <c r="A78" s="125" t="s">
        <v>233</v>
      </c>
      <c r="B78" s="126">
        <v>364</v>
      </c>
      <c r="C78" s="77">
        <v>1.39275766E-2</v>
      </c>
      <c r="D78" s="15">
        <v>364</v>
      </c>
      <c r="E78" s="32">
        <f t="shared" si="34"/>
        <v>0</v>
      </c>
      <c r="F78" s="18">
        <f>IF(ISNUMBER(D78), $B91 * E78, "")</f>
        <v>0</v>
      </c>
      <c r="G78" s="31"/>
      <c r="H78" s="32" t="str">
        <f t="shared" si="35"/>
        <v/>
      </c>
      <c r="I78" s="101" t="str">
        <f>IF(ISNUMBER(G78), $B91 * H78, "")</f>
        <v/>
      </c>
      <c r="J78" s="15">
        <v>370</v>
      </c>
      <c r="K78" s="32">
        <f t="shared" si="36"/>
        <v>1.6483516483516484E-2</v>
      </c>
      <c r="L78" s="18">
        <f>IF(ISNUMBER(J78), $B91 * K78, "")</f>
        <v>1648.3516483516485</v>
      </c>
      <c r="M78" s="31">
        <v>372</v>
      </c>
      <c r="N78" s="32">
        <f t="shared" si="37"/>
        <v>2.197802197802198E-2</v>
      </c>
      <c r="O78" s="18">
        <f>IF(ISNUMBER(M78), $B91 * N78, "")</f>
        <v>2197.802197802198</v>
      </c>
      <c r="Q78" s="216"/>
      <c r="R78" s="216"/>
      <c r="S78" s="216"/>
    </row>
    <row r="79" spans="1:19" ht="17.25" thickBot="1">
      <c r="A79" s="125" t="s">
        <v>220</v>
      </c>
      <c r="B79" s="126">
        <v>169</v>
      </c>
      <c r="C79" s="77">
        <v>0</v>
      </c>
      <c r="D79" s="15">
        <v>164</v>
      </c>
      <c r="E79" s="32">
        <f t="shared" si="34"/>
        <v>-2.9585798816568046E-2</v>
      </c>
      <c r="F79" s="18">
        <f>IF(ISNUMBER(D79), $B91 * E79, "")</f>
        <v>-2958.5798816568044</v>
      </c>
      <c r="G79" s="31"/>
      <c r="H79" s="32" t="str">
        <f t="shared" si="35"/>
        <v/>
      </c>
      <c r="I79" s="101" t="str">
        <f>IF(ISNUMBER(G79), $B91 * H79, "")</f>
        <v/>
      </c>
      <c r="J79" s="15">
        <v>169</v>
      </c>
      <c r="K79" s="32">
        <f t="shared" si="36"/>
        <v>0</v>
      </c>
      <c r="L79" s="18">
        <f>IF(ISNUMBER(J79), $B91 * K79, "")</f>
        <v>0</v>
      </c>
      <c r="M79" s="31">
        <v>169</v>
      </c>
      <c r="N79" s="32">
        <f t="shared" si="37"/>
        <v>0</v>
      </c>
      <c r="O79" s="18">
        <f>IF(ISNUMBER(M79), $B91 * N79, "")</f>
        <v>0</v>
      </c>
      <c r="Q79" s="33"/>
      <c r="R79" s="33"/>
    </row>
    <row r="80" spans="1:19" ht="17.25" thickBot="1">
      <c r="A80" s="130" t="s">
        <v>118</v>
      </c>
      <c r="B80" s="131">
        <v>140</v>
      </c>
      <c r="C80" s="79">
        <v>-7.0921986000000003E-3</v>
      </c>
      <c r="D80" s="24">
        <v>141</v>
      </c>
      <c r="E80" s="25">
        <f t="shared" si="34"/>
        <v>7.1428571428571426E-3</v>
      </c>
      <c r="F80" s="104">
        <f>IF(ISNUMBER(D80), $B91 * E80, "")</f>
        <v>714.28571428571422</v>
      </c>
      <c r="G80" s="102"/>
      <c r="H80" s="25" t="str">
        <f t="shared" si="35"/>
        <v/>
      </c>
      <c r="I80" s="103" t="str">
        <f>IF(ISNUMBER(G80), $B91 * H80, "")</f>
        <v/>
      </c>
      <c r="J80" s="24">
        <v>144</v>
      </c>
      <c r="K80" s="25">
        <f t="shared" si="36"/>
        <v>2.8571428571428571E-2</v>
      </c>
      <c r="L80" s="104">
        <f>IF(ISNUMBER(J80), $B91 * K80, "")</f>
        <v>2857.1428571428569</v>
      </c>
      <c r="M80" s="102">
        <v>149</v>
      </c>
      <c r="N80" s="25">
        <f t="shared" si="37"/>
        <v>6.4285714285714279E-2</v>
      </c>
      <c r="O80" s="104">
        <f>IF(ISNUMBER(M80), $B91 * N80, "")</f>
        <v>6428.5714285714275</v>
      </c>
      <c r="Q80" s="217"/>
      <c r="R80" s="218"/>
      <c r="S80" s="219"/>
    </row>
    <row r="81" spans="1:19">
      <c r="A81" s="123" t="s">
        <v>206</v>
      </c>
      <c r="B81" s="124">
        <v>216</v>
      </c>
      <c r="C81" s="76">
        <v>-9.1743119000000008E-3</v>
      </c>
      <c r="D81" s="13">
        <v>222</v>
      </c>
      <c r="E81" s="14">
        <f>IF(ISNUMBER(D81), (D81 - $B81) / $B81, "")</f>
        <v>2.7777777777777776E-2</v>
      </c>
      <c r="F81" s="16">
        <f>IF(ISNUMBER(D81), $B91 * E81, "")</f>
        <v>2777.7777777777778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224</v>
      </c>
      <c r="K81" s="14">
        <f>IF(ISNUMBER(J81), (J81 - $B81) / $B81, "")</f>
        <v>3.7037037037037035E-2</v>
      </c>
      <c r="L81" s="16">
        <f>IF(ISNUMBER(J81), $B91 * K81, "")</f>
        <v>3703.7037037037035</v>
      </c>
      <c r="M81" s="29">
        <v>226</v>
      </c>
      <c r="N81" s="14">
        <f>IF(ISNUMBER(M81), (M81 - $B81) / $B81, "")</f>
        <v>4.6296296296296294E-2</v>
      </c>
      <c r="O81" s="16">
        <f>IF(ISNUMBER(M81), $B91 * N81, "")</f>
        <v>4629.6296296296296</v>
      </c>
      <c r="Q81" s="220"/>
      <c r="R81" s="221"/>
      <c r="S81" s="222"/>
    </row>
    <row r="82" spans="1:19" ht="17.25" thickBot="1">
      <c r="A82" s="125" t="s">
        <v>218</v>
      </c>
      <c r="B82" s="126">
        <v>102</v>
      </c>
      <c r="C82" s="77">
        <v>-9.7087379000000001E-3</v>
      </c>
      <c r="D82" s="15">
        <v>98.3</v>
      </c>
      <c r="E82" s="32">
        <f t="shared" ref="E82:E85" si="38">IF(ISNUMBER(D82), (D82 - $B82) / $B82, "")</f>
        <v>-3.6274509803921599E-2</v>
      </c>
      <c r="F82" s="18">
        <f>IF(ISNUMBER(D82), $B91 * E82, "")</f>
        <v>-3627.4509803921601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103</v>
      </c>
      <c r="K82" s="32">
        <f t="shared" ref="K82:K85" si="40">IF(ISNUMBER(J82), (J82 - $B82) / $B82, "")</f>
        <v>9.8039215686274508E-3</v>
      </c>
      <c r="L82" s="18">
        <f>IF(ISNUMBER(J82), $B91 * K82, "")</f>
        <v>980.39215686274508</v>
      </c>
      <c r="M82" s="31">
        <v>104</v>
      </c>
      <c r="N82" s="32">
        <f t="shared" ref="N82:N85" si="41">IF(ISNUMBER(M82), (M82 - $B82) / $B82, "")</f>
        <v>1.9607843137254902E-2</v>
      </c>
      <c r="O82" s="18">
        <f>IF(ISNUMBER(M82), $B91 * N82, "")</f>
        <v>1960.7843137254902</v>
      </c>
      <c r="Q82" s="223"/>
      <c r="R82" s="224"/>
      <c r="S82" s="225"/>
    </row>
    <row r="83" spans="1:19" ht="17.25" thickBot="1">
      <c r="A83" s="125" t="s">
        <v>231</v>
      </c>
      <c r="B83" s="126">
        <v>153</v>
      </c>
      <c r="C83" s="77">
        <v>-1.2903225799999999E-2</v>
      </c>
      <c r="D83" s="15">
        <v>149</v>
      </c>
      <c r="E83" s="32">
        <f t="shared" si="38"/>
        <v>-2.6143790849673203E-2</v>
      </c>
      <c r="F83" s="18">
        <f>IF(ISNUMBER(D83), $B91 * E83, "")</f>
        <v>-2614.3790849673205</v>
      </c>
      <c r="G83" s="31"/>
      <c r="H83" s="32" t="str">
        <f t="shared" si="39"/>
        <v/>
      </c>
      <c r="I83" s="101" t="str">
        <f>IF(ISNUMBER(G83), $B91 * H83, "")</f>
        <v/>
      </c>
      <c r="J83" s="15">
        <v>151</v>
      </c>
      <c r="K83" s="32">
        <f t="shared" si="40"/>
        <v>-1.3071895424836602E-2</v>
      </c>
      <c r="L83" s="18">
        <f>IF(ISNUMBER(J83), $B91 * K83, "")</f>
        <v>-1307.1895424836603</v>
      </c>
      <c r="M83" s="31">
        <v>153</v>
      </c>
      <c r="N83" s="32">
        <f t="shared" si="41"/>
        <v>0</v>
      </c>
      <c r="O83" s="18">
        <f>IF(ISNUMBER(M83), $B91 * N83, "")</f>
        <v>0</v>
      </c>
      <c r="Q83" s="216"/>
      <c r="R83" s="216"/>
      <c r="S83" s="216"/>
    </row>
    <row r="84" spans="1:19" ht="17.25" thickBot="1">
      <c r="A84" s="125" t="s">
        <v>102</v>
      </c>
      <c r="B84" s="126">
        <v>813</v>
      </c>
      <c r="C84" s="77">
        <v>-1.4545454500000001E-2</v>
      </c>
      <c r="D84" s="15">
        <v>804</v>
      </c>
      <c r="E84" s="32">
        <f t="shared" si="38"/>
        <v>-1.107011070110701E-2</v>
      </c>
      <c r="F84" s="18">
        <f>IF(ISNUMBER(D84), $B91 * E84, "")</f>
        <v>-1107.011070110701</v>
      </c>
      <c r="G84" s="31"/>
      <c r="H84" s="32" t="str">
        <f t="shared" si="39"/>
        <v/>
      </c>
      <c r="I84" s="101" t="str">
        <f>IF(ISNUMBER(G84), $B91 * H84, "")</f>
        <v/>
      </c>
      <c r="J84" s="15">
        <v>820</v>
      </c>
      <c r="K84" s="32">
        <f t="shared" si="40"/>
        <v>8.6100861008610082E-3</v>
      </c>
      <c r="L84" s="18">
        <f>IF(ISNUMBER(J84), $B91 * K84, "")</f>
        <v>861.00861008610082</v>
      </c>
      <c r="M84" s="31">
        <v>831</v>
      </c>
      <c r="N84" s="32">
        <f t="shared" si="41"/>
        <v>2.2140221402214021E-2</v>
      </c>
      <c r="O84" s="18">
        <f>IF(ISNUMBER(M84), $B91 * N84, "")</f>
        <v>2214.022140221402</v>
      </c>
      <c r="Q84" s="226"/>
      <c r="R84" s="226"/>
      <c r="S84" s="226"/>
    </row>
    <row r="85" spans="1:19" ht="17.25" thickBot="1">
      <c r="A85" s="127" t="s">
        <v>104</v>
      </c>
      <c r="B85" s="128">
        <v>973</v>
      </c>
      <c r="C85" s="78">
        <v>-1.5182186199999999E-2</v>
      </c>
      <c r="D85" s="20">
        <v>910</v>
      </c>
      <c r="E85" s="21">
        <f t="shared" si="38"/>
        <v>-6.4748201438848921E-2</v>
      </c>
      <c r="F85" s="22">
        <f>IF(ISNUMBER(D85), $B91 * E85, "")</f>
        <v>-6474.8201438848919</v>
      </c>
      <c r="G85" s="30"/>
      <c r="H85" s="21" t="str">
        <f t="shared" si="39"/>
        <v/>
      </c>
      <c r="I85" s="105" t="str">
        <f>IF(ISNUMBER(G85), $B91 * H85, "")</f>
        <v/>
      </c>
      <c r="J85" s="20">
        <v>916</v>
      </c>
      <c r="K85" s="21">
        <f t="shared" si="40"/>
        <v>-5.858170606372045E-2</v>
      </c>
      <c r="L85" s="22">
        <f>IF(ISNUMBER(J85), $B91 * K85, "")</f>
        <v>-5858.1706063720449</v>
      </c>
      <c r="M85" s="30">
        <v>936</v>
      </c>
      <c r="N85" s="21">
        <f t="shared" si="41"/>
        <v>-3.8026721479958892E-2</v>
      </c>
      <c r="O85" s="22">
        <f>IF(ISNUMBER(M85), $B91 * N85, "")</f>
        <v>-3802.6721479958892</v>
      </c>
      <c r="Q85" s="226"/>
      <c r="R85" s="226"/>
      <c r="S85" s="226"/>
    </row>
    <row r="86" spans="1:19" ht="17.25" thickBot="1">
      <c r="A86" s="125" t="s">
        <v>267</v>
      </c>
      <c r="B86" s="129">
        <v>254</v>
      </c>
      <c r="C86" s="80">
        <v>-1.5503876E-2</v>
      </c>
      <c r="D86" s="106">
        <v>251</v>
      </c>
      <c r="E86" s="107">
        <f>IF(ISNUMBER(D86), (D86 - $B86) / $B86, "")</f>
        <v>-1.1811023622047244E-2</v>
      </c>
      <c r="F86" s="108">
        <f>IF(ISNUMBER(D86), $B91 * E86, "")</f>
        <v>-1181.1023622047244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250</v>
      </c>
      <c r="K86" s="107">
        <f>IF(ISNUMBER(J86), (J86 - $B86) / $B86, "")</f>
        <v>-1.5748031496062992E-2</v>
      </c>
      <c r="L86" s="108">
        <f>IF(ISNUMBER(J86), $B91 * K86, "")</f>
        <v>-1574.8031496062993</v>
      </c>
      <c r="M86" s="109">
        <v>254</v>
      </c>
      <c r="N86" s="107">
        <f>IF(ISNUMBER(M86), (M86 - $B86) / $B86, "")</f>
        <v>0</v>
      </c>
      <c r="O86" s="108">
        <f>IF(ISNUMBER(M86), $B91 * N86, "")</f>
        <v>0</v>
      </c>
      <c r="Q86" s="216"/>
      <c r="R86" s="216"/>
      <c r="S86" s="216"/>
    </row>
    <row r="87" spans="1:19" ht="17.25" thickBot="1">
      <c r="A87" s="125" t="s">
        <v>255</v>
      </c>
      <c r="B87" s="126">
        <v>189</v>
      </c>
      <c r="C87" s="77">
        <v>-1.5625E-2</v>
      </c>
      <c r="D87" s="15">
        <v>186</v>
      </c>
      <c r="E87" s="32">
        <f t="shared" ref="E87:E90" si="42">IF(ISNUMBER(D87), (D87 - $B87) / $B87, "")</f>
        <v>-1.5873015873015872E-2</v>
      </c>
      <c r="F87" s="18">
        <f>IF(ISNUMBER(D87), $B91 * E87, "")</f>
        <v>-1587.3015873015872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190</v>
      </c>
      <c r="K87" s="32">
        <f t="shared" ref="K87:K90" si="44">IF(ISNUMBER(J87), (J87 - $B87) / $B87, "")</f>
        <v>5.2910052910052907E-3</v>
      </c>
      <c r="L87" s="18">
        <f>IF(ISNUMBER(J87), $B91 * K87, "")</f>
        <v>529.10052910052912</v>
      </c>
      <c r="M87" s="31">
        <v>190</v>
      </c>
      <c r="N87" s="32">
        <f t="shared" ref="N87:N90" si="45">IF(ISNUMBER(M87), (M87 - $B87) / $B87, "")</f>
        <v>5.2910052910052907E-3</v>
      </c>
      <c r="O87" s="18">
        <f>IF(ISNUMBER(M87), $B91 * N87, "")</f>
        <v>529.10052910052912</v>
      </c>
      <c r="Q87" s="216"/>
      <c r="R87" s="216"/>
      <c r="S87" s="216"/>
    </row>
    <row r="88" spans="1:19" ht="17.25" thickBot="1">
      <c r="A88" s="125" t="s">
        <v>51</v>
      </c>
      <c r="B88" s="126">
        <v>285</v>
      </c>
      <c r="C88" s="77">
        <v>-1.7241379300000002E-2</v>
      </c>
      <c r="D88" s="15">
        <v>286</v>
      </c>
      <c r="E88" s="32">
        <f t="shared" si="42"/>
        <v>3.5087719298245615E-3</v>
      </c>
      <c r="F88" s="18">
        <f>IF(ISNUMBER(D88), $B91 * E88, "")</f>
        <v>350.87719298245617</v>
      </c>
      <c r="G88" s="31"/>
      <c r="H88" s="32" t="str">
        <f t="shared" si="43"/>
        <v/>
      </c>
      <c r="I88" s="101" t="str">
        <f>IF(ISNUMBER(G88), $B91 * H88, "")</f>
        <v/>
      </c>
      <c r="J88" s="15">
        <v>287</v>
      </c>
      <c r="K88" s="32">
        <f t="shared" si="44"/>
        <v>7.0175438596491229E-3</v>
      </c>
      <c r="L88" s="18">
        <f>IF(ISNUMBER(J88), $B91 * K88, "")</f>
        <v>701.75438596491233</v>
      </c>
      <c r="M88" s="31">
        <v>289</v>
      </c>
      <c r="N88" s="32">
        <f t="shared" si="45"/>
        <v>1.4035087719298246E-2</v>
      </c>
      <c r="O88" s="18">
        <f>IF(ISNUMBER(M88), $B91 * N88, "")</f>
        <v>1403.5087719298247</v>
      </c>
      <c r="Q88" s="216"/>
      <c r="R88" s="216"/>
      <c r="S88" s="216"/>
    </row>
    <row r="89" spans="1:19">
      <c r="A89" s="125" t="s">
        <v>174</v>
      </c>
      <c r="B89" s="126">
        <v>213</v>
      </c>
      <c r="C89" s="77">
        <v>-1.84331797E-2</v>
      </c>
      <c r="D89" s="15">
        <v>226</v>
      </c>
      <c r="E89" s="32">
        <f t="shared" si="42"/>
        <v>6.1032863849765258E-2</v>
      </c>
      <c r="F89" s="18">
        <f>IF(ISNUMBER(D89), $B91 * E89, "")</f>
        <v>6103.2863849765254</v>
      </c>
      <c r="G89" s="31"/>
      <c r="H89" s="32" t="str">
        <f t="shared" si="43"/>
        <v/>
      </c>
      <c r="I89" s="101" t="str">
        <f>IF(ISNUMBER(G89), $B91 * H89, "")</f>
        <v/>
      </c>
      <c r="J89" s="15">
        <v>227</v>
      </c>
      <c r="K89" s="32">
        <f t="shared" si="44"/>
        <v>6.5727699530516437E-2</v>
      </c>
      <c r="L89" s="18">
        <f>IF(ISNUMBER(J89), $B91 * K89, "")</f>
        <v>6572.7699530516438</v>
      </c>
      <c r="M89" s="31">
        <v>226</v>
      </c>
      <c r="N89" s="32">
        <f t="shared" si="45"/>
        <v>6.1032863849765258E-2</v>
      </c>
      <c r="O89" s="18">
        <f>IF(ISNUMBER(M89), $B91 * N89, "")</f>
        <v>6103.2863849765254</v>
      </c>
      <c r="Q89" s="205"/>
      <c r="R89" s="206"/>
      <c r="S89" s="207"/>
    </row>
    <row r="90" spans="1:19" ht="17.25" thickBot="1">
      <c r="A90" s="130" t="s">
        <v>90</v>
      </c>
      <c r="B90" s="131">
        <v>737</v>
      </c>
      <c r="C90" s="79">
        <v>-1.86418109E-2</v>
      </c>
      <c r="D90" s="24">
        <v>733</v>
      </c>
      <c r="E90" s="25">
        <f t="shared" si="42"/>
        <v>-5.4274084124830389E-3</v>
      </c>
      <c r="F90" s="104">
        <f>IF(ISNUMBER(D90), $B91 * E90, "")</f>
        <v>-542.74084124830392</v>
      </c>
      <c r="G90" s="102"/>
      <c r="H90" s="25" t="str">
        <f t="shared" si="43"/>
        <v/>
      </c>
      <c r="I90" s="103" t="str">
        <f>IF(ISNUMBER(G90), $B91 * H90, "")</f>
        <v/>
      </c>
      <c r="J90" s="24">
        <v>738</v>
      </c>
      <c r="K90" s="25">
        <f t="shared" si="44"/>
        <v>1.3568521031207597E-3</v>
      </c>
      <c r="L90" s="104">
        <f>IF(ISNUMBER(J90), $B91 * K90, "")</f>
        <v>135.68521031207598</v>
      </c>
      <c r="M90" s="102">
        <v>740</v>
      </c>
      <c r="N90" s="25">
        <f t="shared" si="45"/>
        <v>4.0705563093622792E-3</v>
      </c>
      <c r="O90" s="104">
        <f>IF(ISNUMBER(M90), $B91 * N90, "")</f>
        <v>407.05563093622794</v>
      </c>
      <c r="Q90" s="208"/>
      <c r="R90" s="209"/>
      <c r="S90" s="210"/>
    </row>
    <row r="91" spans="1:19" ht="17.25" thickBot="1">
      <c r="A91" s="132" t="s">
        <v>271</v>
      </c>
      <c r="B91" s="269">
        <f>$B$37</f>
        <v>100000</v>
      </c>
      <c r="C91" s="270"/>
      <c r="D91" s="26" t="s">
        <v>272</v>
      </c>
      <c r="E91" s="27">
        <f>IF(COUNT(E71:E90), SUM(E71:E90) / COUNT(E71:E90), 0)</f>
        <v>-1.3477908442209075E-2</v>
      </c>
      <c r="F91" s="28">
        <f>SUM(F71:F90)</f>
        <v>-26955.816884418156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1.3914165774599244E-3</v>
      </c>
      <c r="L91" s="28">
        <f>SUM(L71:L90)</f>
        <v>2782.8331549198506</v>
      </c>
      <c r="M91" s="26" t="s">
        <v>272</v>
      </c>
      <c r="N91" s="27">
        <f>IF(COUNT(N71:N90), SUM(N71:N90) / COUNT(N71:N90), 0)</f>
        <v>1.0479850523314651E-2</v>
      </c>
      <c r="O91" s="28">
        <f>SUM(O71:O90)</f>
        <v>20959.7010466293</v>
      </c>
      <c r="Q91" s="211"/>
      <c r="R91" s="212"/>
      <c r="S91" s="213"/>
    </row>
    <row r="93" spans="1:19" ht="17.25" thickBot="1"/>
    <row r="94" spans="1:19" ht="17.25" thickBot="1">
      <c r="A94" s="227" t="s">
        <v>46</v>
      </c>
      <c r="B94" s="228"/>
      <c r="C94" s="228"/>
      <c r="D94" s="228"/>
      <c r="E94" s="228"/>
      <c r="F94" s="228"/>
      <c r="G94" s="228"/>
      <c r="H94" s="228"/>
      <c r="I94" s="228"/>
      <c r="J94" s="228"/>
      <c r="K94" s="228"/>
      <c r="L94" s="228"/>
      <c r="M94" s="228"/>
      <c r="N94" s="228"/>
      <c r="O94" s="229"/>
      <c r="Q94" s="226"/>
      <c r="R94" s="226"/>
      <c r="S94" s="226"/>
    </row>
    <row r="95" spans="1:19" ht="17.25" thickBot="1">
      <c r="A95" s="197" t="s">
        <v>268</v>
      </c>
      <c r="B95" s="227" t="s">
        <v>49</v>
      </c>
      <c r="C95" s="229"/>
      <c r="D95" s="227" t="s">
        <v>58</v>
      </c>
      <c r="E95" s="228"/>
      <c r="F95" s="229"/>
      <c r="G95" s="230">
        <f>_xlfn.IFNA(VLOOKUP(B95, 현재가테이블!$B$2:$D$200, 2, FALSE), "-")</f>
        <v>39916000</v>
      </c>
      <c r="H95" s="231"/>
      <c r="I95" s="232"/>
      <c r="J95" s="227" t="s">
        <v>59</v>
      </c>
      <c r="K95" s="228"/>
      <c r="L95" s="229"/>
      <c r="M95" s="233">
        <f>_xlfn.IFNA(VLOOKUP(B95, 현재가테이블!$B$2:$D$200, 3, FALSE), "-")</f>
        <v>7.3184273000000003E-3</v>
      </c>
      <c r="N95" s="234"/>
      <c r="O95" s="235"/>
      <c r="Q95" s="226"/>
      <c r="R95" s="226"/>
      <c r="S95" s="226"/>
    </row>
    <row r="96" spans="1:19" ht="17.25" thickBot="1">
      <c r="A96" s="271" t="s">
        <v>55</v>
      </c>
      <c r="B96" s="267" t="str">
        <f>TEXT($G$1, "[$-ko-KR]yyyy-mm-dd(ddd) ") &amp; "오전 00:00"</f>
        <v>2021-07-11(일) 오전 00:00</v>
      </c>
      <c r="C96" s="268"/>
      <c r="D96" s="240" t="str">
        <f>TEXT($G$1, "[$-ko-KR]yyyy-mm-dd(ddd) ") &amp; "오후 14:00"</f>
        <v>2021-07-11(일) 오후 14:00</v>
      </c>
      <c r="E96" s="241"/>
      <c r="F96" s="242"/>
      <c r="G96" s="240" t="str">
        <f>TEXT($G$1, "[$-ko-KR]yyyy-mm-dd(ddd) ") &amp; "오후 19:00"</f>
        <v>2021-07-11(일) 오후 19:00</v>
      </c>
      <c r="H96" s="241"/>
      <c r="I96" s="242"/>
      <c r="J96" s="240" t="str">
        <f>TEXT($G$1, "[$-ko-KR]yyyy-mm-dd(ddd) ") &amp; "오후 21:00"</f>
        <v>2021-07-11(일) 오후 21:00</v>
      </c>
      <c r="K96" s="241"/>
      <c r="L96" s="242"/>
      <c r="M96" s="240" t="str">
        <f>TEXT($G$1+1, "[$-ko-KR]yyyy-mm-dd(ddd) ") &amp; "오전 00:00"</f>
        <v>2021-07-12(월) 오전 00:00</v>
      </c>
      <c r="N96" s="241"/>
      <c r="O96" s="242"/>
      <c r="Q96" s="226"/>
      <c r="R96" s="226"/>
      <c r="S96" s="226"/>
    </row>
    <row r="97" spans="1:19" ht="17.25" thickBot="1">
      <c r="A97" s="27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8" t="s">
        <v>58</v>
      </c>
      <c r="H97" s="199" t="s">
        <v>269</v>
      </c>
      <c r="I97" s="20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6"/>
      <c r="R97" s="216"/>
      <c r="S97" s="216"/>
    </row>
    <row r="98" spans="1:19" ht="17.25" thickBot="1">
      <c r="A98" s="123" t="s">
        <v>198</v>
      </c>
      <c r="B98" s="124">
        <v>21100</v>
      </c>
      <c r="C98" s="76">
        <v>0.1728738188</v>
      </c>
      <c r="D98" s="13">
        <v>21410</v>
      </c>
      <c r="E98" s="14">
        <f>IF(ISNUMBER(D98), (D98 - $B98) / $B98, "")</f>
        <v>1.4691943127962086E-2</v>
      </c>
      <c r="F98" s="16">
        <f>IF(ISNUMBER(D98), $B118 * E98, "")</f>
        <v>1469.1943127962086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21800</v>
      </c>
      <c r="K98" s="14">
        <f>IF(ISNUMBER(J98), (J98 - $B98) / $B98, "")</f>
        <v>3.3175355450236969E-2</v>
      </c>
      <c r="L98" s="16">
        <f>IF(ISNUMBER(J98), $B118 * K98, "")</f>
        <v>3317.5355450236971</v>
      </c>
      <c r="M98" s="29">
        <v>21640</v>
      </c>
      <c r="N98" s="14">
        <f>IF(ISNUMBER(M98), (M98 - $B98) / $B98, "")</f>
        <v>2.5592417061611375E-2</v>
      </c>
      <c r="O98" s="16">
        <f>IF(ISNUMBER(M98), $B118 * N98, "")</f>
        <v>2559.2417061611377</v>
      </c>
      <c r="Q98" s="226"/>
      <c r="R98" s="226"/>
      <c r="S98" s="226"/>
    </row>
    <row r="99" spans="1:19" ht="17.25" thickBot="1">
      <c r="A99" s="125" t="s">
        <v>241</v>
      </c>
      <c r="B99" s="126">
        <v>56.9</v>
      </c>
      <c r="C99" s="77">
        <v>0.12450592890000001</v>
      </c>
      <c r="D99" s="15">
        <v>51.8</v>
      </c>
      <c r="E99" s="32">
        <f t="shared" ref="E99:E102" si="46">IF(ISNUMBER(D99), (D99 - $B99) / $B99, "")</f>
        <v>-8.9630931458699506E-2</v>
      </c>
      <c r="F99" s="18">
        <f>IF(ISNUMBER(D99), $B118 * E99, "")</f>
        <v>-8963.0931458699506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53.5</v>
      </c>
      <c r="K99" s="32">
        <f t="shared" ref="K99:K102" si="48">IF(ISNUMBER(J99), (J99 - $B99) / $B99, "")</f>
        <v>-5.9753954305799627E-2</v>
      </c>
      <c r="L99" s="18">
        <f>IF(ISNUMBER(J99), $B118 * K99, "")</f>
        <v>-5975.3954305799625</v>
      </c>
      <c r="M99" s="31">
        <v>53.9</v>
      </c>
      <c r="N99" s="32">
        <f t="shared" ref="N99:N102" si="49">IF(ISNUMBER(M99), (M99 - $B99) / $B99, "")</f>
        <v>-5.272407732864675E-2</v>
      </c>
      <c r="O99" s="18">
        <f>IF(ISNUMBER(M99), $B118 * N99, "")</f>
        <v>-5272.4077328646754</v>
      </c>
      <c r="Q99" s="226"/>
      <c r="R99" s="226"/>
      <c r="S99" s="226"/>
    </row>
    <row r="100" spans="1:19" ht="17.25" thickBot="1">
      <c r="A100" s="125" t="s">
        <v>61</v>
      </c>
      <c r="B100" s="126">
        <v>916</v>
      </c>
      <c r="C100" s="77">
        <v>0.1184371184</v>
      </c>
      <c r="D100" s="15">
        <v>870</v>
      </c>
      <c r="E100" s="32">
        <f t="shared" si="46"/>
        <v>-5.0218340611353711E-2</v>
      </c>
      <c r="F100" s="18">
        <f>IF(ISNUMBER(D100), $B118 * E100, "")</f>
        <v>-5021.8340611353715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865</v>
      </c>
      <c r="K100" s="32">
        <f t="shared" si="48"/>
        <v>-5.5676855895196505E-2</v>
      </c>
      <c r="L100" s="18">
        <f>IF(ISNUMBER(J100), $B118 * K100, "")</f>
        <v>-5567.6855895196504</v>
      </c>
      <c r="M100" s="31">
        <v>870</v>
      </c>
      <c r="N100" s="32">
        <f t="shared" si="49"/>
        <v>-5.0218340611353711E-2</v>
      </c>
      <c r="O100" s="18">
        <f>IF(ISNUMBER(M100), $B118 * N100, "")</f>
        <v>-5021.8340611353715</v>
      </c>
      <c r="Q100" s="216"/>
      <c r="R100" s="216"/>
      <c r="S100" s="216"/>
    </row>
    <row r="101" spans="1:19" ht="17.25" thickBot="1">
      <c r="A101" s="125" t="s">
        <v>168</v>
      </c>
      <c r="B101" s="126">
        <v>1565</v>
      </c>
      <c r="C101" s="77">
        <v>0.1138790036</v>
      </c>
      <c r="D101" s="15">
        <v>1650</v>
      </c>
      <c r="E101" s="32">
        <f t="shared" si="46"/>
        <v>5.4313099041533544E-2</v>
      </c>
      <c r="F101" s="18">
        <f>IF(ISNUMBER(D101), $B118 * E101, "")</f>
        <v>5431.3099041533542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1590</v>
      </c>
      <c r="K101" s="32">
        <f t="shared" si="48"/>
        <v>1.5974440894568689E-2</v>
      </c>
      <c r="L101" s="18">
        <f>IF(ISNUMBER(J101), $B118 * K101, "")</f>
        <v>1597.4440894568691</v>
      </c>
      <c r="M101" s="31">
        <v>1560</v>
      </c>
      <c r="N101" s="32">
        <f t="shared" si="49"/>
        <v>-3.1948881789137379E-3</v>
      </c>
      <c r="O101" s="18">
        <f>IF(ISNUMBER(M101), $B118 * N101, "")</f>
        <v>-319.4888178913738</v>
      </c>
      <c r="Q101" s="216"/>
      <c r="R101" s="216"/>
      <c r="S101" s="216"/>
    </row>
    <row r="102" spans="1:19" ht="17.25" thickBot="1">
      <c r="A102" s="127" t="s">
        <v>154</v>
      </c>
      <c r="B102" s="128">
        <v>21830</v>
      </c>
      <c r="C102" s="78">
        <v>0.1126401631</v>
      </c>
      <c r="D102" s="20">
        <v>19340</v>
      </c>
      <c r="E102" s="21">
        <f t="shared" si="46"/>
        <v>-0.11406321575813101</v>
      </c>
      <c r="F102" s="22">
        <f>IF(ISNUMBER(D102), $B118 * E102, "")</f>
        <v>-11406.321575813101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20540</v>
      </c>
      <c r="K102" s="21">
        <f t="shared" si="48"/>
        <v>-5.9092991296381125E-2</v>
      </c>
      <c r="L102" s="22">
        <f>IF(ISNUMBER(J102), $B118 * K102, "")</f>
        <v>-5909.2991296381124</v>
      </c>
      <c r="M102" s="30">
        <v>20740</v>
      </c>
      <c r="N102" s="21">
        <f t="shared" si="49"/>
        <v>-4.9931287219422811E-2</v>
      </c>
      <c r="O102" s="22">
        <f>IF(ISNUMBER(M102), $B118 * N102, "")</f>
        <v>-4993.1287219422811</v>
      </c>
      <c r="Q102" s="216"/>
      <c r="R102" s="216"/>
      <c r="S102" s="216"/>
    </row>
    <row r="103" spans="1:19" ht="17.25" thickBot="1">
      <c r="A103" s="125" t="s">
        <v>210</v>
      </c>
      <c r="B103" s="129">
        <v>9.8800000000000008</v>
      </c>
      <c r="C103" s="80">
        <v>9.1712707199999993E-2</v>
      </c>
      <c r="D103" s="106">
        <v>9.27</v>
      </c>
      <c r="E103" s="107">
        <f>IF(ISNUMBER(D103), (D103 - $B103) / $B103, "")</f>
        <v>-6.1740890688259227E-2</v>
      </c>
      <c r="F103" s="108">
        <f>IF(ISNUMBER(D103), $B118 * E103, "")</f>
        <v>-6174.0890688259224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9.5399999999999991</v>
      </c>
      <c r="K103" s="107">
        <f>IF(ISNUMBER(J103), (J103 - $B103) / $B103, "")</f>
        <v>-3.441295546558721E-2</v>
      </c>
      <c r="L103" s="108">
        <f>IF(ISNUMBER(J103), $B118 * K103, "")</f>
        <v>-3441.2955465587211</v>
      </c>
      <c r="M103" s="109">
        <v>9.5</v>
      </c>
      <c r="N103" s="107">
        <f>IF(ISNUMBER(M103), (M103 - $B103) / $B103, "")</f>
        <v>-3.846153846153854E-2</v>
      </c>
      <c r="O103" s="108">
        <f>IF(ISNUMBER(M103), $B118 * N103, "")</f>
        <v>-3846.1538461538539</v>
      </c>
      <c r="Q103" s="216"/>
      <c r="R103" s="216"/>
      <c r="S103" s="216"/>
    </row>
    <row r="104" spans="1:19" ht="17.25" thickBot="1">
      <c r="A104" s="125" t="s">
        <v>196</v>
      </c>
      <c r="B104" s="126">
        <v>3515</v>
      </c>
      <c r="C104" s="77">
        <v>8.6553323000000001E-2</v>
      </c>
      <c r="D104" s="15">
        <v>3745</v>
      </c>
      <c r="E104" s="32">
        <f t="shared" ref="E104:E107" si="50">IF(ISNUMBER(D104), (D104 - $B104) / $B104, "")</f>
        <v>6.5433854907539113E-2</v>
      </c>
      <c r="F104" s="18">
        <f>IF(ISNUMBER(D104), $B118 * E104, "")</f>
        <v>6543.3854907539117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3695</v>
      </c>
      <c r="K104" s="32">
        <f t="shared" ref="K104:K107" si="52">IF(ISNUMBER(J104), (J104 - $B104) / $B104, "")</f>
        <v>5.1209103840682786E-2</v>
      </c>
      <c r="L104" s="18">
        <f>IF(ISNUMBER(J104), $B118 * K104, "")</f>
        <v>5120.9103840682783</v>
      </c>
      <c r="M104" s="31">
        <v>3680</v>
      </c>
      <c r="N104" s="32">
        <f t="shared" ref="N104:N107" si="53">IF(ISNUMBER(M104), (M104 - $B104) / $B104, "")</f>
        <v>4.694167852062589E-2</v>
      </c>
      <c r="O104" s="18">
        <f>IF(ISNUMBER(M104), $B118 * N104, "")</f>
        <v>4694.1678520625892</v>
      </c>
      <c r="Q104" s="216"/>
      <c r="R104" s="216"/>
      <c r="S104" s="216"/>
    </row>
    <row r="105" spans="1:19" ht="17.25" thickBot="1">
      <c r="A105" s="125" t="s">
        <v>237</v>
      </c>
      <c r="B105" s="126">
        <v>459</v>
      </c>
      <c r="C105" s="77">
        <v>5.27522936E-2</v>
      </c>
      <c r="D105" s="15">
        <v>491</v>
      </c>
      <c r="E105" s="32">
        <f t="shared" si="50"/>
        <v>6.9716775599128547E-2</v>
      </c>
      <c r="F105" s="18">
        <f>IF(ISNUMBER(D105), $B118 * E105, "")</f>
        <v>6971.677559912855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489</v>
      </c>
      <c r="K105" s="32">
        <f t="shared" si="52"/>
        <v>6.535947712418301E-2</v>
      </c>
      <c r="L105" s="18">
        <f>IF(ISNUMBER(J105), $B118 * K105, "")</f>
        <v>6535.9477124183013</v>
      </c>
      <c r="M105" s="31">
        <v>489</v>
      </c>
      <c r="N105" s="32">
        <f t="shared" si="53"/>
        <v>6.535947712418301E-2</v>
      </c>
      <c r="O105" s="18">
        <f>IF(ISNUMBER(M105), $B118 * N105, "")</f>
        <v>6535.9477124183013</v>
      </c>
      <c r="Q105" s="216"/>
      <c r="R105" s="216"/>
      <c r="S105" s="216"/>
    </row>
    <row r="106" spans="1:19" ht="17.25" thickBot="1">
      <c r="A106" s="125" t="s">
        <v>156</v>
      </c>
      <c r="B106" s="126">
        <v>1595</v>
      </c>
      <c r="C106" s="77">
        <v>4.5901639299999998E-2</v>
      </c>
      <c r="D106" s="15">
        <v>1530</v>
      </c>
      <c r="E106" s="32">
        <f t="shared" si="50"/>
        <v>-4.0752351097178681E-2</v>
      </c>
      <c r="F106" s="18">
        <f>IF(ISNUMBER(D106), $B118 * E106, "")</f>
        <v>-4075.235109717868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1585</v>
      </c>
      <c r="K106" s="32">
        <f t="shared" si="52"/>
        <v>-6.269592476489028E-3</v>
      </c>
      <c r="L106" s="18">
        <f>IF(ISNUMBER(J106), $B118 * K106, "")</f>
        <v>-626.95924764890276</v>
      </c>
      <c r="M106" s="31">
        <v>1635</v>
      </c>
      <c r="N106" s="32">
        <f t="shared" si="53"/>
        <v>2.5078369905956112E-2</v>
      </c>
      <c r="O106" s="18">
        <f>IF(ISNUMBER(M106), $B118 * N106, "")</f>
        <v>2507.836990595611</v>
      </c>
      <c r="Q106" s="33"/>
      <c r="R106" s="33"/>
    </row>
    <row r="107" spans="1:19" ht="17.25" thickBot="1">
      <c r="A107" s="130" t="s">
        <v>110</v>
      </c>
      <c r="B107" s="131">
        <v>119</v>
      </c>
      <c r="C107" s="79">
        <v>4.3859649100000002E-2</v>
      </c>
      <c r="D107" s="24">
        <v>118</v>
      </c>
      <c r="E107" s="25">
        <f t="shared" si="50"/>
        <v>-8.4033613445378148E-3</v>
      </c>
      <c r="F107" s="104">
        <f>IF(ISNUMBER(D107), $B118 * E107, "")</f>
        <v>-840.33613445378148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121</v>
      </c>
      <c r="K107" s="25">
        <f t="shared" si="52"/>
        <v>1.680672268907563E-2</v>
      </c>
      <c r="L107" s="104">
        <f>IF(ISNUMBER(J107), $B118 * K107, "")</f>
        <v>1680.672268907563</v>
      </c>
      <c r="M107" s="102">
        <v>122</v>
      </c>
      <c r="N107" s="25">
        <f t="shared" si="53"/>
        <v>2.5210084033613446E-2</v>
      </c>
      <c r="O107" s="104">
        <f>IF(ISNUMBER(M107), $B118 * N107, "")</f>
        <v>2521.0084033613448</v>
      </c>
      <c r="Q107" s="217"/>
      <c r="R107" s="218"/>
      <c r="S107" s="219"/>
    </row>
    <row r="108" spans="1:19">
      <c r="A108" s="123" t="s">
        <v>114</v>
      </c>
      <c r="B108" s="124">
        <v>607</v>
      </c>
      <c r="C108" s="76">
        <v>4.2955326500000002E-2</v>
      </c>
      <c r="D108" s="13">
        <v>551</v>
      </c>
      <c r="E108" s="14">
        <f>IF(ISNUMBER(D108), (D108 - $B108) / $B108, "")</f>
        <v>-9.2257001647446463E-2</v>
      </c>
      <c r="F108" s="16">
        <f>IF(ISNUMBER(D108), $B118 * E108, "")</f>
        <v>-9225.7001647446468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564</v>
      </c>
      <c r="K108" s="14">
        <f>IF(ISNUMBER(J108), (J108 - $B108) / $B108, "")</f>
        <v>-7.0840197693574955E-2</v>
      </c>
      <c r="L108" s="16">
        <f>IF(ISNUMBER(J108), $B118 * K108, "")</f>
        <v>-7084.0197693574955</v>
      </c>
      <c r="M108" s="29">
        <v>562</v>
      </c>
      <c r="N108" s="14">
        <f>IF(ISNUMBER(M108), (M108 - $B108) / $B108, "")</f>
        <v>-7.4135090609555185E-2</v>
      </c>
      <c r="O108" s="16">
        <f>IF(ISNUMBER(M108), $B118 * N108, "")</f>
        <v>-7413.5090609555182</v>
      </c>
      <c r="Q108" s="220"/>
      <c r="R108" s="221"/>
      <c r="S108" s="222"/>
    </row>
    <row r="109" spans="1:19" ht="17.25" thickBot="1">
      <c r="A109" s="125" t="s">
        <v>208</v>
      </c>
      <c r="B109" s="126">
        <v>9.44</v>
      </c>
      <c r="C109" s="77">
        <v>3.8503850399999998E-2</v>
      </c>
      <c r="D109" s="15">
        <v>9.07</v>
      </c>
      <c r="E109" s="32">
        <f t="shared" ref="E109:E112" si="54">IF(ISNUMBER(D109), (D109 - $B109) / $B109, "")</f>
        <v>-3.9194915254237205E-2</v>
      </c>
      <c r="F109" s="18">
        <f>IF(ISNUMBER(D109), $B118 * E109, "")</f>
        <v>-3919.4915254237203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9.34</v>
      </c>
      <c r="K109" s="32">
        <f t="shared" ref="K109:K112" si="56">IF(ISNUMBER(J109), (J109 - $B109) / $B109, "")</f>
        <v>-1.0593220338983014E-2</v>
      </c>
      <c r="L109" s="18">
        <f>IF(ISNUMBER(J109), $B118 * K109, "")</f>
        <v>-1059.3220338983015</v>
      </c>
      <c r="M109" s="31">
        <v>9.76</v>
      </c>
      <c r="N109" s="32">
        <f t="shared" ref="N109:N112" si="57">IF(ISNUMBER(M109), (M109 - $B109) / $B109, "")</f>
        <v>3.3898305084745797E-2</v>
      </c>
      <c r="O109" s="18">
        <f>IF(ISNUMBER(M109), $B118 * N109, "")</f>
        <v>3389.8305084745798</v>
      </c>
      <c r="Q109" s="223"/>
      <c r="R109" s="224"/>
      <c r="S109" s="225"/>
    </row>
    <row r="110" spans="1:19" ht="17.25" thickBot="1">
      <c r="A110" s="125" t="s">
        <v>222</v>
      </c>
      <c r="B110" s="126">
        <v>107</v>
      </c>
      <c r="C110" s="77">
        <v>2.88461538E-2</v>
      </c>
      <c r="D110" s="15">
        <v>106</v>
      </c>
      <c r="E110" s="32">
        <f t="shared" si="54"/>
        <v>-9.3457943925233638E-3</v>
      </c>
      <c r="F110" s="18">
        <f>IF(ISNUMBER(D110), $B118 * E110, "")</f>
        <v>-934.57943925233633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107</v>
      </c>
      <c r="K110" s="32">
        <f t="shared" si="56"/>
        <v>0</v>
      </c>
      <c r="L110" s="18">
        <f>IF(ISNUMBER(J110), $B118 * K110, "")</f>
        <v>0</v>
      </c>
      <c r="M110" s="31">
        <v>109</v>
      </c>
      <c r="N110" s="32">
        <f t="shared" si="57"/>
        <v>1.8691588785046728E-2</v>
      </c>
      <c r="O110" s="18">
        <f>IF(ISNUMBER(M110), $B118 * N110, "")</f>
        <v>1869.1588785046727</v>
      </c>
      <c r="Q110" s="216"/>
      <c r="R110" s="216"/>
      <c r="S110" s="216"/>
    </row>
    <row r="111" spans="1:19" ht="17.25" thickBot="1">
      <c r="A111" s="125" t="s">
        <v>86</v>
      </c>
      <c r="B111" s="126">
        <v>306</v>
      </c>
      <c r="C111" s="77">
        <v>2.3411371199999999E-2</v>
      </c>
      <c r="D111" s="15">
        <v>300</v>
      </c>
      <c r="E111" s="32">
        <f t="shared" si="54"/>
        <v>-1.9607843137254902E-2</v>
      </c>
      <c r="F111" s="18">
        <f>IF(ISNUMBER(D111), $B118 * E111, "")</f>
        <v>-1960.7843137254902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302</v>
      </c>
      <c r="K111" s="32">
        <f t="shared" si="56"/>
        <v>-1.3071895424836602E-2</v>
      </c>
      <c r="L111" s="18">
        <f>IF(ISNUMBER(J111), $B118 * K111, "")</f>
        <v>-1307.1895424836603</v>
      </c>
      <c r="M111" s="31">
        <v>305</v>
      </c>
      <c r="N111" s="32">
        <f t="shared" si="57"/>
        <v>-3.2679738562091504E-3</v>
      </c>
      <c r="O111" s="18">
        <f>IF(ISNUMBER(M111), $B118 * N111, "")</f>
        <v>-326.79738562091507</v>
      </c>
      <c r="Q111" s="226"/>
      <c r="R111" s="226"/>
      <c r="S111" s="226"/>
    </row>
    <row r="112" spans="1:19" ht="17.25" thickBot="1">
      <c r="A112" s="127" t="s">
        <v>74</v>
      </c>
      <c r="B112" s="128">
        <v>15870</v>
      </c>
      <c r="C112" s="78">
        <v>2.32108317E-2</v>
      </c>
      <c r="D112" s="20">
        <v>16550</v>
      </c>
      <c r="E112" s="21">
        <f t="shared" si="54"/>
        <v>4.2848141146817897E-2</v>
      </c>
      <c r="F112" s="22">
        <f>IF(ISNUMBER(D112), $B118 * E112, "")</f>
        <v>4284.8141146817898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16840</v>
      </c>
      <c r="K112" s="21">
        <f t="shared" si="56"/>
        <v>6.1121613106490232E-2</v>
      </c>
      <c r="L112" s="22">
        <f>IF(ISNUMBER(J112), $B118 * K112, "")</f>
        <v>6112.1613106490231</v>
      </c>
      <c r="M112" s="30">
        <v>17130</v>
      </c>
      <c r="N112" s="21">
        <f t="shared" si="57"/>
        <v>7.9395085066162566E-2</v>
      </c>
      <c r="O112" s="22">
        <f>IF(ISNUMBER(M112), $B118 * N112, "")</f>
        <v>7939.5085066162565</v>
      </c>
      <c r="Q112" s="226"/>
      <c r="R112" s="226"/>
      <c r="S112" s="226"/>
    </row>
    <row r="113" spans="1:19" ht="17.25" thickBot="1">
      <c r="A113" s="125" t="s">
        <v>166</v>
      </c>
      <c r="B113" s="129">
        <v>138</v>
      </c>
      <c r="C113" s="80">
        <v>2.2222222199999999E-2</v>
      </c>
      <c r="D113" s="106">
        <v>130</v>
      </c>
      <c r="E113" s="107">
        <f>IF(ISNUMBER(D113), (D113 - $B113) / $B113, "")</f>
        <v>-5.7971014492753624E-2</v>
      </c>
      <c r="F113" s="108">
        <f>IF(ISNUMBER(D113), $B118 * E113, "")</f>
        <v>-5797.101449275362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137</v>
      </c>
      <c r="K113" s="107">
        <f>IF(ISNUMBER(J113), (J113 - $B113) / $B113, "")</f>
        <v>-7.246376811594203E-3</v>
      </c>
      <c r="L113" s="108">
        <f>IF(ISNUMBER(J113), $B118 * K113, "")</f>
        <v>-724.63768115942025</v>
      </c>
      <c r="M113" s="109">
        <v>139</v>
      </c>
      <c r="N113" s="107">
        <f>IF(ISNUMBER(M113), (M113 - $B113) / $B113, "")</f>
        <v>7.246376811594203E-3</v>
      </c>
      <c r="O113" s="108">
        <f>IF(ISNUMBER(M113), $B118 * N113, "")</f>
        <v>724.63768115942025</v>
      </c>
      <c r="Q113" s="216"/>
      <c r="R113" s="216"/>
      <c r="S113" s="216"/>
    </row>
    <row r="114" spans="1:19" ht="17.25" thickBot="1">
      <c r="A114" s="125" t="s">
        <v>188</v>
      </c>
      <c r="B114" s="126">
        <v>9.89</v>
      </c>
      <c r="C114" s="77">
        <v>1.74897119E-2</v>
      </c>
      <c r="D114" s="15">
        <v>9.3800000000000008</v>
      </c>
      <c r="E114" s="32">
        <f t="shared" ref="E114:E117" si="58">IF(ISNUMBER(D114), (D114 - $B114) / $B114, "")</f>
        <v>-5.156723963599593E-2</v>
      </c>
      <c r="F114" s="18">
        <f>IF(ISNUMBER(D114), $B118 * E114, "")</f>
        <v>-5156.7239635995929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9.68</v>
      </c>
      <c r="K114" s="32">
        <f t="shared" ref="K114:K117" si="60">IF(ISNUMBER(J114), (J114 - $B114) / $B114, "")</f>
        <v>-2.1233569261880771E-2</v>
      </c>
      <c r="L114" s="18">
        <f>IF(ISNUMBER(J114), $B118 * K114, "")</f>
        <v>-2123.3569261880771</v>
      </c>
      <c r="M114" s="31">
        <v>9.6999999999999993</v>
      </c>
      <c r="N114" s="32">
        <f t="shared" ref="N114:N117" si="61">IF(ISNUMBER(M114), (M114 - $B114) / $B114, "")</f>
        <v>-1.9211324570273133E-2</v>
      </c>
      <c r="O114" s="18">
        <f>IF(ISNUMBER(M114), $B118 * N114, "")</f>
        <v>-1921.1324570273132</v>
      </c>
      <c r="Q114" s="216"/>
      <c r="R114" s="216"/>
      <c r="S114" s="216"/>
    </row>
    <row r="115" spans="1:19" ht="17.25" thickBot="1">
      <c r="A115" s="125" t="s">
        <v>178</v>
      </c>
      <c r="B115" s="126">
        <v>14.1</v>
      </c>
      <c r="C115" s="77">
        <v>1.43884892E-2</v>
      </c>
      <c r="D115" s="15">
        <v>14.1</v>
      </c>
      <c r="E115" s="32">
        <f t="shared" si="58"/>
        <v>0</v>
      </c>
      <c r="F115" s="18">
        <f>IF(ISNUMBER(D115), $B118 * E115, "")</f>
        <v>0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14.3</v>
      </c>
      <c r="K115" s="32">
        <f t="shared" si="60"/>
        <v>1.4184397163120643E-2</v>
      </c>
      <c r="L115" s="18">
        <f>IF(ISNUMBER(J115), $B118 * K115, "")</f>
        <v>1418.4397163120643</v>
      </c>
      <c r="M115" s="31">
        <v>14.3</v>
      </c>
      <c r="N115" s="32">
        <f t="shared" si="61"/>
        <v>1.4184397163120643E-2</v>
      </c>
      <c r="O115" s="18">
        <f>IF(ISNUMBER(M115), $B118 * N115, "")</f>
        <v>1418.4397163120643</v>
      </c>
      <c r="Q115" s="216"/>
      <c r="R115" s="216"/>
      <c r="S115" s="216"/>
    </row>
    <row r="116" spans="1:19">
      <c r="A116" s="125" t="s">
        <v>190</v>
      </c>
      <c r="B116" s="126">
        <v>14.4</v>
      </c>
      <c r="C116" s="77">
        <v>1.4084507E-2</v>
      </c>
      <c r="D116" s="15">
        <v>14</v>
      </c>
      <c r="E116" s="32">
        <f t="shared" si="58"/>
        <v>-2.7777777777777801E-2</v>
      </c>
      <c r="F116" s="18">
        <f>IF(ISNUMBER(D116), $B118 * E116, "")</f>
        <v>-2777.7777777777801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14.4</v>
      </c>
      <c r="K116" s="32">
        <f t="shared" si="60"/>
        <v>0</v>
      </c>
      <c r="L116" s="18">
        <f>IF(ISNUMBER(J116), $B118 * K116, "")</f>
        <v>0</v>
      </c>
      <c r="M116" s="31">
        <v>14.5</v>
      </c>
      <c r="N116" s="32">
        <f t="shared" si="61"/>
        <v>6.9444444444444198E-3</v>
      </c>
      <c r="O116" s="18">
        <f>IF(ISNUMBER(M116), $B118 * N116, "")</f>
        <v>694.44444444444196</v>
      </c>
      <c r="Q116" s="205"/>
      <c r="R116" s="206"/>
      <c r="S116" s="207"/>
    </row>
    <row r="117" spans="1:19" ht="17.25" thickBot="1">
      <c r="A117" s="130" t="s">
        <v>233</v>
      </c>
      <c r="B117" s="131">
        <v>364</v>
      </c>
      <c r="C117" s="79">
        <v>1.39275766E-2</v>
      </c>
      <c r="D117" s="24">
        <v>364</v>
      </c>
      <c r="E117" s="25">
        <f t="shared" si="58"/>
        <v>0</v>
      </c>
      <c r="F117" s="104">
        <f>IF(ISNUMBER(D117), $B118 * E117, "")</f>
        <v>0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370</v>
      </c>
      <c r="K117" s="25">
        <f t="shared" si="60"/>
        <v>1.6483516483516484E-2</v>
      </c>
      <c r="L117" s="104">
        <f>IF(ISNUMBER(J117), $B118 * K117, "")</f>
        <v>1648.3516483516485</v>
      </c>
      <c r="M117" s="102">
        <v>372</v>
      </c>
      <c r="N117" s="25">
        <f t="shared" si="61"/>
        <v>2.197802197802198E-2</v>
      </c>
      <c r="O117" s="104">
        <f>IF(ISNUMBER(M117), $B118 * N117, "")</f>
        <v>2197.802197802198</v>
      </c>
      <c r="Q117" s="208"/>
      <c r="R117" s="209"/>
      <c r="S117" s="210"/>
    </row>
    <row r="118" spans="1:19" ht="17.25" thickBot="1">
      <c r="A118" s="132" t="s">
        <v>271</v>
      </c>
      <c r="B118" s="269">
        <f>$B$37</f>
        <v>100000</v>
      </c>
      <c r="C118" s="270"/>
      <c r="D118" s="26" t="s">
        <v>272</v>
      </c>
      <c r="E118" s="27">
        <f>IF(COUNT(E98:E117), SUM(E98:E117) / COUNT(E98:E117), 0)</f>
        <v>-2.0776343173658399E-2</v>
      </c>
      <c r="F118" s="28">
        <f>SUM(F98:F117)</f>
        <v>-41552.686347316798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-3.1938491109224296E-3</v>
      </c>
      <c r="L118" s="28">
        <f>SUM(L98:L117)</f>
        <v>-6387.6982218448593</v>
      </c>
      <c r="M118" s="26" t="s">
        <v>272</v>
      </c>
      <c r="N118" s="27">
        <f>IF(COUNT(N98:N117), SUM(N98:N117) / COUNT(N98:N117), 0)</f>
        <v>3.9687862571606575E-3</v>
      </c>
      <c r="O118" s="28">
        <f>SUM(O98:O117)</f>
        <v>7937.5725143213158</v>
      </c>
      <c r="Q118" s="211"/>
      <c r="R118" s="212"/>
      <c r="S118" s="213"/>
    </row>
    <row r="120" spans="1:19" ht="17.25" thickBot="1"/>
    <row r="121" spans="1:19" ht="17.25" thickBot="1">
      <c r="A121" s="227" t="s">
        <v>259</v>
      </c>
      <c r="B121" s="228"/>
      <c r="C121" s="228"/>
      <c r="D121" s="228"/>
      <c r="E121" s="228"/>
      <c r="F121" s="228"/>
      <c r="G121" s="228"/>
      <c r="H121" s="228"/>
      <c r="I121" s="228"/>
      <c r="J121" s="228"/>
      <c r="K121" s="228"/>
      <c r="L121" s="228"/>
      <c r="M121" s="228"/>
      <c r="N121" s="228"/>
      <c r="O121" s="229"/>
      <c r="Q121" s="226"/>
      <c r="R121" s="226"/>
      <c r="S121" s="226"/>
    </row>
    <row r="122" spans="1:19" ht="17.25" thickBot="1">
      <c r="A122" s="197" t="s">
        <v>268</v>
      </c>
      <c r="B122" s="227" t="s">
        <v>49</v>
      </c>
      <c r="C122" s="229"/>
      <c r="D122" s="227" t="s">
        <v>58</v>
      </c>
      <c r="E122" s="228"/>
      <c r="F122" s="229"/>
      <c r="G122" s="230">
        <f>_xlfn.IFNA(VLOOKUP(B122, 현재가테이블!$B$2:$D$200, 2, FALSE), "-")</f>
        <v>39916000</v>
      </c>
      <c r="H122" s="231"/>
      <c r="I122" s="232"/>
      <c r="J122" s="227" t="s">
        <v>59</v>
      </c>
      <c r="K122" s="228"/>
      <c r="L122" s="229"/>
      <c r="M122" s="233">
        <f>_xlfn.IFNA(VLOOKUP(B122, 현재가테이블!$B$2:$D$200, 3, FALSE), "-")</f>
        <v>7.3184273000000003E-3</v>
      </c>
      <c r="N122" s="234"/>
      <c r="O122" s="235"/>
      <c r="Q122" s="226"/>
      <c r="R122" s="226"/>
      <c r="S122" s="226"/>
    </row>
    <row r="123" spans="1:19" ht="17.25" thickBot="1">
      <c r="A123" s="271" t="s">
        <v>55</v>
      </c>
      <c r="B123" s="267" t="str">
        <f>TEXT($G$1, "[$-ko-KR]yyyy-mm-dd(ddd) ") &amp; "오전 00:00"</f>
        <v>2021-07-11(일) 오전 00:00</v>
      </c>
      <c r="C123" s="268"/>
      <c r="D123" s="240" t="str">
        <f>TEXT($G$1, "[$-ko-KR]yyyy-mm-dd(ddd) ") &amp; "오후 14:00"</f>
        <v>2021-07-11(일) 오후 14:00</v>
      </c>
      <c r="E123" s="241"/>
      <c r="F123" s="242"/>
      <c r="G123" s="240" t="str">
        <f>TEXT($G$1, "[$-ko-KR]yyyy-mm-dd(ddd) ") &amp; "오후 19:00"</f>
        <v>2021-07-11(일) 오후 19:00</v>
      </c>
      <c r="H123" s="241"/>
      <c r="I123" s="242"/>
      <c r="J123" s="240" t="str">
        <f>TEXT($G$1, "[$-ko-KR]yyyy-mm-dd(ddd) ") &amp; "오후 21:00"</f>
        <v>2021-07-11(일) 오후 21:00</v>
      </c>
      <c r="K123" s="241"/>
      <c r="L123" s="242"/>
      <c r="M123" s="240" t="str">
        <f>TEXT($G$1+1, "[$-ko-KR]yyyy-mm-dd(ddd) ") &amp; "오전 00:00"</f>
        <v>2021-07-12(월) 오전 00:00</v>
      </c>
      <c r="N123" s="241"/>
      <c r="O123" s="242"/>
      <c r="Q123" s="226"/>
      <c r="R123" s="226"/>
      <c r="S123" s="226"/>
    </row>
    <row r="124" spans="1:19" ht="17.25" thickBot="1">
      <c r="A124" s="27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8" t="s">
        <v>58</v>
      </c>
      <c r="H124" s="199" t="s">
        <v>269</v>
      </c>
      <c r="I124" s="20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6"/>
      <c r="R124" s="216"/>
      <c r="S124" s="216"/>
    </row>
    <row r="125" spans="1:19" ht="17.25" thickBot="1">
      <c r="A125" s="123" t="s">
        <v>178</v>
      </c>
      <c r="B125" s="124">
        <v>14.1</v>
      </c>
      <c r="C125" s="76">
        <v>1.43884892E-2</v>
      </c>
      <c r="D125" s="13">
        <v>14.1</v>
      </c>
      <c r="E125" s="14">
        <f>IF(ISNUMBER(D125), (D125 - $B125) / $B125, "")</f>
        <v>0</v>
      </c>
      <c r="F125" s="16">
        <f>IF(ISNUMBER(D125), $B145 * E125, "")</f>
        <v>0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14.3</v>
      </c>
      <c r="K125" s="14">
        <f>IF(ISNUMBER(J125), (J125 - $B125) / $B125, "")</f>
        <v>1.4184397163120643E-2</v>
      </c>
      <c r="L125" s="16">
        <f>IF(ISNUMBER(J125), $B145 * K125, "")</f>
        <v>1418.4397163120643</v>
      </c>
      <c r="M125" s="29">
        <v>14.3</v>
      </c>
      <c r="N125" s="14">
        <f>IF(ISNUMBER(M125), (M125 - $B125) / $B125, "")</f>
        <v>1.4184397163120643E-2</v>
      </c>
      <c r="O125" s="16">
        <f>IF(ISNUMBER(M125), $B145 * N125, "")</f>
        <v>1418.4397163120643</v>
      </c>
      <c r="Q125" s="226"/>
      <c r="R125" s="226"/>
      <c r="S125" s="226"/>
    </row>
    <row r="126" spans="1:19" ht="17.25" thickBot="1">
      <c r="A126" s="125" t="s">
        <v>190</v>
      </c>
      <c r="B126" s="126">
        <v>14.4</v>
      </c>
      <c r="C126" s="77">
        <v>1.4084507E-2</v>
      </c>
      <c r="D126" s="15">
        <v>14</v>
      </c>
      <c r="E126" s="32">
        <f t="shared" ref="E126:E129" si="62">IF(ISNUMBER(D126), (D126 - $B126) / $B126, "")</f>
        <v>-2.7777777777777801E-2</v>
      </c>
      <c r="F126" s="18">
        <f>IF(ISNUMBER(D126), $B145 * E126, "")</f>
        <v>-2777.7777777777801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14.4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14.5</v>
      </c>
      <c r="N126" s="32">
        <f t="shared" ref="N126:N129" si="65">IF(ISNUMBER(M126), (M126 - $B126) / $B126, "")</f>
        <v>6.9444444444444198E-3</v>
      </c>
      <c r="O126" s="18">
        <f>IF(ISNUMBER(M126), $B145 * N126, "")</f>
        <v>694.44444444444196</v>
      </c>
      <c r="Q126" s="226"/>
      <c r="R126" s="226"/>
      <c r="S126" s="226"/>
    </row>
    <row r="127" spans="1:19" ht="17.25" thickBot="1">
      <c r="A127" s="125" t="s">
        <v>216</v>
      </c>
      <c r="B127" s="126">
        <v>8.2799999999999994</v>
      </c>
      <c r="C127" s="77">
        <v>1.0989011E-2</v>
      </c>
      <c r="D127" s="15">
        <v>7.96</v>
      </c>
      <c r="E127" s="32">
        <f t="shared" si="62"/>
        <v>-3.8647342995169011E-2</v>
      </c>
      <c r="F127" s="18">
        <f>IF(ISNUMBER(D127), $B145 * E127, "")</f>
        <v>-3864.734299516901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8.32</v>
      </c>
      <c r="K127" s="32">
        <f t="shared" si="64"/>
        <v>4.8309178743962469E-3</v>
      </c>
      <c r="L127" s="18">
        <f>IF(ISNUMBER(J127), $B145 * K127, "")</f>
        <v>483.09178743962468</v>
      </c>
      <c r="M127" s="31">
        <v>8.32</v>
      </c>
      <c r="N127" s="32">
        <f t="shared" si="65"/>
        <v>4.8309178743962469E-3</v>
      </c>
      <c r="O127" s="18">
        <f>IF(ISNUMBER(M127), $B145 * N127, "")</f>
        <v>483.09178743962468</v>
      </c>
      <c r="Q127" s="216"/>
      <c r="R127" s="216"/>
      <c r="S127" s="216"/>
    </row>
    <row r="128" spans="1:19" ht="17.25" thickBot="1">
      <c r="A128" s="125" t="s">
        <v>150</v>
      </c>
      <c r="B128" s="126">
        <v>9.4</v>
      </c>
      <c r="C128" s="77">
        <v>1.0752688200000001E-2</v>
      </c>
      <c r="D128" s="15">
        <v>9</v>
      </c>
      <c r="E128" s="32">
        <f t="shared" si="62"/>
        <v>-4.2553191489361736E-2</v>
      </c>
      <c r="F128" s="18">
        <f>IF(ISNUMBER(D128), $B145 * E128, "")</f>
        <v>-4255.3191489361734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9.27</v>
      </c>
      <c r="K128" s="32">
        <f t="shared" si="64"/>
        <v>-1.3829787234042636E-2</v>
      </c>
      <c r="L128" s="18">
        <f>IF(ISNUMBER(J128), $B145 * K128, "")</f>
        <v>-1382.9787234042635</v>
      </c>
      <c r="M128" s="31">
        <v>9.32</v>
      </c>
      <c r="N128" s="32">
        <f t="shared" si="65"/>
        <v>-8.5106382978723475E-3</v>
      </c>
      <c r="O128" s="18">
        <f>IF(ISNUMBER(M128), $B145 * N128, "")</f>
        <v>-851.06382978723479</v>
      </c>
      <c r="Q128" s="216"/>
      <c r="R128" s="216"/>
      <c r="S128" s="216"/>
    </row>
    <row r="129" spans="1:19" ht="17.25" thickBot="1">
      <c r="A129" s="127" t="s">
        <v>122</v>
      </c>
      <c r="B129" s="128">
        <v>22</v>
      </c>
      <c r="C129" s="78">
        <v>9.1743119000000008E-3</v>
      </c>
      <c r="D129" s="20">
        <v>21.3</v>
      </c>
      <c r="E129" s="21">
        <f t="shared" si="62"/>
        <v>-3.1818181818181787E-2</v>
      </c>
      <c r="F129" s="22">
        <f>IF(ISNUMBER(D129), $B145 * E129, "")</f>
        <v>-3181.8181818181788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22</v>
      </c>
      <c r="K129" s="21">
        <f t="shared" si="64"/>
        <v>0</v>
      </c>
      <c r="L129" s="22">
        <f>IF(ISNUMBER(J129), $B145 * K129, "")</f>
        <v>0</v>
      </c>
      <c r="M129" s="30">
        <v>22.1</v>
      </c>
      <c r="N129" s="21">
        <f t="shared" si="65"/>
        <v>4.5454545454546103E-3</v>
      </c>
      <c r="O129" s="22">
        <f>IF(ISNUMBER(M129), $B145 * N129, "")</f>
        <v>454.54545454546104</v>
      </c>
      <c r="Q129" s="216"/>
      <c r="R129" s="216"/>
      <c r="S129" s="216"/>
    </row>
    <row r="130" spans="1:19" ht="17.25" thickBot="1">
      <c r="A130" s="125" t="s">
        <v>235</v>
      </c>
      <c r="B130" s="129">
        <v>52</v>
      </c>
      <c r="C130" s="80">
        <v>5.8027078999999997E-3</v>
      </c>
      <c r="D130" s="106">
        <v>50.9</v>
      </c>
      <c r="E130" s="107">
        <f>IF(ISNUMBER(D130), (D130 - $B130) / $B130, "")</f>
        <v>-2.1153846153846183E-2</v>
      </c>
      <c r="F130" s="108">
        <f>IF(ISNUMBER(D130), $B145 * E130, "")</f>
        <v>-2115.3846153846184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56.6</v>
      </c>
      <c r="K130" s="107">
        <f>IF(ISNUMBER(J130), (J130 - $B130) / $B130, "")</f>
        <v>8.8461538461538494E-2</v>
      </c>
      <c r="L130" s="108">
        <f>IF(ISNUMBER(J130), $B145 * K130, "")</f>
        <v>8846.1538461538494</v>
      </c>
      <c r="M130" s="109">
        <v>54.7</v>
      </c>
      <c r="N130" s="107">
        <f>IF(ISNUMBER(M130), (M130 - $B130) / $B130, "")</f>
        <v>5.1923076923076975E-2</v>
      </c>
      <c r="O130" s="108">
        <f>IF(ISNUMBER(M130), $B145 * N130, "")</f>
        <v>5192.3076923076978</v>
      </c>
      <c r="Q130" s="216"/>
      <c r="R130" s="216"/>
      <c r="S130" s="216"/>
    </row>
    <row r="131" spans="1:19" ht="17.25" thickBot="1">
      <c r="A131" s="125" t="s">
        <v>130</v>
      </c>
      <c r="B131" s="126">
        <v>82.3</v>
      </c>
      <c r="C131" s="77">
        <v>1.2165450000000001E-3</v>
      </c>
      <c r="D131" s="15">
        <v>79.400000000000006</v>
      </c>
      <c r="E131" s="32">
        <f t="shared" ref="E131:E134" si="66">IF(ISNUMBER(D131), (D131 - $B131) / $B131, "")</f>
        <v>-3.5236938031591634E-2</v>
      </c>
      <c r="F131" s="18">
        <f>IF(ISNUMBER(D131), $B145 * E131, "")</f>
        <v>-3523.6938031591635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81.400000000000006</v>
      </c>
      <c r="K131" s="32">
        <f t="shared" ref="K131:K134" si="68">IF(ISNUMBER(J131), (J131 - $B131) / $B131, "")</f>
        <v>-1.0935601458080091E-2</v>
      </c>
      <c r="L131" s="18">
        <f>IF(ISNUMBER(J131), $B145 * K131, "")</f>
        <v>-1093.5601458080091</v>
      </c>
      <c r="M131" s="31">
        <v>81.8</v>
      </c>
      <c r="N131" s="32">
        <f t="shared" ref="N131:N134" si="69">IF(ISNUMBER(M131), (M131 - $B131) / $B131, "")</f>
        <v>-6.0753341433778859E-3</v>
      </c>
      <c r="O131" s="18">
        <f>IF(ISNUMBER(M131), $B145 * N131, "")</f>
        <v>-607.5334143377886</v>
      </c>
      <c r="Q131" s="216"/>
      <c r="R131" s="216"/>
      <c r="S131" s="216"/>
    </row>
    <row r="132" spans="1:19" ht="17.25" thickBot="1">
      <c r="A132" s="125" t="s">
        <v>72</v>
      </c>
      <c r="B132" s="126">
        <v>17.8</v>
      </c>
      <c r="C132" s="77">
        <v>0</v>
      </c>
      <c r="D132" s="15">
        <v>17.600000000000001</v>
      </c>
      <c r="E132" s="32">
        <f t="shared" si="66"/>
        <v>-1.1235955056179735E-2</v>
      </c>
      <c r="F132" s="18">
        <f>IF(ISNUMBER(D132), $B145 * E132, "")</f>
        <v>-1123.5955056179735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18</v>
      </c>
      <c r="K132" s="32">
        <f t="shared" si="68"/>
        <v>1.1235955056179735E-2</v>
      </c>
      <c r="L132" s="18">
        <f>IF(ISNUMBER(J132), $B145 * K132, "")</f>
        <v>1123.5955056179735</v>
      </c>
      <c r="M132" s="31">
        <v>18.2</v>
      </c>
      <c r="N132" s="32">
        <f t="shared" si="69"/>
        <v>2.247191011235947E-2</v>
      </c>
      <c r="O132" s="18">
        <f>IF(ISNUMBER(M132), $B145 * N132, "")</f>
        <v>2247.1910112359469</v>
      </c>
      <c r="Q132" s="216"/>
      <c r="R132" s="216"/>
      <c r="S132" s="216"/>
    </row>
    <row r="133" spans="1:19" ht="17.25" thickBot="1">
      <c r="A133" s="125" t="s">
        <v>202</v>
      </c>
      <c r="B133" s="126">
        <v>53.8</v>
      </c>
      <c r="C133" s="77">
        <v>-1.8552875999999999E-3</v>
      </c>
      <c r="D133" s="15">
        <v>53.4</v>
      </c>
      <c r="E133" s="32">
        <f t="shared" si="66"/>
        <v>-7.4349442379181892E-3</v>
      </c>
      <c r="F133" s="18">
        <f>IF(ISNUMBER(D133), $B145 * E133, "")</f>
        <v>-743.49442379181892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57.2</v>
      </c>
      <c r="K133" s="32">
        <f t="shared" si="68"/>
        <v>6.3197026022304939E-2</v>
      </c>
      <c r="L133" s="18">
        <f>IF(ISNUMBER(J133), $B145 * K133, "")</f>
        <v>6319.7026022304935</v>
      </c>
      <c r="M133" s="31">
        <v>57.1</v>
      </c>
      <c r="N133" s="32">
        <f t="shared" si="69"/>
        <v>6.1338289962825358E-2</v>
      </c>
      <c r="O133" s="18">
        <f>IF(ISNUMBER(M133), $B145 * N133, "")</f>
        <v>6133.8289962825356</v>
      </c>
      <c r="Q133" s="33"/>
      <c r="R133" s="33"/>
    </row>
    <row r="134" spans="1:19" ht="17.25" thickBot="1">
      <c r="A134" s="130" t="s">
        <v>98</v>
      </c>
      <c r="B134" s="131">
        <v>2.98</v>
      </c>
      <c r="C134" s="79">
        <v>-6.6666666999999997E-3</v>
      </c>
      <c r="D134" s="24">
        <v>2.93</v>
      </c>
      <c r="E134" s="25">
        <f t="shared" si="66"/>
        <v>-1.6778523489932827E-2</v>
      </c>
      <c r="F134" s="104">
        <f>IF(ISNUMBER(D134), $B145 * E134, "")</f>
        <v>-1677.8523489932827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2.94</v>
      </c>
      <c r="K134" s="25">
        <f t="shared" si="68"/>
        <v>-1.3422818791946321E-2</v>
      </c>
      <c r="L134" s="104">
        <f>IF(ISNUMBER(J134), $B145 * K134, "")</f>
        <v>-1342.281879194632</v>
      </c>
      <c r="M134" s="102">
        <v>2.97</v>
      </c>
      <c r="N134" s="25">
        <f t="shared" si="69"/>
        <v>-3.3557046979865056E-3</v>
      </c>
      <c r="O134" s="104">
        <f>IF(ISNUMBER(M134), $B145 * N134, "")</f>
        <v>-335.57046979865055</v>
      </c>
      <c r="Q134" s="217"/>
      <c r="R134" s="218"/>
      <c r="S134" s="219"/>
    </row>
    <row r="135" spans="1:19">
      <c r="A135" s="123" t="s">
        <v>128</v>
      </c>
      <c r="B135" s="124">
        <v>90.2</v>
      </c>
      <c r="C135" s="76">
        <v>-7.7007700999999996E-3</v>
      </c>
      <c r="D135" s="13">
        <v>89.1</v>
      </c>
      <c r="E135" s="14">
        <f>IF(ISNUMBER(D135), (D135 - $B135) / $B135, "")</f>
        <v>-1.2195121951219606E-2</v>
      </c>
      <c r="F135" s="16">
        <f>IF(ISNUMBER(D135), $B145 * E135, "")</f>
        <v>-1219.5121951219605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90.5</v>
      </c>
      <c r="K135" s="14">
        <f>IF(ISNUMBER(J135), (J135 - $B135) / $B135, "")</f>
        <v>3.3259423503325626E-3</v>
      </c>
      <c r="L135" s="16">
        <f>IF(ISNUMBER(J135), $B145 * K135, "")</f>
        <v>332.59423503325627</v>
      </c>
      <c r="M135" s="29">
        <v>91.5</v>
      </c>
      <c r="N135" s="14">
        <f>IF(ISNUMBER(M135), (M135 - $B135) / $B135, "")</f>
        <v>1.441241685144121E-2</v>
      </c>
      <c r="O135" s="16">
        <f>IF(ISNUMBER(M135), $B145 * N135, "")</f>
        <v>1441.241685144121</v>
      </c>
      <c r="Q135" s="220"/>
      <c r="R135" s="221"/>
      <c r="S135" s="222"/>
    </row>
    <row r="136" spans="1:19" ht="17.25" thickBot="1">
      <c r="A136" s="125" t="s">
        <v>152</v>
      </c>
      <c r="B136" s="126">
        <v>72.8</v>
      </c>
      <c r="C136" s="77">
        <v>-9.5238094999999991E-3</v>
      </c>
      <c r="D136" s="15">
        <v>71.900000000000006</v>
      </c>
      <c r="E136" s="32">
        <f t="shared" ref="E136:E139" si="70">IF(ISNUMBER(D136), (D136 - $B136) / $B136, "")</f>
        <v>-1.2362637362637246E-2</v>
      </c>
      <c r="F136" s="18">
        <f>IF(ISNUMBER(D136), $B145 * E136, "")</f>
        <v>-1236.2637362637247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72.5</v>
      </c>
      <c r="K136" s="32">
        <f t="shared" ref="K136:K139" si="72">IF(ISNUMBER(J136), (J136 - $B136) / $B136, "")</f>
        <v>-4.120879120879082E-3</v>
      </c>
      <c r="L136" s="18">
        <f>IF(ISNUMBER(J136), $B145 * K136, "")</f>
        <v>-412.08791208790819</v>
      </c>
      <c r="M136" s="31">
        <v>72.900000000000006</v>
      </c>
      <c r="N136" s="32">
        <f t="shared" ref="N136:N139" si="73">IF(ISNUMBER(M136), (M136 - $B136) / $B136, "")</f>
        <v>1.3736263736264908E-3</v>
      </c>
      <c r="O136" s="18">
        <f>IF(ISNUMBER(M136), $B145 * N136, "")</f>
        <v>137.36263736264908</v>
      </c>
      <c r="Q136" s="223"/>
      <c r="R136" s="224"/>
      <c r="S136" s="225"/>
    </row>
    <row r="137" spans="1:19" ht="17.25" thickBot="1">
      <c r="A137" s="125" t="s">
        <v>251</v>
      </c>
      <c r="B137" s="126">
        <v>60.1</v>
      </c>
      <c r="C137" s="77">
        <v>-1.1513157899999999E-2</v>
      </c>
      <c r="D137" s="15">
        <v>58.7</v>
      </c>
      <c r="E137" s="32">
        <f t="shared" si="70"/>
        <v>-2.3294509151414285E-2</v>
      </c>
      <c r="F137" s="18">
        <f>IF(ISNUMBER(D137), $B145 * E137, "")</f>
        <v>-2329.4509151414286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58.7</v>
      </c>
      <c r="K137" s="32">
        <f t="shared" si="72"/>
        <v>-2.3294509151414285E-2</v>
      </c>
      <c r="L137" s="18">
        <f>IF(ISNUMBER(J137), $B145 * K137, "")</f>
        <v>-2329.4509151414286</v>
      </c>
      <c r="M137" s="31">
        <v>59</v>
      </c>
      <c r="N137" s="32">
        <f t="shared" si="73"/>
        <v>-1.8302828618968408E-2</v>
      </c>
      <c r="O137" s="18">
        <f>IF(ISNUMBER(M137), $B145 * N137, "")</f>
        <v>-1830.2828618968408</v>
      </c>
      <c r="Q137" s="216"/>
      <c r="R137" s="216"/>
      <c r="S137" s="216"/>
    </row>
    <row r="138" spans="1:19" ht="17.25" thickBot="1">
      <c r="A138" s="125" t="s">
        <v>239</v>
      </c>
      <c r="B138" s="126">
        <v>71.8</v>
      </c>
      <c r="C138" s="77">
        <v>-1.50891632E-2</v>
      </c>
      <c r="D138" s="15">
        <v>70.599999999999994</v>
      </c>
      <c r="E138" s="32">
        <f t="shared" si="70"/>
        <v>-1.671309192200561E-2</v>
      </c>
      <c r="F138" s="18">
        <f>IF(ISNUMBER(D138), $B145 * E138, "")</f>
        <v>-1671.309192200561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73.599999999999994</v>
      </c>
      <c r="K138" s="32">
        <f t="shared" si="72"/>
        <v>2.5069637883008318E-2</v>
      </c>
      <c r="L138" s="18">
        <f>IF(ISNUMBER(J138), $B145 * K138, "")</f>
        <v>2506.9637883008318</v>
      </c>
      <c r="M138" s="31">
        <v>72.900000000000006</v>
      </c>
      <c r="N138" s="32">
        <f t="shared" si="73"/>
        <v>1.5320334261838559E-2</v>
      </c>
      <c r="O138" s="18">
        <f>IF(ISNUMBER(M138), $B145 * N138, "")</f>
        <v>1532.0334261838559</v>
      </c>
      <c r="Q138" s="226"/>
      <c r="R138" s="226"/>
      <c r="S138" s="226"/>
    </row>
    <row r="139" spans="1:19" ht="17.25" thickBot="1">
      <c r="A139" s="127" t="s">
        <v>144</v>
      </c>
      <c r="B139" s="128">
        <v>83.3</v>
      </c>
      <c r="C139" s="78">
        <v>-1.6528925600000001E-2</v>
      </c>
      <c r="D139" s="20">
        <v>82.6</v>
      </c>
      <c r="E139" s="21">
        <f t="shared" si="70"/>
        <v>-8.4033613445378495E-3</v>
      </c>
      <c r="F139" s="22">
        <f>IF(ISNUMBER(D139), $B145 * E139, "")</f>
        <v>-840.33613445378489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83.8</v>
      </c>
      <c r="K139" s="21">
        <f t="shared" si="72"/>
        <v>6.0024009603841539E-3</v>
      </c>
      <c r="L139" s="22">
        <f>IF(ISNUMBER(J139), $B145 * K139, "")</f>
        <v>600.24009603841534</v>
      </c>
      <c r="M139" s="30">
        <v>84.4</v>
      </c>
      <c r="N139" s="21">
        <f t="shared" si="73"/>
        <v>1.3205282112845241E-2</v>
      </c>
      <c r="O139" s="22">
        <f>IF(ISNUMBER(M139), $B145 * N139, "")</f>
        <v>1320.5282112845241</v>
      </c>
      <c r="Q139" s="226"/>
      <c r="R139" s="226"/>
      <c r="S139" s="226"/>
    </row>
    <row r="140" spans="1:19" ht="17.25" thickBot="1">
      <c r="A140" s="125" t="s">
        <v>65</v>
      </c>
      <c r="B140" s="129">
        <v>24.6</v>
      </c>
      <c r="C140" s="80">
        <v>-1.9920318699999998E-2</v>
      </c>
      <c r="D140" s="106">
        <v>24.1</v>
      </c>
      <c r="E140" s="107">
        <f>IF(ISNUMBER(D140), (D140 - $B140) / $B140, "")</f>
        <v>-2.032520325203252E-2</v>
      </c>
      <c r="F140" s="108">
        <f>IF(ISNUMBER(D140), $B145 * E140, "")</f>
        <v>-2032.520325203252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24.8</v>
      </c>
      <c r="K140" s="107">
        <f>IF(ISNUMBER(J140), (J140 - $B140) / $B140, "")</f>
        <v>8.1300813008129795E-3</v>
      </c>
      <c r="L140" s="108">
        <f>IF(ISNUMBER(J140), $B145 * K140, "")</f>
        <v>813.00813008129796</v>
      </c>
      <c r="M140" s="109">
        <v>25</v>
      </c>
      <c r="N140" s="107">
        <f>IF(ISNUMBER(M140), (M140 - $B140) / $B140, "")</f>
        <v>1.6260162601625959E-2</v>
      </c>
      <c r="O140" s="108">
        <f>IF(ISNUMBER(M140), $B145 * N140, "")</f>
        <v>1626.0162601625959</v>
      </c>
      <c r="Q140" s="216"/>
      <c r="R140" s="216"/>
      <c r="S140" s="216"/>
    </row>
    <row r="141" spans="1:19" ht="17.25" thickBot="1">
      <c r="A141" s="125" t="s">
        <v>162</v>
      </c>
      <c r="B141" s="126">
        <v>76.099999999999994</v>
      </c>
      <c r="C141" s="77">
        <v>-2.43589744E-2</v>
      </c>
      <c r="D141" s="15">
        <v>76.400000000000006</v>
      </c>
      <c r="E141" s="32">
        <f t="shared" ref="E141:E144" si="74">IF(ISNUMBER(D141), (D141 - $B141) / $B141, "")</f>
        <v>3.9421813403418054E-3</v>
      </c>
      <c r="F141" s="18">
        <f>IF(ISNUMBER(D141), $B145 * E141, "")</f>
        <v>394.21813403418054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79.400000000000006</v>
      </c>
      <c r="K141" s="32">
        <f t="shared" ref="K141:K144" si="76">IF(ISNUMBER(J141), (J141 - $B141) / $B141, "")</f>
        <v>4.3363994743758363E-2</v>
      </c>
      <c r="L141" s="18">
        <f>IF(ISNUMBER(J141), $B145 * K141, "")</f>
        <v>4336.3994743758367</v>
      </c>
      <c r="M141" s="31">
        <v>79.7</v>
      </c>
      <c r="N141" s="32">
        <f t="shared" ref="N141:N144" si="77">IF(ISNUMBER(M141), (M141 - $B141) / $B141, "")</f>
        <v>4.7306176084099982E-2</v>
      </c>
      <c r="O141" s="18">
        <f>IF(ISNUMBER(M141), $B145 * N141, "")</f>
        <v>4730.617608409998</v>
      </c>
      <c r="Q141" s="216"/>
      <c r="R141" s="216"/>
      <c r="S141" s="216"/>
    </row>
    <row r="142" spans="1:19" ht="17.25" thickBot="1">
      <c r="A142" s="125" t="s">
        <v>204</v>
      </c>
      <c r="B142" s="126">
        <v>11.8</v>
      </c>
      <c r="C142" s="77">
        <v>-2.4793388400000001E-2</v>
      </c>
      <c r="D142" s="15">
        <v>11.8</v>
      </c>
      <c r="E142" s="32">
        <f t="shared" si="74"/>
        <v>0</v>
      </c>
      <c r="F142" s="18">
        <f>IF(ISNUMBER(D142), $B145 * E142, "")</f>
        <v>0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11.9</v>
      </c>
      <c r="K142" s="32">
        <f t="shared" si="76"/>
        <v>8.4745762711864094E-3</v>
      </c>
      <c r="L142" s="18">
        <f>IF(ISNUMBER(J142), $B145 * K142, "")</f>
        <v>847.45762711864097</v>
      </c>
      <c r="M142" s="31">
        <v>12</v>
      </c>
      <c r="N142" s="32">
        <f t="shared" si="77"/>
        <v>1.6949152542372819E-2</v>
      </c>
      <c r="O142" s="18">
        <f>IF(ISNUMBER(M142), $B145 * N142, "")</f>
        <v>1694.9152542372819</v>
      </c>
      <c r="Q142" s="216"/>
      <c r="R142" s="216"/>
      <c r="S142" s="216"/>
    </row>
    <row r="143" spans="1:19">
      <c r="A143" s="125" t="s">
        <v>148</v>
      </c>
      <c r="B143" s="126">
        <v>15.2</v>
      </c>
      <c r="C143" s="77">
        <v>-2.5641025599999999E-2</v>
      </c>
      <c r="D143" s="15">
        <v>14.8</v>
      </c>
      <c r="E143" s="32">
        <f t="shared" si="74"/>
        <v>-2.6315789473684119E-2</v>
      </c>
      <c r="F143" s="18">
        <f>IF(ISNUMBER(D143), $B145 * E143, "")</f>
        <v>-2631.5789473684117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15.1</v>
      </c>
      <c r="K143" s="32">
        <f t="shared" si="76"/>
        <v>-6.5789473684210297E-3</v>
      </c>
      <c r="L143" s="18">
        <f>IF(ISNUMBER(J143), $B145 * K143, "")</f>
        <v>-657.89473684210293</v>
      </c>
      <c r="M143" s="31">
        <v>15.3</v>
      </c>
      <c r="N143" s="32">
        <f t="shared" si="77"/>
        <v>6.5789473684211468E-3</v>
      </c>
      <c r="O143" s="18">
        <f>IF(ISNUMBER(M143), $B145 * N143, "")</f>
        <v>657.89473684211464</v>
      </c>
      <c r="Q143" s="205"/>
      <c r="R143" s="206"/>
      <c r="S143" s="207"/>
    </row>
    <row r="144" spans="1:19" ht="17.25" thickBot="1">
      <c r="A144" s="130" t="s">
        <v>132</v>
      </c>
      <c r="B144" s="131">
        <v>85.8</v>
      </c>
      <c r="C144" s="79">
        <v>-2.72108844E-2</v>
      </c>
      <c r="D144" s="24">
        <v>85.1</v>
      </c>
      <c r="E144" s="25">
        <f t="shared" si="74"/>
        <v>-8.1585081585081928E-3</v>
      </c>
      <c r="F144" s="104">
        <f>IF(ISNUMBER(D144), $B145 * E144, "")</f>
        <v>-815.85081585081923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86.6</v>
      </c>
      <c r="K144" s="25">
        <f t="shared" si="76"/>
        <v>9.324009324009291E-3</v>
      </c>
      <c r="L144" s="104">
        <f>IF(ISNUMBER(J144), $B145 * K144, "")</f>
        <v>932.40093240092915</v>
      </c>
      <c r="M144" s="102">
        <v>86.6</v>
      </c>
      <c r="N144" s="25">
        <f t="shared" si="77"/>
        <v>9.324009324009291E-3</v>
      </c>
      <c r="O144" s="104">
        <f>IF(ISNUMBER(M144), $B145 * N144, "")</f>
        <v>932.40093240092915</v>
      </c>
      <c r="Q144" s="208"/>
      <c r="R144" s="209"/>
      <c r="S144" s="210"/>
    </row>
    <row r="145" spans="1:19" ht="17.25" thickBot="1">
      <c r="A145" s="132" t="s">
        <v>271</v>
      </c>
      <c r="B145" s="269">
        <f>$B$37</f>
        <v>100000</v>
      </c>
      <c r="C145" s="270"/>
      <c r="D145" s="26" t="s">
        <v>272</v>
      </c>
      <c r="E145" s="27">
        <f>IF(COUNT(E125:E144), SUM(E125:E144) / COUNT(E125:E144), 0)</f>
        <v>-1.7823137116282826E-2</v>
      </c>
      <c r="F145" s="28">
        <f>SUM(F125:F144)</f>
        <v>-35646.274232565651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1.0670896714312433E-2</v>
      </c>
      <c r="L145" s="28">
        <f>SUM(L125:L144)</f>
        <v>21341.793428624867</v>
      </c>
      <c r="M145" s="26" t="s">
        <v>272</v>
      </c>
      <c r="N145" s="27">
        <f>IF(COUNT(N125:N144), SUM(N125:N144) / COUNT(N125:N144), 0)</f>
        <v>1.3536204639387664E-2</v>
      </c>
      <c r="O145" s="28">
        <f>SUM(O125:O144)</f>
        <v>27072.409278775325</v>
      </c>
      <c r="Q145" s="211"/>
      <c r="R145" s="212"/>
      <c r="S145" s="213"/>
    </row>
    <row r="147" spans="1:19" ht="17.25" thickBot="1"/>
    <row r="148" spans="1:19" ht="17.25" thickBot="1">
      <c r="A148" s="227" t="s">
        <v>260</v>
      </c>
      <c r="B148" s="228"/>
      <c r="C148" s="228"/>
      <c r="D148" s="228"/>
      <c r="E148" s="228"/>
      <c r="F148" s="228"/>
      <c r="G148" s="228"/>
      <c r="H148" s="228"/>
      <c r="I148" s="228"/>
      <c r="J148" s="228"/>
      <c r="K148" s="228"/>
      <c r="L148" s="228"/>
      <c r="M148" s="228"/>
      <c r="N148" s="228"/>
      <c r="O148" s="229"/>
      <c r="Q148" s="226"/>
      <c r="R148" s="226"/>
      <c r="S148" s="226"/>
    </row>
    <row r="149" spans="1:19" ht="17.25" thickBot="1">
      <c r="A149" s="197" t="s">
        <v>268</v>
      </c>
      <c r="B149" s="227" t="s">
        <v>49</v>
      </c>
      <c r="C149" s="229"/>
      <c r="D149" s="227" t="s">
        <v>58</v>
      </c>
      <c r="E149" s="228"/>
      <c r="F149" s="229"/>
      <c r="G149" s="230">
        <f>_xlfn.IFNA(VLOOKUP(B149, 현재가테이블!$B$2:$D$200, 2, FALSE), "-")</f>
        <v>39916000</v>
      </c>
      <c r="H149" s="231"/>
      <c r="I149" s="232"/>
      <c r="J149" s="227" t="s">
        <v>59</v>
      </c>
      <c r="K149" s="228"/>
      <c r="L149" s="229"/>
      <c r="M149" s="233">
        <f>_xlfn.IFNA(VLOOKUP(B149, 현재가테이블!$B$2:$D$200, 3, FALSE), "-")</f>
        <v>7.3184273000000003E-3</v>
      </c>
      <c r="N149" s="234"/>
      <c r="O149" s="235"/>
      <c r="Q149" s="226"/>
      <c r="R149" s="226"/>
      <c r="S149" s="226"/>
    </row>
    <row r="150" spans="1:19" ht="17.25" thickBot="1">
      <c r="A150" s="271" t="s">
        <v>55</v>
      </c>
      <c r="B150" s="267" t="str">
        <f>TEXT($G$1, "[$-ko-KR]yyyy-mm-dd(ddd) ") &amp; "오전 00:00"</f>
        <v>2021-07-11(일) 오전 00:00</v>
      </c>
      <c r="C150" s="268"/>
      <c r="D150" s="240" t="str">
        <f>TEXT($G$1, "[$-ko-KR]yyyy-mm-dd(ddd) ") &amp; "오후 14:00"</f>
        <v>2021-07-11(일) 오후 14:00</v>
      </c>
      <c r="E150" s="241"/>
      <c r="F150" s="242"/>
      <c r="G150" s="240" t="str">
        <f>TEXT($G$1, "[$-ko-KR]yyyy-mm-dd(ddd) ") &amp; "오후 19:00"</f>
        <v>2021-07-11(일) 오후 19:00</v>
      </c>
      <c r="H150" s="241"/>
      <c r="I150" s="242"/>
      <c r="J150" s="240" t="str">
        <f>TEXT($G$1, "[$-ko-KR]yyyy-mm-dd(ddd) ") &amp; "오후 21:00"</f>
        <v>2021-07-11(일) 오후 21:00</v>
      </c>
      <c r="K150" s="241"/>
      <c r="L150" s="242"/>
      <c r="M150" s="240" t="str">
        <f>TEXT($G$1+1, "[$-ko-KR]yyyy-mm-dd(ddd) ") &amp; "오전 00:00"</f>
        <v>2021-07-12(월) 오전 00:00</v>
      </c>
      <c r="N150" s="241"/>
      <c r="O150" s="242"/>
      <c r="Q150" s="226"/>
      <c r="R150" s="226"/>
      <c r="S150" s="226"/>
    </row>
    <row r="151" spans="1:19" ht="17.25" thickBot="1">
      <c r="A151" s="27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8" t="s">
        <v>58</v>
      </c>
      <c r="H151" s="199" t="s">
        <v>269</v>
      </c>
      <c r="I151" s="20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6"/>
      <c r="R151" s="216"/>
      <c r="S151" s="216"/>
    </row>
    <row r="152" spans="1:19" ht="17.25" thickBot="1">
      <c r="A152" s="123" t="s">
        <v>104</v>
      </c>
      <c r="B152" s="124">
        <v>973</v>
      </c>
      <c r="C152" s="76">
        <v>-1.5182186199999999E-2</v>
      </c>
      <c r="D152" s="13">
        <v>910</v>
      </c>
      <c r="E152" s="14">
        <f>IF(ISNUMBER(D152), (D152 - $B152) / $B152, "")</f>
        <v>-6.4748201438848921E-2</v>
      </c>
      <c r="F152" s="16">
        <f>IF(ISNUMBER(D152), $B172 * E152, "")</f>
        <v>-6474.8201438848919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916</v>
      </c>
      <c r="K152" s="14">
        <f>IF(ISNUMBER(J152), (J152 - $B152) / $B152, "")</f>
        <v>-5.858170606372045E-2</v>
      </c>
      <c r="L152" s="16">
        <f>IF(ISNUMBER(J152), $B172 * K152, "")</f>
        <v>-5858.1706063720449</v>
      </c>
      <c r="M152" s="29">
        <v>936</v>
      </c>
      <c r="N152" s="14">
        <f>IF(ISNUMBER(M152), (M152 - $B152) / $B152, "")</f>
        <v>-3.8026721479958892E-2</v>
      </c>
      <c r="O152" s="16">
        <f>IF(ISNUMBER(M152), $B172 * N152, "")</f>
        <v>-3802.6721479958892</v>
      </c>
      <c r="Q152" s="226"/>
      <c r="R152" s="226"/>
      <c r="S152" s="226"/>
    </row>
    <row r="153" spans="1:19" ht="17.25" thickBot="1">
      <c r="A153" s="125" t="s">
        <v>267</v>
      </c>
      <c r="B153" s="126">
        <v>254</v>
      </c>
      <c r="C153" s="77">
        <v>-1.5503876E-2</v>
      </c>
      <c r="D153" s="15">
        <v>251</v>
      </c>
      <c r="E153" s="32">
        <f t="shared" ref="E153:E156" si="78">IF(ISNUMBER(D153), (D153 - $B153) / $B153, "")</f>
        <v>-1.1811023622047244E-2</v>
      </c>
      <c r="F153" s="18">
        <f>IF(ISNUMBER(D153), $B172 * E153, "")</f>
        <v>-1181.1023622047244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250</v>
      </c>
      <c r="K153" s="32">
        <f t="shared" ref="K153:K156" si="80">IF(ISNUMBER(J153), (J153 - $B153) / $B153, "")</f>
        <v>-1.5748031496062992E-2</v>
      </c>
      <c r="L153" s="18">
        <f>IF(ISNUMBER(J153), $B172 * K153, "")</f>
        <v>-1574.8031496062993</v>
      </c>
      <c r="M153" s="31">
        <v>254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26"/>
      <c r="R153" s="226"/>
      <c r="S153" s="226"/>
    </row>
    <row r="154" spans="1:19" ht="17.25" thickBot="1">
      <c r="A154" s="125" t="s">
        <v>255</v>
      </c>
      <c r="B154" s="126">
        <v>189</v>
      </c>
      <c r="C154" s="77">
        <v>-1.5625E-2</v>
      </c>
      <c r="D154" s="15">
        <v>186</v>
      </c>
      <c r="E154" s="32">
        <f t="shared" si="78"/>
        <v>-1.5873015873015872E-2</v>
      </c>
      <c r="F154" s="18">
        <f>IF(ISNUMBER(D154), $B172 * E154, "")</f>
        <v>-1587.3015873015872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190</v>
      </c>
      <c r="K154" s="32">
        <f t="shared" si="80"/>
        <v>5.2910052910052907E-3</v>
      </c>
      <c r="L154" s="18">
        <f>IF(ISNUMBER(J154), $B172 * K154, "")</f>
        <v>529.10052910052912</v>
      </c>
      <c r="M154" s="31">
        <v>190</v>
      </c>
      <c r="N154" s="32">
        <f t="shared" si="81"/>
        <v>5.2910052910052907E-3</v>
      </c>
      <c r="O154" s="18">
        <f>IF(ISNUMBER(M154), $B172 * N154, "")</f>
        <v>529.10052910052912</v>
      </c>
      <c r="Q154" s="216"/>
      <c r="R154" s="216"/>
      <c r="S154" s="216"/>
    </row>
    <row r="155" spans="1:19" ht="17.25" thickBot="1">
      <c r="A155" s="125" t="s">
        <v>51</v>
      </c>
      <c r="B155" s="126">
        <v>285</v>
      </c>
      <c r="C155" s="77">
        <v>-1.7241379300000002E-2</v>
      </c>
      <c r="D155" s="15">
        <v>286</v>
      </c>
      <c r="E155" s="32">
        <f t="shared" si="78"/>
        <v>3.5087719298245615E-3</v>
      </c>
      <c r="F155" s="18">
        <f>IF(ISNUMBER(D155), $B172 * E155, "")</f>
        <v>350.87719298245617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287</v>
      </c>
      <c r="K155" s="32">
        <f t="shared" si="80"/>
        <v>7.0175438596491229E-3</v>
      </c>
      <c r="L155" s="18">
        <f>IF(ISNUMBER(J155), $B172 * K155, "")</f>
        <v>701.75438596491233</v>
      </c>
      <c r="M155" s="31">
        <v>289</v>
      </c>
      <c r="N155" s="32">
        <f t="shared" si="81"/>
        <v>1.4035087719298246E-2</v>
      </c>
      <c r="O155" s="18">
        <f>IF(ISNUMBER(M155), $B172 * N155, "")</f>
        <v>1403.5087719298247</v>
      </c>
      <c r="Q155" s="216"/>
      <c r="R155" s="216"/>
      <c r="S155" s="216"/>
    </row>
    <row r="156" spans="1:19" ht="17.25" thickBot="1">
      <c r="A156" s="127" t="s">
        <v>174</v>
      </c>
      <c r="B156" s="128">
        <v>213</v>
      </c>
      <c r="C156" s="78">
        <v>-1.84331797E-2</v>
      </c>
      <c r="D156" s="20">
        <v>226</v>
      </c>
      <c r="E156" s="21">
        <f t="shared" si="78"/>
        <v>6.1032863849765258E-2</v>
      </c>
      <c r="F156" s="22">
        <f>IF(ISNUMBER(D156), $B172 * E156, "")</f>
        <v>6103.2863849765254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227</v>
      </c>
      <c r="K156" s="21">
        <f t="shared" si="80"/>
        <v>6.5727699530516437E-2</v>
      </c>
      <c r="L156" s="22">
        <f>IF(ISNUMBER(J156), $B172 * K156, "")</f>
        <v>6572.7699530516438</v>
      </c>
      <c r="M156" s="30">
        <v>226</v>
      </c>
      <c r="N156" s="21">
        <f t="shared" si="81"/>
        <v>6.1032863849765258E-2</v>
      </c>
      <c r="O156" s="22">
        <f>IF(ISNUMBER(M156), $B172 * N156, "")</f>
        <v>6103.2863849765254</v>
      </c>
      <c r="Q156" s="216"/>
      <c r="R156" s="216"/>
      <c r="S156" s="216"/>
    </row>
    <row r="157" spans="1:19" ht="17.25" thickBot="1">
      <c r="A157" s="125" t="s">
        <v>90</v>
      </c>
      <c r="B157" s="129">
        <v>737</v>
      </c>
      <c r="C157" s="80">
        <v>-1.86418109E-2</v>
      </c>
      <c r="D157" s="106">
        <v>733</v>
      </c>
      <c r="E157" s="107">
        <f>IF(ISNUMBER(D157), (D157 - $B157) / $B157, "")</f>
        <v>-5.4274084124830389E-3</v>
      </c>
      <c r="F157" s="108">
        <f>IF(ISNUMBER(D157), $B172 * E157, "")</f>
        <v>-542.74084124830392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738</v>
      </c>
      <c r="K157" s="107">
        <f>IF(ISNUMBER(J157), (J157 - $B157) / $B157, "")</f>
        <v>1.3568521031207597E-3</v>
      </c>
      <c r="L157" s="108">
        <f>IF(ISNUMBER(J157), $B172 * K157, "")</f>
        <v>135.68521031207598</v>
      </c>
      <c r="M157" s="109">
        <v>740</v>
      </c>
      <c r="N157" s="107">
        <f>IF(ISNUMBER(M157), (M157 - $B157) / $B157, "")</f>
        <v>4.0705563093622792E-3</v>
      </c>
      <c r="O157" s="108">
        <f>IF(ISNUMBER(M157), $B172 * N157, "")</f>
        <v>407.05563093622794</v>
      </c>
      <c r="Q157" s="216"/>
      <c r="R157" s="216"/>
      <c r="S157" s="216"/>
    </row>
    <row r="158" spans="1:19" ht="17.25" thickBot="1">
      <c r="A158" s="125" t="s">
        <v>80</v>
      </c>
      <c r="B158" s="126">
        <v>656</v>
      </c>
      <c r="C158" s="77">
        <v>-2.2354694500000001E-2</v>
      </c>
      <c r="D158" s="15">
        <v>648</v>
      </c>
      <c r="E158" s="32">
        <f t="shared" ref="E158:E161" si="82">IF(ISNUMBER(D158), (D158 - $B158) / $B158, "")</f>
        <v>-1.2195121951219513E-2</v>
      </c>
      <c r="F158" s="18">
        <f>IF(ISNUMBER(D158), $B172 * E158, "")</f>
        <v>-1219.5121951219512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653</v>
      </c>
      <c r="K158" s="32">
        <f t="shared" ref="K158:K161" si="84">IF(ISNUMBER(J158), (J158 - $B158) / $B158, "")</f>
        <v>-4.5731707317073168E-3</v>
      </c>
      <c r="L158" s="18">
        <f>IF(ISNUMBER(J158), $B172 * K158, "")</f>
        <v>-457.3170731707317</v>
      </c>
      <c r="M158" s="31">
        <v>660</v>
      </c>
      <c r="N158" s="32">
        <f t="shared" ref="N158:N161" si="85">IF(ISNUMBER(M158), (M158 - $B158) / $B158, "")</f>
        <v>6.0975609756097563E-3</v>
      </c>
      <c r="O158" s="18">
        <f>IF(ISNUMBER(M158), $B172 * N158, "")</f>
        <v>609.7560975609756</v>
      </c>
      <c r="Q158" s="216"/>
      <c r="R158" s="216"/>
      <c r="S158" s="216"/>
    </row>
    <row r="159" spans="1:19" ht="17.25" thickBot="1">
      <c r="A159" s="125" t="s">
        <v>194</v>
      </c>
      <c r="B159" s="126">
        <v>123</v>
      </c>
      <c r="C159" s="77">
        <v>-2.3809523799999999E-2</v>
      </c>
      <c r="D159" s="15">
        <v>125</v>
      </c>
      <c r="E159" s="32">
        <f t="shared" si="82"/>
        <v>1.6260162601626018E-2</v>
      </c>
      <c r="F159" s="18">
        <f>IF(ISNUMBER(D159), $B172 * E159, "")</f>
        <v>1626.0162601626018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133</v>
      </c>
      <c r="K159" s="32">
        <f t="shared" si="84"/>
        <v>8.1300813008130079E-2</v>
      </c>
      <c r="L159" s="18">
        <f>IF(ISNUMBER(J159), $B172 * K159, "")</f>
        <v>8130.0813008130081</v>
      </c>
      <c r="M159" s="31">
        <v>136</v>
      </c>
      <c r="N159" s="32">
        <f t="shared" si="85"/>
        <v>0.10569105691056911</v>
      </c>
      <c r="O159" s="18">
        <f>IF(ISNUMBER(M159), $B172 * N159, "")</f>
        <v>10569.105691056911</v>
      </c>
      <c r="Q159" s="216"/>
      <c r="R159" s="216"/>
      <c r="S159" s="216"/>
    </row>
    <row r="160" spans="1:19" ht="17.25" thickBot="1">
      <c r="A160" s="125" t="s">
        <v>214</v>
      </c>
      <c r="B160" s="126">
        <v>238</v>
      </c>
      <c r="C160" s="77">
        <v>-2.45901639E-2</v>
      </c>
      <c r="D160" s="15">
        <v>233</v>
      </c>
      <c r="E160" s="32">
        <f t="shared" si="82"/>
        <v>-2.100840336134454E-2</v>
      </c>
      <c r="F160" s="18">
        <f>IF(ISNUMBER(D160), $B172 * E160, "")</f>
        <v>-2100.840336134454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239</v>
      </c>
      <c r="K160" s="32">
        <f t="shared" si="84"/>
        <v>4.2016806722689074E-3</v>
      </c>
      <c r="L160" s="18">
        <f>IF(ISNUMBER(J160), $B172 * K160, "")</f>
        <v>420.16806722689074</v>
      </c>
      <c r="M160" s="31">
        <v>239</v>
      </c>
      <c r="N160" s="32">
        <f t="shared" si="85"/>
        <v>4.2016806722689074E-3</v>
      </c>
      <c r="O160" s="18">
        <f>IF(ISNUMBER(M160), $B172 * N160, "")</f>
        <v>420.16806722689074</v>
      </c>
      <c r="Q160" s="33"/>
      <c r="R160" s="33"/>
    </row>
    <row r="161" spans="1:19" ht="17.25" thickBot="1">
      <c r="A161" s="130" t="s">
        <v>253</v>
      </c>
      <c r="B161" s="131">
        <v>736</v>
      </c>
      <c r="C161" s="79">
        <v>-2.6455026499999999E-2</v>
      </c>
      <c r="D161" s="24">
        <v>752</v>
      </c>
      <c r="E161" s="25">
        <f t="shared" si="82"/>
        <v>2.1739130434782608E-2</v>
      </c>
      <c r="F161" s="104">
        <f>IF(ISNUMBER(D161), $B172 * E161, "")</f>
        <v>2173.913043478261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766</v>
      </c>
      <c r="K161" s="25">
        <f t="shared" si="84"/>
        <v>4.0760869565217392E-2</v>
      </c>
      <c r="L161" s="104">
        <f>IF(ISNUMBER(J161), $B172 * K161, "")</f>
        <v>4076.086956521739</v>
      </c>
      <c r="M161" s="102">
        <v>782</v>
      </c>
      <c r="N161" s="25">
        <f t="shared" si="85"/>
        <v>6.25E-2</v>
      </c>
      <c r="O161" s="104">
        <f>IF(ISNUMBER(M161), $B172 * N161, "")</f>
        <v>6250</v>
      </c>
      <c r="Q161" s="217"/>
      <c r="R161" s="218"/>
      <c r="S161" s="219"/>
    </row>
    <row r="162" spans="1:19">
      <c r="A162" s="123" t="s">
        <v>57</v>
      </c>
      <c r="B162" s="124">
        <v>143</v>
      </c>
      <c r="C162" s="76">
        <v>-2.72108844E-2</v>
      </c>
      <c r="D162" s="13">
        <v>141</v>
      </c>
      <c r="E162" s="14">
        <f>IF(ISNUMBER(D162), (D162 - $B162) / $B162, "")</f>
        <v>-1.3986013986013986E-2</v>
      </c>
      <c r="F162" s="16">
        <f>IF(ISNUMBER(D162), $B172 * E162, "")</f>
        <v>-1398.6013986013986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144</v>
      </c>
      <c r="K162" s="14">
        <f>IF(ISNUMBER(J162), (J162 - $B162) / $B162, "")</f>
        <v>6.993006993006993E-3</v>
      </c>
      <c r="L162" s="16">
        <f>IF(ISNUMBER(J162), $B172 * K162, "")</f>
        <v>699.30069930069931</v>
      </c>
      <c r="M162" s="29">
        <v>144</v>
      </c>
      <c r="N162" s="14">
        <f>IF(ISNUMBER(M162), (M162 - $B162) / $B162, "")</f>
        <v>6.993006993006993E-3</v>
      </c>
      <c r="O162" s="16">
        <f>IF(ISNUMBER(M162), $B172 * N162, "")</f>
        <v>699.30069930069931</v>
      </c>
      <c r="Q162" s="220"/>
      <c r="R162" s="221"/>
      <c r="S162" s="222"/>
    </row>
    <row r="163" spans="1:19" ht="17.25" thickBot="1">
      <c r="A163" s="125" t="s">
        <v>184</v>
      </c>
      <c r="B163" s="126">
        <v>850</v>
      </c>
      <c r="C163" s="77">
        <v>-2.85714286E-2</v>
      </c>
      <c r="D163" s="15">
        <v>860</v>
      </c>
      <c r="E163" s="32">
        <f t="shared" ref="E163:E166" si="86">IF(ISNUMBER(D163), (D163 - $B163) / $B163, "")</f>
        <v>1.1764705882352941E-2</v>
      </c>
      <c r="F163" s="18">
        <f>IF(ISNUMBER(D163), $B172 * E163, "")</f>
        <v>1176.4705882352941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865</v>
      </c>
      <c r="K163" s="32">
        <f t="shared" ref="K163:K166" si="88">IF(ISNUMBER(J163), (J163 - $B163) / $B163, "")</f>
        <v>1.7647058823529412E-2</v>
      </c>
      <c r="L163" s="18">
        <f>IF(ISNUMBER(J163), $B172 * K163, "")</f>
        <v>1764.7058823529412</v>
      </c>
      <c r="M163" s="31">
        <v>874</v>
      </c>
      <c r="N163" s="32">
        <f t="shared" ref="N163:N166" si="89">IF(ISNUMBER(M163), (M163 - $B163) / $B163, "")</f>
        <v>2.823529411764706E-2</v>
      </c>
      <c r="O163" s="18">
        <f>IF(ISNUMBER(M163), $B172 * N163, "")</f>
        <v>2823.5294117647059</v>
      </c>
      <c r="Q163" s="223"/>
      <c r="R163" s="224"/>
      <c r="S163" s="225"/>
    </row>
    <row r="164" spans="1:19" ht="17.25" thickBot="1">
      <c r="A164" s="125" t="s">
        <v>138</v>
      </c>
      <c r="B164" s="126">
        <v>409</v>
      </c>
      <c r="C164" s="77">
        <v>-3.0805687200000001E-2</v>
      </c>
      <c r="D164" s="15">
        <v>398</v>
      </c>
      <c r="E164" s="32">
        <f t="shared" si="86"/>
        <v>-2.6894865525672371E-2</v>
      </c>
      <c r="F164" s="18">
        <f>IF(ISNUMBER(D164), $B172 * E164, "")</f>
        <v>-2689.4865525672371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407</v>
      </c>
      <c r="K164" s="32">
        <f t="shared" si="88"/>
        <v>-4.8899755501222494E-3</v>
      </c>
      <c r="L164" s="18">
        <f>IF(ISNUMBER(J164), $B172 * K164, "")</f>
        <v>-488.99755501222495</v>
      </c>
      <c r="M164" s="31">
        <v>406</v>
      </c>
      <c r="N164" s="32">
        <f t="shared" si="89"/>
        <v>-7.3349633251833741E-3</v>
      </c>
      <c r="O164" s="18">
        <f>IF(ISNUMBER(M164), $B172 * N164, "")</f>
        <v>-733.49633251833745</v>
      </c>
      <c r="Q164" s="216"/>
      <c r="R164" s="216"/>
      <c r="S164" s="216"/>
    </row>
    <row r="165" spans="1:19" ht="17.25" thickBot="1">
      <c r="A165" s="125" t="s">
        <v>243</v>
      </c>
      <c r="B165" s="126">
        <v>369</v>
      </c>
      <c r="C165" s="77">
        <v>-3.1496062999999998E-2</v>
      </c>
      <c r="D165" s="15">
        <v>363</v>
      </c>
      <c r="E165" s="32">
        <f t="shared" si="86"/>
        <v>-1.6260162601626018E-2</v>
      </c>
      <c r="F165" s="18">
        <f>IF(ISNUMBER(D165), $B172 * E165, "")</f>
        <v>-1626.0162601626018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367</v>
      </c>
      <c r="K165" s="32">
        <f t="shared" si="88"/>
        <v>-5.4200542005420054E-3</v>
      </c>
      <c r="L165" s="18">
        <f>IF(ISNUMBER(J165), $B172 * K165, "")</f>
        <v>-542.0054200542005</v>
      </c>
      <c r="M165" s="31">
        <v>369</v>
      </c>
      <c r="N165" s="32">
        <f t="shared" si="89"/>
        <v>0</v>
      </c>
      <c r="O165" s="18">
        <f>IF(ISNUMBER(M165), $B172 * N165, "")</f>
        <v>0</v>
      </c>
      <c r="Q165" s="226"/>
      <c r="R165" s="226"/>
      <c r="S165" s="226"/>
    </row>
    <row r="166" spans="1:19" ht="17.25" thickBot="1">
      <c r="A166" s="127" t="s">
        <v>192</v>
      </c>
      <c r="B166" s="128">
        <v>180</v>
      </c>
      <c r="C166" s="78">
        <v>-3.2258064500000003E-2</v>
      </c>
      <c r="D166" s="20">
        <v>182</v>
      </c>
      <c r="E166" s="21">
        <f t="shared" si="86"/>
        <v>1.1111111111111112E-2</v>
      </c>
      <c r="F166" s="22">
        <f>IF(ISNUMBER(D166), $B172 * E166, "")</f>
        <v>1111.1111111111111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184</v>
      </c>
      <c r="K166" s="21">
        <f t="shared" si="88"/>
        <v>2.2222222222222223E-2</v>
      </c>
      <c r="L166" s="22">
        <f>IF(ISNUMBER(J166), $B172 * K166, "")</f>
        <v>2222.2222222222222</v>
      </c>
      <c r="M166" s="30">
        <v>184</v>
      </c>
      <c r="N166" s="21">
        <f t="shared" si="89"/>
        <v>2.2222222222222223E-2</v>
      </c>
      <c r="O166" s="22">
        <f>IF(ISNUMBER(M166), $B172 * N166, "")</f>
        <v>2222.2222222222222</v>
      </c>
      <c r="Q166" s="226"/>
      <c r="R166" s="226"/>
      <c r="S166" s="226"/>
    </row>
    <row r="167" spans="1:19" ht="17.25" thickBot="1">
      <c r="A167" s="125" t="s">
        <v>164</v>
      </c>
      <c r="B167" s="129">
        <v>232</v>
      </c>
      <c r="C167" s="80">
        <v>-3.3333333299999997E-2</v>
      </c>
      <c r="D167" s="106">
        <v>232</v>
      </c>
      <c r="E167" s="107">
        <f>IF(ISNUMBER(D167), (D167 - $B167) / $B167, "")</f>
        <v>0</v>
      </c>
      <c r="F167" s="108">
        <f>IF(ISNUMBER(D167), $B172 * E167, "")</f>
        <v>0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238</v>
      </c>
      <c r="K167" s="107">
        <f>IF(ISNUMBER(J167), (J167 - $B167) / $B167, "")</f>
        <v>2.5862068965517241E-2</v>
      </c>
      <c r="L167" s="108">
        <f>IF(ISNUMBER(J167), $B172 * K167, "")</f>
        <v>2586.2068965517242</v>
      </c>
      <c r="M167" s="109">
        <v>241</v>
      </c>
      <c r="N167" s="107">
        <f>IF(ISNUMBER(M167), (M167 - $B167) / $B167, "")</f>
        <v>3.8793103448275863E-2</v>
      </c>
      <c r="O167" s="108">
        <f>IF(ISNUMBER(M167), $B172 * N167, "")</f>
        <v>3879.3103448275865</v>
      </c>
      <c r="Q167" s="216"/>
      <c r="R167" s="216"/>
      <c r="S167" s="216"/>
    </row>
    <row r="168" spans="1:19" ht="17.25" thickBot="1">
      <c r="A168" s="125" t="s">
        <v>54</v>
      </c>
      <c r="B168" s="126">
        <v>200</v>
      </c>
      <c r="C168" s="77">
        <v>-3.3816425099999999E-2</v>
      </c>
      <c r="D168" s="15">
        <v>200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201</v>
      </c>
      <c r="K168" s="32">
        <f t="shared" ref="K168:K171" si="92">IF(ISNUMBER(J168), (J168 - $B168) / $B168, "")</f>
        <v>5.0000000000000001E-3</v>
      </c>
      <c r="L168" s="18">
        <f>IF(ISNUMBER(J168), $B172 * K168, "")</f>
        <v>500</v>
      </c>
      <c r="M168" s="31">
        <v>202</v>
      </c>
      <c r="N168" s="32">
        <f t="shared" ref="N168:N171" si="93">IF(ISNUMBER(M168), (M168 - $B168) / $B168, "")</f>
        <v>0.01</v>
      </c>
      <c r="O168" s="18">
        <f>IF(ISNUMBER(M168), $B172 * N168, "")</f>
        <v>1000</v>
      </c>
      <c r="Q168" s="216"/>
      <c r="R168" s="216"/>
      <c r="S168" s="216"/>
    </row>
    <row r="169" spans="1:19" ht="17.25" thickBot="1">
      <c r="A169" s="125" t="s">
        <v>200</v>
      </c>
      <c r="B169" s="126">
        <v>111</v>
      </c>
      <c r="C169" s="77">
        <v>-3.4782608700000002E-2</v>
      </c>
      <c r="D169" s="15">
        <v>107</v>
      </c>
      <c r="E169" s="32">
        <f t="shared" si="90"/>
        <v>-3.6036036036036036E-2</v>
      </c>
      <c r="F169" s="18">
        <f>IF(ISNUMBER(D169), $B172 * E169, "")</f>
        <v>-3603.6036036036035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110</v>
      </c>
      <c r="K169" s="32">
        <f t="shared" si="92"/>
        <v>-9.0090090090090089E-3</v>
      </c>
      <c r="L169" s="18">
        <f>IF(ISNUMBER(J169), $B172 * K169, "")</f>
        <v>-900.90090090090087</v>
      </c>
      <c r="M169" s="31">
        <v>113</v>
      </c>
      <c r="N169" s="32">
        <f t="shared" si="93"/>
        <v>1.8018018018018018E-2</v>
      </c>
      <c r="O169" s="18">
        <f>IF(ISNUMBER(M169), $B172 * N169, "")</f>
        <v>1801.8018018018017</v>
      </c>
      <c r="Q169" s="216"/>
      <c r="R169" s="216"/>
      <c r="S169" s="216"/>
    </row>
    <row r="170" spans="1:19">
      <c r="A170" s="125" t="s">
        <v>228</v>
      </c>
      <c r="B170" s="126">
        <v>298</v>
      </c>
      <c r="C170" s="77">
        <v>-3.8709677400000003E-2</v>
      </c>
      <c r="D170" s="15">
        <v>290</v>
      </c>
      <c r="E170" s="32">
        <f t="shared" si="90"/>
        <v>-2.6845637583892617E-2</v>
      </c>
      <c r="F170" s="18">
        <f>IF(ISNUMBER(D170), $B172 * E170, "")</f>
        <v>-2684.5637583892617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295</v>
      </c>
      <c r="K170" s="32">
        <f t="shared" si="92"/>
        <v>-1.0067114093959731E-2</v>
      </c>
      <c r="L170" s="18">
        <f>IF(ISNUMBER(J170), $B172 * K170, "")</f>
        <v>-1006.7114093959731</v>
      </c>
      <c r="M170" s="31">
        <v>299</v>
      </c>
      <c r="N170" s="32">
        <f t="shared" si="93"/>
        <v>3.3557046979865771E-3</v>
      </c>
      <c r="O170" s="18">
        <f>IF(ISNUMBER(M170), $B172 * N170, "")</f>
        <v>335.57046979865771</v>
      </c>
      <c r="Q170" s="205"/>
      <c r="R170" s="206"/>
      <c r="S170" s="207"/>
    </row>
    <row r="171" spans="1:19" ht="17.25" thickBot="1">
      <c r="A171" s="130" t="s">
        <v>124</v>
      </c>
      <c r="B171" s="131">
        <v>285</v>
      </c>
      <c r="C171" s="79">
        <v>-4.0404040400000001E-2</v>
      </c>
      <c r="D171" s="24">
        <v>276</v>
      </c>
      <c r="E171" s="25">
        <f t="shared" si="90"/>
        <v>-3.1578947368421054E-2</v>
      </c>
      <c r="F171" s="104">
        <f>IF(ISNUMBER(D171), $B172 * E171, "")</f>
        <v>-3157.8947368421054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283</v>
      </c>
      <c r="K171" s="25">
        <f t="shared" si="92"/>
        <v>-7.0175438596491229E-3</v>
      </c>
      <c r="L171" s="104">
        <f>IF(ISNUMBER(J171), $B172 * K171, "")</f>
        <v>-701.75438596491233</v>
      </c>
      <c r="M171" s="102">
        <v>286</v>
      </c>
      <c r="N171" s="25">
        <f t="shared" si="93"/>
        <v>3.5087719298245615E-3</v>
      </c>
      <c r="O171" s="104">
        <f>IF(ISNUMBER(M171), $B172 * N171, "")</f>
        <v>350.87719298245617</v>
      </c>
      <c r="Q171" s="208"/>
      <c r="R171" s="209"/>
      <c r="S171" s="210"/>
    </row>
    <row r="172" spans="1:19" ht="17.25" thickBot="1">
      <c r="A172" s="132" t="s">
        <v>271</v>
      </c>
      <c r="B172" s="269">
        <f>$B$37</f>
        <v>100000</v>
      </c>
      <c r="C172" s="270"/>
      <c r="D172" s="26" t="s">
        <v>272</v>
      </c>
      <c r="E172" s="27">
        <f>IF(COUNT(E152:E171), SUM(E152:E171) / COUNT(E152:E171), 0)</f>
        <v>-7.8624045975579336E-3</v>
      </c>
      <c r="F172" s="28">
        <f>SUM(F152:F171)</f>
        <v>-15724.809195115871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8.4037108014705496E-3</v>
      </c>
      <c r="L172" s="28">
        <f>SUM(L152:L171)</f>
        <v>16807.4216029411</v>
      </c>
      <c r="M172" s="26" t="s">
        <v>272</v>
      </c>
      <c r="N172" s="27">
        <f>IF(COUNT(N152:N171), SUM(N152:N171) / COUNT(N152:N171), 0)</f>
        <v>1.7434212417485894E-2</v>
      </c>
      <c r="O172" s="28">
        <f>SUM(O152:O171)</f>
        <v>34868.424834971796</v>
      </c>
      <c r="Q172" s="211"/>
      <c r="R172" s="212"/>
      <c r="S172" s="213"/>
    </row>
    <row r="174" spans="1:19" ht="17.25" thickBot="1"/>
    <row r="175" spans="1:19" ht="17.25" thickBot="1">
      <c r="A175" s="227" t="s">
        <v>256</v>
      </c>
      <c r="B175" s="228"/>
      <c r="C175" s="228"/>
      <c r="D175" s="228"/>
      <c r="E175" s="228"/>
      <c r="F175" s="228"/>
      <c r="G175" s="228"/>
      <c r="H175" s="228"/>
      <c r="I175" s="228"/>
      <c r="J175" s="228"/>
      <c r="K175" s="228"/>
      <c r="L175" s="228"/>
      <c r="M175" s="228"/>
      <c r="N175" s="228"/>
      <c r="O175" s="229"/>
      <c r="Q175" s="226"/>
      <c r="R175" s="226"/>
      <c r="S175" s="226"/>
    </row>
    <row r="176" spans="1:19" ht="17.25" thickBot="1">
      <c r="A176" s="197" t="s">
        <v>268</v>
      </c>
      <c r="B176" s="227" t="s">
        <v>49</v>
      </c>
      <c r="C176" s="229"/>
      <c r="D176" s="227" t="s">
        <v>58</v>
      </c>
      <c r="E176" s="228"/>
      <c r="F176" s="229"/>
      <c r="G176" s="230">
        <f>_xlfn.IFNA(VLOOKUP(B176, 현재가테이블!$B$2:$D$200, 2, FALSE), "-")</f>
        <v>39916000</v>
      </c>
      <c r="H176" s="231"/>
      <c r="I176" s="232"/>
      <c r="J176" s="227" t="s">
        <v>59</v>
      </c>
      <c r="K176" s="228"/>
      <c r="L176" s="229"/>
      <c r="M176" s="233">
        <f>_xlfn.IFNA(VLOOKUP(B176, 현재가테이블!$B$2:$D$200, 3, FALSE), "-")</f>
        <v>7.3184273000000003E-3</v>
      </c>
      <c r="N176" s="234"/>
      <c r="O176" s="235"/>
      <c r="Q176" s="226"/>
      <c r="R176" s="226"/>
      <c r="S176" s="226"/>
    </row>
    <row r="177" spans="1:19" ht="17.25" thickBot="1">
      <c r="A177" s="271" t="s">
        <v>55</v>
      </c>
      <c r="B177" s="267" t="str">
        <f>TEXT($G$1, "[$-ko-KR]yyyy-mm-dd(ddd) ") &amp; "오전 00:00"</f>
        <v>2021-07-11(일) 오전 00:00</v>
      </c>
      <c r="C177" s="268"/>
      <c r="D177" s="240" t="str">
        <f>TEXT($G$1, "[$-ko-KR]yyyy-mm-dd(ddd) ") &amp; "오후 14:00"</f>
        <v>2021-07-11(일) 오후 14:00</v>
      </c>
      <c r="E177" s="241"/>
      <c r="F177" s="242"/>
      <c r="G177" s="240" t="str">
        <f>TEXT($G$1, "[$-ko-KR]yyyy-mm-dd(ddd) ") &amp; "오후 19:00"</f>
        <v>2021-07-11(일) 오후 19:00</v>
      </c>
      <c r="H177" s="241"/>
      <c r="I177" s="242"/>
      <c r="J177" s="240" t="str">
        <f>TEXT($G$1, "[$-ko-KR]yyyy-mm-dd(ddd) ") &amp; "오후 21:00"</f>
        <v>2021-07-11(일) 오후 21:00</v>
      </c>
      <c r="K177" s="241"/>
      <c r="L177" s="242"/>
      <c r="M177" s="240" t="str">
        <f>TEXT($G$1+1, "[$-ko-KR]yyyy-mm-dd(ddd) ") &amp; "오전 00:00"</f>
        <v>2021-07-12(월) 오전 00:00</v>
      </c>
      <c r="N177" s="241"/>
      <c r="O177" s="242"/>
      <c r="Q177" s="226"/>
      <c r="R177" s="226"/>
      <c r="S177" s="226"/>
    </row>
    <row r="178" spans="1:19" ht="17.25" thickBot="1">
      <c r="A178" s="27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8" t="s">
        <v>58</v>
      </c>
      <c r="H178" s="199" t="s">
        <v>269</v>
      </c>
      <c r="I178" s="20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6"/>
      <c r="R178" s="216"/>
      <c r="S178" s="216"/>
    </row>
    <row r="179" spans="1:19" ht="17.25" thickBot="1">
      <c r="A179" s="123" t="s">
        <v>160</v>
      </c>
      <c r="B179" s="124">
        <v>1135</v>
      </c>
      <c r="C179" s="76">
        <v>-2.99145299E-2</v>
      </c>
      <c r="D179" s="13">
        <v>1075</v>
      </c>
      <c r="E179" s="14">
        <f>IF(ISNUMBER(D179), (D179 - $B179) / $B179, "")</f>
        <v>-5.2863436123348019E-2</v>
      </c>
      <c r="F179" s="16">
        <f>IF(ISNUMBER(D179), $B199 * E179, "")</f>
        <v>-5286.3436123348019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1100</v>
      </c>
      <c r="K179" s="14">
        <f>IF(ISNUMBER(J179), (J179 - $B179) / $B179, "")</f>
        <v>-3.0837004405286344E-2</v>
      </c>
      <c r="L179" s="16">
        <f>IF(ISNUMBER(J179), $B199 * K179, "")</f>
        <v>-3083.7004405286343</v>
      </c>
      <c r="M179" s="29">
        <v>1115</v>
      </c>
      <c r="N179" s="14">
        <f>IF(ISNUMBER(M179), (M179 - $B179) / $B179, "")</f>
        <v>-1.7621145374449341E-2</v>
      </c>
      <c r="O179" s="16">
        <f>IF(ISNUMBER(M179), $B199 * N179, "")</f>
        <v>-1762.1145374449341</v>
      </c>
      <c r="Q179" s="226"/>
      <c r="R179" s="226"/>
      <c r="S179" s="226"/>
    </row>
    <row r="180" spans="1:19" ht="17.25" thickBot="1">
      <c r="A180" s="125" t="s">
        <v>120</v>
      </c>
      <c r="B180" s="126">
        <v>2590</v>
      </c>
      <c r="C180" s="77">
        <v>-2.99625468E-2</v>
      </c>
      <c r="D180" s="15">
        <v>2870</v>
      </c>
      <c r="E180" s="32">
        <f t="shared" ref="E180:E183" si="94">IF(ISNUMBER(D180), (D180 - $B180) / $B180, "")</f>
        <v>0.10810810810810811</v>
      </c>
      <c r="F180" s="18">
        <f>IF(ISNUMBER(D180), $B199 * E180, "")</f>
        <v>10810.810810810812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2975</v>
      </c>
      <c r="K180" s="32">
        <f t="shared" ref="K180:K183" si="96">IF(ISNUMBER(J180), (J180 - $B180) / $B180, "")</f>
        <v>0.14864864864864866</v>
      </c>
      <c r="L180" s="18">
        <f>IF(ISNUMBER(J180), $B199 * K180, "")</f>
        <v>14864.864864864865</v>
      </c>
      <c r="M180" s="31">
        <v>2885</v>
      </c>
      <c r="N180" s="32">
        <f t="shared" ref="N180:N183" si="97">IF(ISNUMBER(M180), (M180 - $B180) / $B180, "")</f>
        <v>0.11389961389961389</v>
      </c>
      <c r="O180" s="18">
        <f>IF(ISNUMBER(M180), $B199 * N180, "")</f>
        <v>11389.961389961389</v>
      </c>
      <c r="Q180" s="226"/>
      <c r="R180" s="226"/>
      <c r="S180" s="226"/>
    </row>
    <row r="181" spans="1:19" ht="17.25" thickBot="1">
      <c r="A181" s="125" t="s">
        <v>142</v>
      </c>
      <c r="B181" s="126">
        <v>6780</v>
      </c>
      <c r="C181" s="77">
        <v>-3.0042918500000002E-2</v>
      </c>
      <c r="D181" s="15">
        <v>7035</v>
      </c>
      <c r="E181" s="32">
        <f t="shared" si="94"/>
        <v>3.7610619469026552E-2</v>
      </c>
      <c r="F181" s="18">
        <f>IF(ISNUMBER(D181), $B199 * E181, "")</f>
        <v>3761.0619469026551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7030</v>
      </c>
      <c r="K181" s="32">
        <f t="shared" si="96"/>
        <v>3.687315634218289E-2</v>
      </c>
      <c r="L181" s="18">
        <f>IF(ISNUMBER(J181), $B199 * K181, "")</f>
        <v>3687.3156342182892</v>
      </c>
      <c r="M181" s="31">
        <v>6995</v>
      </c>
      <c r="N181" s="32">
        <f t="shared" si="97"/>
        <v>3.1710914454277289E-2</v>
      </c>
      <c r="O181" s="18">
        <f>IF(ISNUMBER(M181), $B199 * N181, "")</f>
        <v>3171.091445427729</v>
      </c>
      <c r="Q181" s="216"/>
      <c r="R181" s="216"/>
      <c r="S181" s="216"/>
    </row>
    <row r="182" spans="1:19" ht="17.25" thickBot="1">
      <c r="A182" s="125" t="s">
        <v>226</v>
      </c>
      <c r="B182" s="126">
        <v>1275</v>
      </c>
      <c r="C182" s="77">
        <v>-3.0418251E-2</v>
      </c>
      <c r="D182" s="15">
        <v>1255</v>
      </c>
      <c r="E182" s="32">
        <f t="shared" si="94"/>
        <v>-1.5686274509803921E-2</v>
      </c>
      <c r="F182" s="18">
        <f>IF(ISNUMBER(D182), $B199 * E182, "")</f>
        <v>-1568.627450980392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1275</v>
      </c>
      <c r="K182" s="32">
        <f t="shared" si="96"/>
        <v>0</v>
      </c>
      <c r="L182" s="18">
        <f>IF(ISNUMBER(J182), $B199 * K182, "")</f>
        <v>0</v>
      </c>
      <c r="M182" s="31">
        <v>1295</v>
      </c>
      <c r="N182" s="32">
        <f t="shared" si="97"/>
        <v>1.5686274509803921E-2</v>
      </c>
      <c r="O182" s="18">
        <f>IF(ISNUMBER(M182), $B199 * N182, "")</f>
        <v>1568.627450980392</v>
      </c>
      <c r="Q182" s="216"/>
      <c r="R182" s="216"/>
      <c r="S182" s="216"/>
    </row>
    <row r="183" spans="1:19" ht="17.25" thickBot="1">
      <c r="A183" s="127" t="s">
        <v>138</v>
      </c>
      <c r="B183" s="128">
        <v>409</v>
      </c>
      <c r="C183" s="78">
        <v>-3.0805687200000001E-2</v>
      </c>
      <c r="D183" s="20">
        <v>398</v>
      </c>
      <c r="E183" s="21">
        <f t="shared" si="94"/>
        <v>-2.6894865525672371E-2</v>
      </c>
      <c r="F183" s="22">
        <f>IF(ISNUMBER(D183), $B199 * E183, "")</f>
        <v>-2689.4865525672371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407</v>
      </c>
      <c r="K183" s="21">
        <f t="shared" si="96"/>
        <v>-4.8899755501222494E-3</v>
      </c>
      <c r="L183" s="22">
        <f>IF(ISNUMBER(J183), $B199 * K183, "")</f>
        <v>-488.99755501222495</v>
      </c>
      <c r="M183" s="30">
        <v>406</v>
      </c>
      <c r="N183" s="21">
        <f t="shared" si="97"/>
        <v>-7.3349633251833741E-3</v>
      </c>
      <c r="O183" s="22">
        <f>IF(ISNUMBER(M183), $B199 * N183, "")</f>
        <v>-733.49633251833745</v>
      </c>
      <c r="Q183" s="216"/>
      <c r="R183" s="216"/>
      <c r="S183" s="216"/>
    </row>
    <row r="184" spans="1:19" ht="17.25" thickBot="1">
      <c r="A184" s="125" t="s">
        <v>243</v>
      </c>
      <c r="B184" s="129">
        <v>369</v>
      </c>
      <c r="C184" s="80">
        <v>-3.1496062999999998E-2</v>
      </c>
      <c r="D184" s="106">
        <v>363</v>
      </c>
      <c r="E184" s="107">
        <f>IF(ISNUMBER(D184), (D184 - $B184) / $B184, "")</f>
        <v>-1.6260162601626018E-2</v>
      </c>
      <c r="F184" s="108">
        <f>IF(ISNUMBER(D184), $B199 * E184, "")</f>
        <v>-1626.0162601626018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367</v>
      </c>
      <c r="K184" s="107">
        <f>IF(ISNUMBER(J184), (J184 - $B184) / $B184, "")</f>
        <v>-5.4200542005420054E-3</v>
      </c>
      <c r="L184" s="108">
        <f>IF(ISNUMBER(J184), $B199 * K184, "")</f>
        <v>-542.0054200542005</v>
      </c>
      <c r="M184" s="109">
        <v>369</v>
      </c>
      <c r="N184" s="107">
        <f>IF(ISNUMBER(M184), (M184 - $B184) / $B184, "")</f>
        <v>0</v>
      </c>
      <c r="O184" s="108">
        <f>IF(ISNUMBER(M184), $B199 * N184, "")</f>
        <v>0</v>
      </c>
      <c r="Q184" s="216"/>
      <c r="R184" s="216"/>
      <c r="S184" s="216"/>
    </row>
    <row r="185" spans="1:19" ht="17.25" thickBot="1">
      <c r="A185" s="125" t="s">
        <v>172</v>
      </c>
      <c r="B185" s="126">
        <v>1830</v>
      </c>
      <c r="C185" s="77">
        <v>-3.1746031700000003E-2</v>
      </c>
      <c r="D185" s="15">
        <v>1970</v>
      </c>
      <c r="E185" s="32">
        <f t="shared" ref="E185:E188" si="98">IF(ISNUMBER(D185), (D185 - $B185) / $B185, "")</f>
        <v>7.650273224043716E-2</v>
      </c>
      <c r="F185" s="18">
        <f>IF(ISNUMBER(D185), $B199 * E185, "")</f>
        <v>7650.2732240437163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1985</v>
      </c>
      <c r="K185" s="32">
        <f t="shared" ref="K185:K188" si="100">IF(ISNUMBER(J185), (J185 - $B185) / $B185, "")</f>
        <v>8.4699453551912565E-2</v>
      </c>
      <c r="L185" s="18">
        <f>IF(ISNUMBER(J185), $B199 * K185, "")</f>
        <v>8469.9453551912557</v>
      </c>
      <c r="M185" s="31">
        <v>1955</v>
      </c>
      <c r="N185" s="32">
        <f t="shared" ref="N185:N188" si="101">IF(ISNUMBER(M185), (M185 - $B185) / $B185, "")</f>
        <v>6.8306010928961755E-2</v>
      </c>
      <c r="O185" s="18">
        <f>IF(ISNUMBER(M185), $B199 * N185, "")</f>
        <v>6830.6010928961759</v>
      </c>
      <c r="Q185" s="216"/>
      <c r="R185" s="216"/>
      <c r="S185" s="216"/>
    </row>
    <row r="186" spans="1:19" ht="17.25" thickBot="1">
      <c r="A186" s="125" t="s">
        <v>192</v>
      </c>
      <c r="B186" s="126">
        <v>180</v>
      </c>
      <c r="C186" s="77">
        <v>-3.2258064500000003E-2</v>
      </c>
      <c r="D186" s="15">
        <v>182</v>
      </c>
      <c r="E186" s="32">
        <f t="shared" si="98"/>
        <v>1.1111111111111112E-2</v>
      </c>
      <c r="F186" s="18">
        <f>IF(ISNUMBER(D186), $B199 * E186, "")</f>
        <v>1111.1111111111111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184</v>
      </c>
      <c r="K186" s="32">
        <f t="shared" si="100"/>
        <v>2.2222222222222223E-2</v>
      </c>
      <c r="L186" s="18">
        <f>IF(ISNUMBER(J186), $B199 * K186, "")</f>
        <v>2222.2222222222222</v>
      </c>
      <c r="M186" s="31">
        <v>184</v>
      </c>
      <c r="N186" s="32">
        <f t="shared" si="101"/>
        <v>2.2222222222222223E-2</v>
      </c>
      <c r="O186" s="18">
        <f>IF(ISNUMBER(M186), $B199 * N186, "")</f>
        <v>2222.2222222222222</v>
      </c>
      <c r="Q186" s="216"/>
      <c r="R186" s="216"/>
      <c r="S186" s="216"/>
    </row>
    <row r="187" spans="1:19" ht="17.25" thickBot="1">
      <c r="A187" s="125" t="s">
        <v>186</v>
      </c>
      <c r="B187" s="126">
        <v>6030</v>
      </c>
      <c r="C187" s="77">
        <v>-3.2878909400000003E-2</v>
      </c>
      <c r="D187" s="15">
        <v>6410</v>
      </c>
      <c r="E187" s="32">
        <f t="shared" si="98"/>
        <v>6.3018242122719739E-2</v>
      </c>
      <c r="F187" s="18">
        <f>IF(ISNUMBER(D187), $B199 * E187, "")</f>
        <v>6301.8242122719739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6720</v>
      </c>
      <c r="K187" s="32">
        <f t="shared" si="100"/>
        <v>0.11442786069651742</v>
      </c>
      <c r="L187" s="18">
        <f>IF(ISNUMBER(J187), $B199 * K187, "")</f>
        <v>11442.786069651742</v>
      </c>
      <c r="M187" s="31">
        <v>6435</v>
      </c>
      <c r="N187" s="32">
        <f t="shared" si="101"/>
        <v>6.7164179104477612E-2</v>
      </c>
      <c r="O187" s="18">
        <f>IF(ISNUMBER(M187), $B199 * N187, "")</f>
        <v>6716.4179104477607</v>
      </c>
      <c r="Q187" s="33"/>
      <c r="R187" s="33"/>
    </row>
    <row r="188" spans="1:19" ht="17.25" thickBot="1">
      <c r="A188" s="130" t="s">
        <v>164</v>
      </c>
      <c r="B188" s="131">
        <v>232</v>
      </c>
      <c r="C188" s="79">
        <v>-3.3333333299999997E-2</v>
      </c>
      <c r="D188" s="24">
        <v>232</v>
      </c>
      <c r="E188" s="25">
        <f t="shared" si="98"/>
        <v>0</v>
      </c>
      <c r="F188" s="104">
        <f>IF(ISNUMBER(D188), $B199 * E188, "")</f>
        <v>0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238</v>
      </c>
      <c r="K188" s="25">
        <f t="shared" si="100"/>
        <v>2.5862068965517241E-2</v>
      </c>
      <c r="L188" s="104">
        <f>IF(ISNUMBER(J188), $B199 * K188, "")</f>
        <v>2586.2068965517242</v>
      </c>
      <c r="M188" s="102">
        <v>241</v>
      </c>
      <c r="N188" s="25">
        <f t="shared" si="101"/>
        <v>3.8793103448275863E-2</v>
      </c>
      <c r="O188" s="104">
        <f>IF(ISNUMBER(M188), $B199 * N188, "")</f>
        <v>3879.3103448275865</v>
      </c>
      <c r="Q188" s="217"/>
      <c r="R188" s="218"/>
      <c r="S188" s="219"/>
    </row>
    <row r="189" spans="1:19">
      <c r="A189" s="123" t="s">
        <v>54</v>
      </c>
      <c r="B189" s="124">
        <v>200</v>
      </c>
      <c r="C189" s="76">
        <v>-3.3816425099999999E-2</v>
      </c>
      <c r="D189" s="13">
        <v>200</v>
      </c>
      <c r="E189" s="14">
        <f>IF(ISNUMBER(D189), (D189 - $B189) / $B189, "")</f>
        <v>0</v>
      </c>
      <c r="F189" s="16">
        <f>IF(ISNUMBER(D189), $B199 * E189, "")</f>
        <v>0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201</v>
      </c>
      <c r="K189" s="14">
        <f>IF(ISNUMBER(J189), (J189 - $B189) / $B189, "")</f>
        <v>5.0000000000000001E-3</v>
      </c>
      <c r="L189" s="16">
        <f>IF(ISNUMBER(J189), $B199 * K189, "")</f>
        <v>500</v>
      </c>
      <c r="M189" s="29">
        <v>202</v>
      </c>
      <c r="N189" s="14">
        <f>IF(ISNUMBER(M189), (M189 - $B189) / $B189, "")</f>
        <v>0.01</v>
      </c>
      <c r="O189" s="16">
        <f>IF(ISNUMBER(M189), $B199 * N189, "")</f>
        <v>1000</v>
      </c>
      <c r="Q189" s="220"/>
      <c r="R189" s="221"/>
      <c r="S189" s="222"/>
    </row>
    <row r="190" spans="1:19" ht="17.25" thickBot="1">
      <c r="A190" s="125" t="s">
        <v>180</v>
      </c>
      <c r="B190" s="126">
        <v>7710</v>
      </c>
      <c r="C190" s="77">
        <v>-3.4439574200000003E-2</v>
      </c>
      <c r="D190" s="15">
        <v>7655</v>
      </c>
      <c r="E190" s="32">
        <f t="shared" ref="E190:E193" si="102">IF(ISNUMBER(D190), (D190 - $B190) / $B190, "")</f>
        <v>-7.133592736705577E-3</v>
      </c>
      <c r="F190" s="18">
        <f>IF(ISNUMBER(D190), $B199 * E190, "")</f>
        <v>-713.35927367055774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7730</v>
      </c>
      <c r="K190" s="32">
        <f t="shared" ref="K190:K193" si="104">IF(ISNUMBER(J190), (J190 - $B190) / $B190, "")</f>
        <v>2.5940337224383916E-3</v>
      </c>
      <c r="L190" s="18">
        <f>IF(ISNUMBER(J190), $B199 * K190, "")</f>
        <v>259.40337224383916</v>
      </c>
      <c r="M190" s="31">
        <v>7875</v>
      </c>
      <c r="N190" s="32">
        <f t="shared" ref="N190:N193" si="105">IF(ISNUMBER(M190), (M190 - $B190) / $B190, "")</f>
        <v>2.1400778210116732E-2</v>
      </c>
      <c r="O190" s="18">
        <f>IF(ISNUMBER(M190), $B199 * N190, "")</f>
        <v>2140.0778210116732</v>
      </c>
      <c r="Q190" s="223"/>
      <c r="R190" s="224"/>
      <c r="S190" s="225"/>
    </row>
    <row r="191" spans="1:19" ht="17.25" thickBot="1">
      <c r="A191" s="125" t="s">
        <v>200</v>
      </c>
      <c r="B191" s="126">
        <v>111</v>
      </c>
      <c r="C191" s="77">
        <v>-3.4782608700000002E-2</v>
      </c>
      <c r="D191" s="15">
        <v>107</v>
      </c>
      <c r="E191" s="32">
        <f t="shared" si="102"/>
        <v>-3.6036036036036036E-2</v>
      </c>
      <c r="F191" s="18">
        <f>IF(ISNUMBER(D191), $B199 * E191, "")</f>
        <v>-3603.6036036036035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110</v>
      </c>
      <c r="K191" s="32">
        <f t="shared" si="104"/>
        <v>-9.0090090090090089E-3</v>
      </c>
      <c r="L191" s="18">
        <f>IF(ISNUMBER(J191), $B199 * K191, "")</f>
        <v>-900.90090090090087</v>
      </c>
      <c r="M191" s="31">
        <v>113</v>
      </c>
      <c r="N191" s="32">
        <f t="shared" si="105"/>
        <v>1.8018018018018018E-2</v>
      </c>
      <c r="O191" s="18">
        <f>IF(ISNUMBER(M191), $B199 * N191, "")</f>
        <v>1801.8018018018017</v>
      </c>
      <c r="Q191" s="216"/>
      <c r="R191" s="216"/>
      <c r="S191" s="216"/>
    </row>
    <row r="192" spans="1:19" ht="17.25" thickBot="1">
      <c r="A192" s="125" t="s">
        <v>106</v>
      </c>
      <c r="B192" s="126">
        <v>30970</v>
      </c>
      <c r="C192" s="77">
        <v>-3.7899968899999997E-2</v>
      </c>
      <c r="D192" s="15">
        <v>30420</v>
      </c>
      <c r="E192" s="32">
        <f t="shared" si="102"/>
        <v>-1.7759121730707136E-2</v>
      </c>
      <c r="F192" s="18">
        <f>IF(ISNUMBER(D192), $B199 * E192, "")</f>
        <v>-1775.9121730707136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30590</v>
      </c>
      <c r="K192" s="32">
        <f t="shared" si="104"/>
        <v>-1.2269938650306749E-2</v>
      </c>
      <c r="L192" s="18">
        <f>IF(ISNUMBER(J192), $B199 * K192, "")</f>
        <v>-1226.9938650306749</v>
      </c>
      <c r="M192" s="31">
        <v>30950</v>
      </c>
      <c r="N192" s="32">
        <f t="shared" si="105"/>
        <v>-6.4578624475298673E-4</v>
      </c>
      <c r="O192" s="18">
        <f>IF(ISNUMBER(M192), $B199 * N192, "")</f>
        <v>-64.578624475298668</v>
      </c>
      <c r="Q192" s="226"/>
      <c r="R192" s="226"/>
      <c r="S192" s="226"/>
    </row>
    <row r="193" spans="1:19" ht="17.25" thickBot="1">
      <c r="A193" s="127" t="s">
        <v>228</v>
      </c>
      <c r="B193" s="128">
        <v>298</v>
      </c>
      <c r="C193" s="78">
        <v>-3.8709677400000003E-2</v>
      </c>
      <c r="D193" s="20">
        <v>290</v>
      </c>
      <c r="E193" s="21">
        <f t="shared" si="102"/>
        <v>-2.6845637583892617E-2</v>
      </c>
      <c r="F193" s="22">
        <f>IF(ISNUMBER(D193), $B199 * E193, "")</f>
        <v>-2684.5637583892617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295</v>
      </c>
      <c r="K193" s="21">
        <f t="shared" si="104"/>
        <v>-1.0067114093959731E-2</v>
      </c>
      <c r="L193" s="22">
        <f>IF(ISNUMBER(J193), $B199 * K193, "")</f>
        <v>-1006.7114093959731</v>
      </c>
      <c r="M193" s="30">
        <v>299</v>
      </c>
      <c r="N193" s="21">
        <f t="shared" si="105"/>
        <v>3.3557046979865771E-3</v>
      </c>
      <c r="O193" s="22">
        <f>IF(ISNUMBER(M193), $B199 * N193, "")</f>
        <v>335.57046979865771</v>
      </c>
      <c r="Q193" s="226"/>
      <c r="R193" s="226"/>
      <c r="S193" s="226"/>
    </row>
    <row r="194" spans="1:19" ht="17.25" thickBot="1">
      <c r="A194" s="125" t="s">
        <v>124</v>
      </c>
      <c r="B194" s="129">
        <v>285</v>
      </c>
      <c r="C194" s="80">
        <v>-4.0404040400000001E-2</v>
      </c>
      <c r="D194" s="106">
        <v>276</v>
      </c>
      <c r="E194" s="107">
        <f>IF(ISNUMBER(D194), (D194 - $B194) / $B194, "")</f>
        <v>-3.1578947368421054E-2</v>
      </c>
      <c r="F194" s="108">
        <f>IF(ISNUMBER(D194), $B199 * E194, "")</f>
        <v>-3157.8947368421054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283</v>
      </c>
      <c r="K194" s="107">
        <f>IF(ISNUMBER(J194), (J194 - $B194) / $B194, "")</f>
        <v>-7.0175438596491229E-3</v>
      </c>
      <c r="L194" s="108">
        <f>IF(ISNUMBER(J194), $B199 * K194, "")</f>
        <v>-701.75438596491233</v>
      </c>
      <c r="M194" s="109">
        <v>286</v>
      </c>
      <c r="N194" s="107">
        <f>IF(ISNUMBER(M194), (M194 - $B194) / $B194, "")</f>
        <v>3.5087719298245615E-3</v>
      </c>
      <c r="O194" s="108">
        <f>IF(ISNUMBER(M194), $B199 * N194, "")</f>
        <v>350.87719298245617</v>
      </c>
      <c r="Q194" s="216"/>
      <c r="R194" s="216"/>
      <c r="S194" s="216"/>
    </row>
    <row r="195" spans="1:19" ht="17.25" thickBot="1">
      <c r="A195" s="125" t="s">
        <v>212</v>
      </c>
      <c r="B195" s="126">
        <v>1020</v>
      </c>
      <c r="C195" s="77">
        <v>-4.6728972000000001E-2</v>
      </c>
      <c r="D195" s="15">
        <v>999</v>
      </c>
      <c r="E195" s="32">
        <f t="shared" ref="E195:E198" si="106">IF(ISNUMBER(D195), (D195 - $B195) / $B195, "")</f>
        <v>-2.0588235294117647E-2</v>
      </c>
      <c r="F195" s="18">
        <f>IF(ISNUMBER(D195), $B199 * E195, "")</f>
        <v>-2058.8235294117649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1030</v>
      </c>
      <c r="K195" s="32">
        <f t="shared" ref="K195:K198" si="108">IF(ISNUMBER(J195), (J195 - $B195) / $B195, "")</f>
        <v>9.8039215686274508E-3</v>
      </c>
      <c r="L195" s="18">
        <f>IF(ISNUMBER(J195), $B199 * K195, "")</f>
        <v>980.39215686274508</v>
      </c>
      <c r="M195" s="31">
        <v>1040</v>
      </c>
      <c r="N195" s="32">
        <f t="shared" ref="N195:N198" si="109">IF(ISNUMBER(M195), (M195 - $B195) / $B195, "")</f>
        <v>1.9607843137254902E-2</v>
      </c>
      <c r="O195" s="18">
        <f>IF(ISNUMBER(M195), $B199 * N195, "")</f>
        <v>1960.7843137254902</v>
      </c>
      <c r="Q195" s="216"/>
      <c r="R195" s="216"/>
      <c r="S195" s="216"/>
    </row>
    <row r="196" spans="1:19" ht="17.25" thickBot="1">
      <c r="A196" s="125" t="s">
        <v>108</v>
      </c>
      <c r="B196" s="126">
        <v>1100</v>
      </c>
      <c r="C196" s="77">
        <v>-4.7619047599999999E-2</v>
      </c>
      <c r="D196" s="15">
        <v>1055</v>
      </c>
      <c r="E196" s="32">
        <f t="shared" si="106"/>
        <v>-4.0909090909090909E-2</v>
      </c>
      <c r="F196" s="18">
        <f>IF(ISNUMBER(D196), $B199 * E196, "")</f>
        <v>-4090.909090909091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1090</v>
      </c>
      <c r="K196" s="32">
        <f t="shared" si="108"/>
        <v>-9.0909090909090905E-3</v>
      </c>
      <c r="L196" s="18">
        <f>IF(ISNUMBER(J196), $B199 * K196, "")</f>
        <v>-909.09090909090901</v>
      </c>
      <c r="M196" s="31">
        <v>1085</v>
      </c>
      <c r="N196" s="32">
        <f t="shared" si="109"/>
        <v>-1.3636363636363636E-2</v>
      </c>
      <c r="O196" s="18">
        <f>IF(ISNUMBER(M196), $B199 * N196, "")</f>
        <v>-1363.6363636363635</v>
      </c>
      <c r="Q196" s="216"/>
      <c r="R196" s="216"/>
      <c r="S196" s="216"/>
    </row>
    <row r="197" spans="1:19">
      <c r="A197" s="125" t="s">
        <v>158</v>
      </c>
      <c r="B197" s="126">
        <v>16790</v>
      </c>
      <c r="C197" s="77">
        <v>-4.9263873200000002E-2</v>
      </c>
      <c r="D197" s="15">
        <v>16580</v>
      </c>
      <c r="E197" s="32">
        <f t="shared" si="106"/>
        <v>-1.2507444907683145E-2</v>
      </c>
      <c r="F197" s="18">
        <f>IF(ISNUMBER(D197), $B199 * E197, "")</f>
        <v>-1250.7444907683146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16830</v>
      </c>
      <c r="K197" s="32">
        <f t="shared" si="108"/>
        <v>2.3823704586063135E-3</v>
      </c>
      <c r="L197" s="18">
        <f>IF(ISNUMBER(J197), $B199 * K197, "")</f>
        <v>238.23704586063135</v>
      </c>
      <c r="M197" s="31">
        <v>16940</v>
      </c>
      <c r="N197" s="32">
        <f t="shared" si="109"/>
        <v>8.9338892197736754E-3</v>
      </c>
      <c r="O197" s="18">
        <f>IF(ISNUMBER(M197), $B199 * N197, "")</f>
        <v>893.38892197736754</v>
      </c>
      <c r="Q197" s="205"/>
      <c r="R197" s="206"/>
      <c r="S197" s="207"/>
    </row>
    <row r="198" spans="1:19" ht="17.25" thickBot="1">
      <c r="A198" s="130" t="s">
        <v>84</v>
      </c>
      <c r="B198" s="131">
        <v>4720</v>
      </c>
      <c r="C198" s="79">
        <v>-5.03018109E-2</v>
      </c>
      <c r="D198" s="24">
        <v>4550</v>
      </c>
      <c r="E198" s="25">
        <f t="shared" si="106"/>
        <v>-3.6016949152542374E-2</v>
      </c>
      <c r="F198" s="104">
        <f>IF(ISNUMBER(D198), $B199 * E198, "")</f>
        <v>-3601.6949152542375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4600</v>
      </c>
      <c r="K198" s="25">
        <f t="shared" si="108"/>
        <v>-2.5423728813559324E-2</v>
      </c>
      <c r="L198" s="104">
        <f>IF(ISNUMBER(J198), $B199 * K198, "")</f>
        <v>-2542.3728813559323</v>
      </c>
      <c r="M198" s="102">
        <v>4795</v>
      </c>
      <c r="N198" s="25">
        <f t="shared" si="109"/>
        <v>1.5889830508474576E-2</v>
      </c>
      <c r="O198" s="104">
        <f>IF(ISNUMBER(M198), $B199 * N198, "")</f>
        <v>1588.9830508474577</v>
      </c>
      <c r="Q198" s="208"/>
      <c r="R198" s="209"/>
      <c r="S198" s="210"/>
    </row>
    <row r="199" spans="1:19" ht="17.25" thickBot="1">
      <c r="A199" s="132" t="s">
        <v>271</v>
      </c>
      <c r="B199" s="269">
        <f>$B$37</f>
        <v>100000</v>
      </c>
      <c r="C199" s="270"/>
      <c r="D199" s="26" t="s">
        <v>272</v>
      </c>
      <c r="E199" s="27">
        <f>IF(COUNT(E179:E198), SUM(E179:E198) / COUNT(E179:E198), 0)</f>
        <v>-2.2364490714122062E-3</v>
      </c>
      <c r="F199" s="28">
        <f>SUM(F179:F198)</f>
        <v>-4472.898142824416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1.6924422925166476E-2</v>
      </c>
      <c r="L199" s="28">
        <f>SUM(L179:L198)</f>
        <v>33848.845850332946</v>
      </c>
      <c r="M199" s="26" t="s">
        <v>272</v>
      </c>
      <c r="N199" s="27">
        <f>IF(COUNT(N179:N198), SUM(N179:N198) / COUNT(N179:N198), 0)</f>
        <v>2.0962944785416611E-2</v>
      </c>
      <c r="O199" s="28">
        <f>SUM(O179:O198)</f>
        <v>41925.889570833235</v>
      </c>
      <c r="Q199" s="211"/>
      <c r="R199" s="212"/>
      <c r="S199" s="2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B553C-2925-4D14-9FDD-D64564C68CEB}">
  <sheetPr codeName="Sheet18"/>
  <dimension ref="A1:S199"/>
  <sheetViews>
    <sheetView topLeftCell="A13" zoomScaleNormal="100" workbookViewId="0">
      <selection activeCell="H31" sqref="H3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7" t="s">
        <v>0</v>
      </c>
      <c r="B1" s="228"/>
      <c r="C1" s="228"/>
      <c r="D1" s="228"/>
      <c r="E1" s="228"/>
      <c r="F1" s="229"/>
      <c r="G1" s="258">
        <v>44389</v>
      </c>
      <c r="H1" s="259"/>
      <c r="I1" s="260"/>
      <c r="J1" s="227" t="s">
        <v>1</v>
      </c>
      <c r="K1" s="228"/>
      <c r="L1" s="228"/>
      <c r="M1" s="228"/>
      <c r="N1" s="228"/>
      <c r="O1" s="229"/>
      <c r="Q1" s="227" t="s">
        <v>2</v>
      </c>
      <c r="R1" s="229"/>
    </row>
    <row r="2" spans="1:19" ht="17.25" customHeight="1">
      <c r="A2" s="117" t="s">
        <v>3</v>
      </c>
      <c r="B2" s="261" t="s">
        <v>8</v>
      </c>
      <c r="C2" s="262"/>
      <c r="D2" s="262"/>
      <c r="E2" s="262"/>
      <c r="F2" s="263"/>
      <c r="G2" s="255" t="s">
        <v>46</v>
      </c>
      <c r="H2" s="256"/>
      <c r="I2" s="257"/>
      <c r="J2" s="1" t="s">
        <v>3</v>
      </c>
      <c r="K2" s="261" t="s">
        <v>321</v>
      </c>
      <c r="L2" s="262"/>
      <c r="M2" s="262"/>
      <c r="N2" s="262"/>
      <c r="O2" s="263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329</v>
      </c>
      <c r="C3" s="253"/>
      <c r="D3" s="253"/>
      <c r="E3" s="253"/>
      <c r="F3" s="254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9"/>
      <c r="I3" s="250"/>
      <c r="J3" s="4" t="s">
        <v>7</v>
      </c>
      <c r="K3" s="252" t="s">
        <v>322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55" t="s">
        <v>44</v>
      </c>
      <c r="H4" s="256"/>
      <c r="I4" s="257"/>
      <c r="J4" s="4" t="s">
        <v>11</v>
      </c>
      <c r="K4" s="252" t="s">
        <v>323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320</v>
      </c>
      <c r="C5" s="253"/>
      <c r="D5" s="253"/>
      <c r="E5" s="253"/>
      <c r="F5" s="254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9"/>
      <c r="I5" s="250"/>
      <c r="J5" s="4" t="s">
        <v>15</v>
      </c>
      <c r="K5" s="252" t="s">
        <v>324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55" t="s">
        <v>45</v>
      </c>
      <c r="H6" s="256"/>
      <c r="I6" s="257"/>
      <c r="J6" s="4" t="s">
        <v>18</v>
      </c>
      <c r="K6" s="252" t="s">
        <v>325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9"/>
      <c r="I7" s="250"/>
      <c r="J7" s="4" t="s">
        <v>21</v>
      </c>
      <c r="K7" s="252" t="s">
        <v>326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55" t="s">
        <v>256</v>
      </c>
      <c r="H8" s="256"/>
      <c r="I8" s="257"/>
      <c r="J8" s="4" t="s">
        <v>24</v>
      </c>
      <c r="K8" s="252"/>
      <c r="L8" s="253"/>
      <c r="M8" s="253"/>
      <c r="N8" s="253"/>
      <c r="O8" s="254"/>
      <c r="Q8" s="227" t="s">
        <v>27</v>
      </c>
      <c r="R8" s="229"/>
    </row>
    <row r="9" spans="1:19" ht="17.25" thickBot="1">
      <c r="A9" s="118" t="s">
        <v>28</v>
      </c>
      <c r="B9" s="252"/>
      <c r="C9" s="253"/>
      <c r="D9" s="253"/>
      <c r="E9" s="253"/>
      <c r="F9" s="254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9"/>
      <c r="I9" s="250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55" t="s">
        <v>47</v>
      </c>
      <c r="H10" s="256"/>
      <c r="I10" s="257"/>
      <c r="J10" s="4" t="s">
        <v>30</v>
      </c>
      <c r="K10" s="252" t="s">
        <v>327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45" t="s">
        <v>328</v>
      </c>
      <c r="C11" s="246"/>
      <c r="D11" s="246"/>
      <c r="E11" s="246"/>
      <c r="F11" s="247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45" t="s">
        <v>319</v>
      </c>
      <c r="L11" s="246"/>
      <c r="M11" s="246"/>
      <c r="N11" s="246"/>
      <c r="O11" s="247"/>
      <c r="Q11" s="65" t="s">
        <v>33</v>
      </c>
      <c r="R11" s="8">
        <v>1000</v>
      </c>
    </row>
    <row r="12" spans="1:19" ht="17.25" thickBot="1"/>
    <row r="13" spans="1:19" ht="17.25" customHeight="1" thickBot="1">
      <c r="A13" s="227" t="s">
        <v>34</v>
      </c>
      <c r="B13" s="228"/>
      <c r="C13" s="228"/>
      <c r="D13" s="228"/>
      <c r="E13" s="228"/>
      <c r="F13" s="228"/>
      <c r="G13" s="228"/>
      <c r="H13" s="228"/>
      <c r="I13" s="228"/>
      <c r="J13" s="228"/>
      <c r="K13" s="228"/>
      <c r="L13" s="228"/>
      <c r="M13" s="228"/>
      <c r="N13" s="228"/>
      <c r="O13" s="229"/>
      <c r="Q13" s="226"/>
      <c r="R13" s="226"/>
      <c r="S13" s="226"/>
    </row>
    <row r="14" spans="1:19" ht="17.25" customHeight="1" thickBot="1">
      <c r="A14" s="201" t="s">
        <v>35</v>
      </c>
      <c r="B14" s="227" t="s">
        <v>36</v>
      </c>
      <c r="C14" s="229"/>
      <c r="D14" s="227" t="s">
        <v>37</v>
      </c>
      <c r="E14" s="228"/>
      <c r="F14" s="229"/>
      <c r="G14" s="230">
        <f>_xlfn.IFNA(VLOOKUP(B14, 현재가테이블!$B$2:$D$200, 2, FALSE), "-")</f>
        <v>39916000</v>
      </c>
      <c r="H14" s="231"/>
      <c r="I14" s="232"/>
      <c r="J14" s="227" t="s">
        <v>38</v>
      </c>
      <c r="K14" s="228"/>
      <c r="L14" s="229"/>
      <c r="M14" s="233">
        <f>_xlfn.IFNA(VLOOKUP(B14, 현재가테이블!$B$2:$D$200, 3, FALSE), "-")</f>
        <v>7.3184273000000003E-3</v>
      </c>
      <c r="N14" s="234"/>
      <c r="O14" s="235"/>
      <c r="Q14" s="226"/>
      <c r="R14" s="226"/>
      <c r="S14" s="226"/>
    </row>
    <row r="15" spans="1:19" ht="17.25" customHeight="1" thickBot="1">
      <c r="A15" s="264" t="s">
        <v>39</v>
      </c>
      <c r="B15" s="265" t="str">
        <f>TEXT($G$1, "[$-ko-KR]yyyy-mm-dd(ddd) ") &amp; "오전 00:00"</f>
        <v>2021-07-12(월) 오전 00:00</v>
      </c>
      <c r="C15" s="266"/>
      <c r="D15" s="240" t="str">
        <f>TEXT($G$1, "[$-ko-KR]yyyy-mm-dd(ddd) ") &amp; "오후 14:00"</f>
        <v>2021-07-12(월) 오후 14:00</v>
      </c>
      <c r="E15" s="241"/>
      <c r="F15" s="242"/>
      <c r="G15" s="240" t="str">
        <f>TEXT($G$1, "[$-ko-KR]yyyy-mm-dd(ddd) ") &amp; "오후 19:00"</f>
        <v>2021-07-12(월) 오후 19:00</v>
      </c>
      <c r="H15" s="241"/>
      <c r="I15" s="242"/>
      <c r="J15" s="240" t="str">
        <f>TEXT($G$1, "[$-ko-KR]yyyy-mm-dd(ddd) ") &amp; "오후 21:00"</f>
        <v>2021-07-12(월) 오후 21:00</v>
      </c>
      <c r="K15" s="241"/>
      <c r="L15" s="242"/>
      <c r="M15" s="240" t="str">
        <f>TEXT($G$1+1, "[$-ko-KR]yyyy-mm-dd(ddd) ") &amp; "오전 00:00"</f>
        <v>2021-07-13(화) 오전 00:00</v>
      </c>
      <c r="N15" s="241"/>
      <c r="O15" s="242"/>
      <c r="Q15" s="226"/>
      <c r="R15" s="226"/>
      <c r="S15" s="226"/>
    </row>
    <row r="16" spans="1:19" ht="17.25" customHeight="1" thickBot="1">
      <c r="A16" s="26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6"/>
      <c r="R16" s="216"/>
      <c r="S16" s="21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6"/>
      <c r="R19" s="216"/>
      <c r="S19" s="21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6"/>
      <c r="R20" s="216"/>
      <c r="S20" s="21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6"/>
      <c r="R21" s="216"/>
      <c r="S21" s="21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6"/>
      <c r="R22" s="216"/>
      <c r="S22" s="21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6"/>
      <c r="R23" s="216"/>
      <c r="S23" s="21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6"/>
      <c r="R24" s="216"/>
      <c r="S24" s="21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6"/>
      <c r="R29" s="216"/>
      <c r="S29" s="21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6"/>
      <c r="R32" s="216"/>
      <c r="S32" s="21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6"/>
      <c r="R33" s="216"/>
      <c r="S33" s="21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6"/>
      <c r="R34" s="216"/>
      <c r="S34" s="21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5"/>
      <c r="R35" s="206"/>
      <c r="S35" s="2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8"/>
      <c r="R36" s="209"/>
      <c r="S36" s="210"/>
    </row>
    <row r="37" spans="1:19" ht="17.25" customHeight="1" thickBot="1">
      <c r="A37" s="132" t="s">
        <v>42</v>
      </c>
      <c r="B37" s="269">
        <v>100000</v>
      </c>
      <c r="C37" s="27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1"/>
      <c r="R37" s="212"/>
      <c r="S37" s="213"/>
    </row>
    <row r="38" spans="1:19" ht="17.25" customHeight="1"/>
    <row r="39" spans="1:19" ht="17.25" customHeight="1" thickBot="1"/>
    <row r="40" spans="1:19" ht="17.25" customHeight="1" thickBot="1">
      <c r="A40" s="227" t="s">
        <v>44</v>
      </c>
      <c r="B40" s="228"/>
      <c r="C40" s="228"/>
      <c r="D40" s="228"/>
      <c r="E40" s="228"/>
      <c r="F40" s="228"/>
      <c r="G40" s="228"/>
      <c r="H40" s="228"/>
      <c r="I40" s="228"/>
      <c r="J40" s="228"/>
      <c r="K40" s="228"/>
      <c r="L40" s="228"/>
      <c r="M40" s="228"/>
      <c r="N40" s="228"/>
      <c r="O40" s="229"/>
      <c r="Q40" s="226"/>
      <c r="R40" s="226"/>
      <c r="S40" s="226"/>
    </row>
    <row r="41" spans="1:19" ht="17.25" customHeight="1" thickBot="1">
      <c r="A41" s="201" t="s">
        <v>268</v>
      </c>
      <c r="B41" s="227" t="s">
        <v>49</v>
      </c>
      <c r="C41" s="229"/>
      <c r="D41" s="227" t="s">
        <v>58</v>
      </c>
      <c r="E41" s="228"/>
      <c r="F41" s="229"/>
      <c r="G41" s="230">
        <f>_xlfn.IFNA(VLOOKUP(B41, 현재가테이블!$B$2:$D$200, 2, FALSE), "-")</f>
        <v>39916000</v>
      </c>
      <c r="H41" s="231"/>
      <c r="I41" s="232"/>
      <c r="J41" s="227" t="s">
        <v>59</v>
      </c>
      <c r="K41" s="228"/>
      <c r="L41" s="229"/>
      <c r="M41" s="233">
        <f>_xlfn.IFNA(VLOOKUP(B41, 현재가테이블!$B$2:$D$200, 3, FALSE), "-")</f>
        <v>7.3184273000000003E-3</v>
      </c>
      <c r="N41" s="234"/>
      <c r="O41" s="235"/>
      <c r="Q41" s="226"/>
      <c r="R41" s="226"/>
      <c r="S41" s="226"/>
    </row>
    <row r="42" spans="1:19" ht="17.25" customHeight="1" thickBot="1">
      <c r="A42" s="271" t="s">
        <v>55</v>
      </c>
      <c r="B42" s="267" t="str">
        <f>TEXT($G$1, "[$-ko-KR]yyyy-mm-dd(ddd) ") &amp; "오전 00:00"</f>
        <v>2021-07-12(월) 오전 00:00</v>
      </c>
      <c r="C42" s="268"/>
      <c r="D42" s="240" t="str">
        <f>TEXT($G$1, "[$-ko-KR]yyyy-mm-dd(ddd) ") &amp; "오후 14:00"</f>
        <v>2021-07-12(월) 오후 14:00</v>
      </c>
      <c r="E42" s="241"/>
      <c r="F42" s="242"/>
      <c r="G42" s="240" t="str">
        <f>TEXT($G$1, "[$-ko-KR]yyyy-mm-dd(ddd) ") &amp; "오후 19:00"</f>
        <v>2021-07-12(월) 오후 19:00</v>
      </c>
      <c r="H42" s="241"/>
      <c r="I42" s="242"/>
      <c r="J42" s="240" t="str">
        <f>TEXT($G$1, "[$-ko-KR]yyyy-mm-dd(ddd) ") &amp; "오후 21:00"</f>
        <v>2021-07-12(월) 오후 21:00</v>
      </c>
      <c r="K42" s="241"/>
      <c r="L42" s="242"/>
      <c r="M42" s="240" t="str">
        <f>TEXT($G$1+1, "[$-ko-KR]yyyy-mm-dd(ddd) ") &amp; "오전 00:00"</f>
        <v>2021-07-13(화) 오전 00:00</v>
      </c>
      <c r="N42" s="241"/>
      <c r="O42" s="242"/>
      <c r="Q42" s="226"/>
      <c r="R42" s="226"/>
      <c r="S42" s="226"/>
    </row>
    <row r="43" spans="1:19" ht="17.25" customHeight="1" thickBot="1">
      <c r="A43" s="27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02" t="s">
        <v>58</v>
      </c>
      <c r="H43" s="203" t="s">
        <v>269</v>
      </c>
      <c r="I43" s="20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6"/>
      <c r="R43" s="216"/>
      <c r="S43" s="216"/>
    </row>
    <row r="44" spans="1:19" ht="17.25" customHeight="1" thickBot="1">
      <c r="A44" s="123" t="s">
        <v>202</v>
      </c>
      <c r="B44" s="124">
        <v>57.1</v>
      </c>
      <c r="C44" s="76">
        <v>5.9369202199999999E-2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6"/>
      <c r="R44" s="226"/>
      <c r="S44" s="226"/>
    </row>
    <row r="45" spans="1:19" ht="17.25" customHeight="1" thickBot="1">
      <c r="A45" s="125" t="s">
        <v>235</v>
      </c>
      <c r="B45" s="126">
        <v>54.7</v>
      </c>
      <c r="C45" s="77">
        <v>5.5984555999999998E-2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6"/>
      <c r="R45" s="226"/>
      <c r="S45" s="226"/>
    </row>
    <row r="46" spans="1:19" ht="17.25" customHeight="1" thickBot="1">
      <c r="A46" s="125" t="s">
        <v>162</v>
      </c>
      <c r="B46" s="126">
        <v>79.7</v>
      </c>
      <c r="C46" s="77">
        <v>4.3193717299999997E-2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6"/>
      <c r="R46" s="216"/>
      <c r="S46" s="216"/>
    </row>
    <row r="47" spans="1:19" ht="17.25" customHeight="1" thickBot="1">
      <c r="A47" s="125" t="s">
        <v>204</v>
      </c>
      <c r="B47" s="126">
        <v>12</v>
      </c>
      <c r="C47" s="77">
        <v>3.4482758600000003E-2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6"/>
      <c r="R47" s="216"/>
      <c r="S47" s="216"/>
    </row>
    <row r="48" spans="1:19" ht="17.25" customHeight="1" thickBot="1">
      <c r="A48" s="127" t="s">
        <v>208</v>
      </c>
      <c r="B48" s="128">
        <v>9.76</v>
      </c>
      <c r="C48" s="78">
        <v>2.9535865000000001E-2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6"/>
      <c r="R48" s="216"/>
      <c r="S48" s="216"/>
    </row>
    <row r="49" spans="1:19" ht="17.25" customHeight="1" thickBot="1">
      <c r="A49" s="125" t="s">
        <v>178</v>
      </c>
      <c r="B49" s="129">
        <v>14.3</v>
      </c>
      <c r="C49" s="80">
        <v>2.87769784E-2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6"/>
      <c r="R49" s="216"/>
      <c r="S49" s="216"/>
    </row>
    <row r="50" spans="1:19" ht="17.25" customHeight="1" thickBot="1">
      <c r="A50" s="125" t="s">
        <v>128</v>
      </c>
      <c r="B50" s="126">
        <v>91.5</v>
      </c>
      <c r="C50" s="77">
        <v>2.1205357099999999E-2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6"/>
      <c r="R50" s="216"/>
      <c r="S50" s="216"/>
    </row>
    <row r="51" spans="1:19" ht="17.25" customHeight="1" thickBot="1">
      <c r="A51" s="125" t="s">
        <v>65</v>
      </c>
      <c r="B51" s="126">
        <v>25</v>
      </c>
      <c r="C51" s="77">
        <v>2.0408163300000001E-2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6"/>
      <c r="R51" s="216"/>
      <c r="S51" s="216"/>
    </row>
    <row r="52" spans="1:19" ht="17.25" customHeight="1" thickBot="1">
      <c r="A52" s="125" t="s">
        <v>239</v>
      </c>
      <c r="B52" s="126">
        <v>72.900000000000006</v>
      </c>
      <c r="C52" s="77">
        <v>1.9580419599999999E-2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216</v>
      </c>
      <c r="B53" s="131">
        <v>8.32</v>
      </c>
      <c r="C53" s="79">
        <v>1.4634146299999999E-2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7"/>
      <c r="R53" s="218"/>
      <c r="S53" s="219"/>
    </row>
    <row r="54" spans="1:19" ht="17.25" customHeight="1">
      <c r="A54" s="123" t="s">
        <v>190</v>
      </c>
      <c r="B54" s="124">
        <v>14.5</v>
      </c>
      <c r="C54" s="76">
        <v>1.3986014E-2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0"/>
      <c r="R54" s="221"/>
      <c r="S54" s="222"/>
    </row>
    <row r="55" spans="1:19" ht="17.25" customHeight="1" thickBot="1">
      <c r="A55" s="125" t="s">
        <v>144</v>
      </c>
      <c r="B55" s="126">
        <v>84.4</v>
      </c>
      <c r="C55" s="77">
        <v>7.1599044999999997E-3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3"/>
      <c r="R55" s="224"/>
      <c r="S55" s="225"/>
    </row>
    <row r="56" spans="1:19" ht="17.25" customHeight="1" thickBot="1">
      <c r="A56" s="125" t="s">
        <v>98</v>
      </c>
      <c r="B56" s="126">
        <v>2.97</v>
      </c>
      <c r="C56" s="77">
        <v>6.7796610000000002E-3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6"/>
      <c r="R56" s="216"/>
      <c r="S56" s="216"/>
    </row>
    <row r="57" spans="1:19" ht="17.25" customHeight="1" thickBot="1">
      <c r="A57" s="125" t="s">
        <v>148</v>
      </c>
      <c r="B57" s="126">
        <v>15.3</v>
      </c>
      <c r="C57" s="77">
        <v>6.5789474000000001E-3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6"/>
      <c r="R57" s="226"/>
      <c r="S57" s="226"/>
    </row>
    <row r="58" spans="1:19" ht="17.25" customHeight="1" thickBot="1">
      <c r="A58" s="127" t="s">
        <v>122</v>
      </c>
      <c r="B58" s="128">
        <v>22.1</v>
      </c>
      <c r="C58" s="78">
        <v>4.5454544999999997E-3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6"/>
      <c r="R58" s="226"/>
      <c r="S58" s="226"/>
    </row>
    <row r="59" spans="1:19" ht="17.25" customHeight="1" thickBot="1">
      <c r="A59" s="125" t="s">
        <v>152</v>
      </c>
      <c r="B59" s="129">
        <v>72.900000000000006</v>
      </c>
      <c r="C59" s="80">
        <v>4.1322314000000002E-3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6"/>
      <c r="R59" s="216"/>
      <c r="S59" s="216"/>
    </row>
    <row r="60" spans="1:19" ht="17.25" customHeight="1" thickBot="1">
      <c r="A60" s="125" t="s">
        <v>130</v>
      </c>
      <c r="B60" s="126">
        <v>81.8</v>
      </c>
      <c r="C60" s="77">
        <v>3.6809816E-3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6"/>
      <c r="R60" s="216"/>
      <c r="S60" s="216"/>
    </row>
    <row r="61" spans="1:19" ht="17.25" customHeight="1" thickBot="1">
      <c r="A61" s="125" t="s">
        <v>132</v>
      </c>
      <c r="B61" s="126">
        <v>86.6</v>
      </c>
      <c r="C61" s="77">
        <v>3.4762457E-3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6"/>
      <c r="R61" s="216"/>
      <c r="S61" s="216"/>
    </row>
    <row r="62" spans="1:19" ht="17.25" customHeight="1">
      <c r="A62" s="125" t="s">
        <v>150</v>
      </c>
      <c r="B62" s="126">
        <v>9.32</v>
      </c>
      <c r="C62" s="77">
        <v>1.0741138999999999E-3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05"/>
      <c r="R62" s="206"/>
      <c r="S62" s="207"/>
    </row>
    <row r="63" spans="1:19" ht="17.25" customHeight="1" thickBot="1">
      <c r="A63" s="130" t="s">
        <v>72</v>
      </c>
      <c r="B63" s="131">
        <v>18.2</v>
      </c>
      <c r="C63" s="79">
        <v>0</v>
      </c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08"/>
      <c r="R63" s="209"/>
      <c r="S63" s="210"/>
    </row>
    <row r="64" spans="1:19" ht="17.25" customHeight="1" thickBot="1">
      <c r="A64" s="132" t="s">
        <v>271</v>
      </c>
      <c r="B64" s="269">
        <f>$B$37</f>
        <v>100000</v>
      </c>
      <c r="C64" s="270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11"/>
      <c r="R64" s="212"/>
      <c r="S64" s="213"/>
    </row>
    <row r="65" spans="1:19" ht="17.25" customHeight="1"/>
    <row r="66" spans="1:19" ht="17.25" customHeight="1" thickBot="1"/>
    <row r="67" spans="1:19" ht="17.25" thickBot="1">
      <c r="A67" s="227" t="s">
        <v>45</v>
      </c>
      <c r="B67" s="228"/>
      <c r="C67" s="228"/>
      <c r="D67" s="228"/>
      <c r="E67" s="228"/>
      <c r="F67" s="228"/>
      <c r="G67" s="228"/>
      <c r="H67" s="228"/>
      <c r="I67" s="228"/>
      <c r="J67" s="228"/>
      <c r="K67" s="228"/>
      <c r="L67" s="228"/>
      <c r="M67" s="228"/>
      <c r="N67" s="228"/>
      <c r="O67" s="229"/>
      <c r="Q67" s="226"/>
      <c r="R67" s="226"/>
      <c r="S67" s="226"/>
    </row>
    <row r="68" spans="1:19" ht="17.25" thickBot="1">
      <c r="A68" s="201" t="s">
        <v>268</v>
      </c>
      <c r="B68" s="227" t="s">
        <v>49</v>
      </c>
      <c r="C68" s="229"/>
      <c r="D68" s="227" t="s">
        <v>58</v>
      </c>
      <c r="E68" s="228"/>
      <c r="F68" s="229"/>
      <c r="G68" s="230">
        <f>_xlfn.IFNA(VLOOKUP(B68, 현재가테이블!$B$2:$D$200, 2, FALSE), "-")</f>
        <v>39916000</v>
      </c>
      <c r="H68" s="231"/>
      <c r="I68" s="232"/>
      <c r="J68" s="227" t="s">
        <v>59</v>
      </c>
      <c r="K68" s="228"/>
      <c r="L68" s="229"/>
      <c r="M68" s="233">
        <f>_xlfn.IFNA(VLOOKUP(B68, 현재가테이블!$B$2:$D$200, 3, FALSE), "-")</f>
        <v>7.3184273000000003E-3</v>
      </c>
      <c r="N68" s="234"/>
      <c r="O68" s="235"/>
      <c r="Q68" s="226"/>
      <c r="R68" s="226"/>
      <c r="S68" s="226"/>
    </row>
    <row r="69" spans="1:19" ht="17.25" thickBot="1">
      <c r="A69" s="271" t="s">
        <v>55</v>
      </c>
      <c r="B69" s="267" t="str">
        <f>TEXT($G$1, "[$-ko-KR]yyyy-mm-dd(ddd) ") &amp; "오전 00:00"</f>
        <v>2021-07-12(월) 오전 00:00</v>
      </c>
      <c r="C69" s="268"/>
      <c r="D69" s="240" t="str">
        <f>TEXT($G$1, "[$-ko-KR]yyyy-mm-dd(ddd) ") &amp; "오후 14:00"</f>
        <v>2021-07-12(월) 오후 14:00</v>
      </c>
      <c r="E69" s="241"/>
      <c r="F69" s="242"/>
      <c r="G69" s="240" t="str">
        <f>TEXT($G$1, "[$-ko-KR]yyyy-mm-dd(ddd) ") &amp; "오후 19:00"</f>
        <v>2021-07-12(월) 오후 19:00</v>
      </c>
      <c r="H69" s="241"/>
      <c r="I69" s="242"/>
      <c r="J69" s="240" t="str">
        <f>TEXT($G$1, "[$-ko-KR]yyyy-mm-dd(ddd) ") &amp; "오후 21:00"</f>
        <v>2021-07-12(월) 오후 21:00</v>
      </c>
      <c r="K69" s="241"/>
      <c r="L69" s="242"/>
      <c r="M69" s="240" t="str">
        <f>TEXT($G$1+1, "[$-ko-KR]yyyy-mm-dd(ddd) ") &amp; "오전 00:00"</f>
        <v>2021-07-13(화) 오전 00:00</v>
      </c>
      <c r="N69" s="241"/>
      <c r="O69" s="242"/>
      <c r="Q69" s="226"/>
      <c r="R69" s="226"/>
      <c r="S69" s="226"/>
    </row>
    <row r="70" spans="1:19" ht="17.25" thickBot="1">
      <c r="A70" s="27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02" t="s">
        <v>58</v>
      </c>
      <c r="H70" s="203" t="s">
        <v>269</v>
      </c>
      <c r="I70" s="20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6"/>
      <c r="R70" s="216"/>
      <c r="S70" s="216"/>
    </row>
    <row r="71" spans="1:19" ht="17.25" thickBot="1">
      <c r="A71" s="123" t="s">
        <v>194</v>
      </c>
      <c r="B71" s="124">
        <v>136</v>
      </c>
      <c r="C71" s="76">
        <v>0.1056910569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6"/>
      <c r="R71" s="226"/>
      <c r="S71" s="226"/>
    </row>
    <row r="72" spans="1:19" ht="17.25" thickBot="1">
      <c r="A72" s="125" t="s">
        <v>118</v>
      </c>
      <c r="B72" s="126">
        <v>149</v>
      </c>
      <c r="C72" s="77">
        <v>6.4285714300000005E-2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6"/>
      <c r="R72" s="226"/>
      <c r="S72" s="226"/>
    </row>
    <row r="73" spans="1:19" ht="17.25" thickBot="1">
      <c r="A73" s="125" t="s">
        <v>237</v>
      </c>
      <c r="B73" s="126">
        <v>489</v>
      </c>
      <c r="C73" s="77">
        <v>4.7109207700000003E-2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6"/>
      <c r="R73" s="216"/>
      <c r="S73" s="216"/>
    </row>
    <row r="74" spans="1:19" ht="17.25" thickBot="1">
      <c r="A74" s="125" t="s">
        <v>174</v>
      </c>
      <c r="B74" s="126">
        <v>226</v>
      </c>
      <c r="C74" s="77">
        <v>3.6697247699999998E-2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6"/>
      <c r="R74" s="216"/>
      <c r="S74" s="216"/>
    </row>
    <row r="75" spans="1:19" ht="17.25" thickBot="1">
      <c r="A75" s="127" t="s">
        <v>218</v>
      </c>
      <c r="B75" s="128">
        <v>104</v>
      </c>
      <c r="C75" s="78">
        <v>2.9702970299999999E-2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6"/>
      <c r="R75" s="216"/>
      <c r="S75" s="216"/>
    </row>
    <row r="76" spans="1:19" ht="17.25" thickBot="1">
      <c r="A76" s="125" t="s">
        <v>206</v>
      </c>
      <c r="B76" s="129">
        <v>226</v>
      </c>
      <c r="C76" s="80">
        <v>2.7272727300000001E-2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6"/>
      <c r="R76" s="216"/>
      <c r="S76" s="216"/>
    </row>
    <row r="77" spans="1:19" ht="17.25" thickBot="1">
      <c r="A77" s="125" t="s">
        <v>164</v>
      </c>
      <c r="B77" s="126">
        <v>241</v>
      </c>
      <c r="C77" s="77">
        <v>2.5531914900000001E-2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6"/>
      <c r="R77" s="216"/>
      <c r="S77" s="216"/>
    </row>
    <row r="78" spans="1:19" ht="17.25" thickBot="1">
      <c r="A78" s="125" t="s">
        <v>110</v>
      </c>
      <c r="B78" s="126">
        <v>122</v>
      </c>
      <c r="C78" s="77">
        <v>2.5210084000000001E-2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6"/>
      <c r="R78" s="216"/>
      <c r="S78" s="216"/>
    </row>
    <row r="79" spans="1:19" ht="17.25" thickBot="1">
      <c r="A79" s="125" t="s">
        <v>102</v>
      </c>
      <c r="B79" s="126">
        <v>831</v>
      </c>
      <c r="C79" s="77">
        <v>2.0884520899999998E-2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222</v>
      </c>
      <c r="B80" s="131">
        <v>109</v>
      </c>
      <c r="C80" s="79">
        <v>1.8691588799999999E-2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7"/>
      <c r="R80" s="218"/>
      <c r="S80" s="219"/>
    </row>
    <row r="81" spans="1:19">
      <c r="A81" s="123" t="s">
        <v>200</v>
      </c>
      <c r="B81" s="124">
        <v>113</v>
      </c>
      <c r="C81" s="76">
        <v>1.8018018E-2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0"/>
      <c r="R81" s="221"/>
      <c r="S81" s="222"/>
    </row>
    <row r="82" spans="1:19" ht="17.25" thickBot="1">
      <c r="A82" s="125" t="s">
        <v>192</v>
      </c>
      <c r="B82" s="126">
        <v>184</v>
      </c>
      <c r="C82" s="77">
        <v>1.65745856E-2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3"/>
      <c r="R82" s="224"/>
      <c r="S82" s="225"/>
    </row>
    <row r="83" spans="1:19" ht="17.25" thickBot="1">
      <c r="A83" s="125" t="s">
        <v>166</v>
      </c>
      <c r="B83" s="126">
        <v>139</v>
      </c>
      <c r="C83" s="77">
        <v>1.45985401E-2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6"/>
      <c r="R83" s="216"/>
      <c r="S83" s="216"/>
    </row>
    <row r="84" spans="1:19" ht="17.25" thickBot="1">
      <c r="A84" s="125" t="s">
        <v>54</v>
      </c>
      <c r="B84" s="126">
        <v>202</v>
      </c>
      <c r="C84" s="77">
        <v>0.01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6"/>
      <c r="R84" s="226"/>
      <c r="S84" s="226"/>
    </row>
    <row r="85" spans="1:19" ht="17.25" thickBot="1">
      <c r="A85" s="127" t="s">
        <v>86</v>
      </c>
      <c r="B85" s="128">
        <v>305</v>
      </c>
      <c r="C85" s="78">
        <v>9.9337747999999997E-3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6"/>
      <c r="R85" s="226"/>
      <c r="S85" s="226"/>
    </row>
    <row r="86" spans="1:19" ht="17.25" thickBot="1">
      <c r="A86" s="125" t="s">
        <v>253</v>
      </c>
      <c r="B86" s="129">
        <v>782</v>
      </c>
      <c r="C86" s="80">
        <v>9.0322580999999992E-3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6"/>
      <c r="R86" s="216"/>
      <c r="S86" s="216"/>
    </row>
    <row r="87" spans="1:19" ht="17.25" thickBot="1">
      <c r="A87" s="125" t="s">
        <v>214</v>
      </c>
      <c r="B87" s="126">
        <v>239</v>
      </c>
      <c r="C87" s="77">
        <v>8.4388186E-3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6"/>
      <c r="R87" s="216"/>
      <c r="S87" s="216"/>
    </row>
    <row r="88" spans="1:19" ht="17.25" thickBot="1">
      <c r="A88" s="125" t="s">
        <v>57</v>
      </c>
      <c r="B88" s="126">
        <v>144</v>
      </c>
      <c r="C88" s="77">
        <v>6.9930069999999999E-3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6"/>
      <c r="R88" s="216"/>
      <c r="S88" s="216"/>
    </row>
    <row r="89" spans="1:19">
      <c r="A89" s="125" t="s">
        <v>267</v>
      </c>
      <c r="B89" s="126">
        <v>254</v>
      </c>
      <c r="C89" s="77">
        <v>3.9525691999999996E-3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05"/>
      <c r="R89" s="206"/>
      <c r="S89" s="207"/>
    </row>
    <row r="90" spans="1:19" ht="17.25" thickBot="1">
      <c r="A90" s="130" t="s">
        <v>124</v>
      </c>
      <c r="B90" s="131">
        <v>286</v>
      </c>
      <c r="C90" s="79">
        <v>3.5087718999999998E-3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08"/>
      <c r="R90" s="209"/>
      <c r="S90" s="210"/>
    </row>
    <row r="91" spans="1:19" ht="17.25" thickBot="1">
      <c r="A91" s="132" t="s">
        <v>271</v>
      </c>
      <c r="B91" s="269">
        <f>$B$37</f>
        <v>100000</v>
      </c>
      <c r="C91" s="270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11"/>
      <c r="R91" s="212"/>
      <c r="S91" s="213"/>
    </row>
    <row r="93" spans="1:19" ht="17.25" thickBot="1"/>
    <row r="94" spans="1:19" ht="17.25" thickBot="1">
      <c r="A94" s="227" t="s">
        <v>46</v>
      </c>
      <c r="B94" s="228"/>
      <c r="C94" s="228"/>
      <c r="D94" s="228"/>
      <c r="E94" s="228"/>
      <c r="F94" s="228"/>
      <c r="G94" s="228"/>
      <c r="H94" s="228"/>
      <c r="I94" s="228"/>
      <c r="J94" s="228"/>
      <c r="K94" s="228"/>
      <c r="L94" s="228"/>
      <c r="M94" s="228"/>
      <c r="N94" s="228"/>
      <c r="O94" s="229"/>
      <c r="Q94" s="226"/>
      <c r="R94" s="226"/>
      <c r="S94" s="226"/>
    </row>
    <row r="95" spans="1:19" ht="17.25" thickBot="1">
      <c r="A95" s="201" t="s">
        <v>268</v>
      </c>
      <c r="B95" s="227" t="s">
        <v>49</v>
      </c>
      <c r="C95" s="229"/>
      <c r="D95" s="227" t="s">
        <v>58</v>
      </c>
      <c r="E95" s="228"/>
      <c r="F95" s="229"/>
      <c r="G95" s="230">
        <f>_xlfn.IFNA(VLOOKUP(B95, 현재가테이블!$B$2:$D$200, 2, FALSE), "-")</f>
        <v>39916000</v>
      </c>
      <c r="H95" s="231"/>
      <c r="I95" s="232"/>
      <c r="J95" s="227" t="s">
        <v>59</v>
      </c>
      <c r="K95" s="228"/>
      <c r="L95" s="229"/>
      <c r="M95" s="233">
        <f>_xlfn.IFNA(VLOOKUP(B95, 현재가테이블!$B$2:$D$200, 3, FALSE), "-")</f>
        <v>7.3184273000000003E-3</v>
      </c>
      <c r="N95" s="234"/>
      <c r="O95" s="235"/>
      <c r="Q95" s="226"/>
      <c r="R95" s="226"/>
      <c r="S95" s="226"/>
    </row>
    <row r="96" spans="1:19" ht="17.25" thickBot="1">
      <c r="A96" s="271" t="s">
        <v>55</v>
      </c>
      <c r="B96" s="267" t="str">
        <f>TEXT($G$1, "[$-ko-KR]yyyy-mm-dd(ddd) ") &amp; "오전 00:00"</f>
        <v>2021-07-12(월) 오전 00:00</v>
      </c>
      <c r="C96" s="268"/>
      <c r="D96" s="240" t="str">
        <f>TEXT($G$1, "[$-ko-KR]yyyy-mm-dd(ddd) ") &amp; "오후 14:00"</f>
        <v>2021-07-12(월) 오후 14:00</v>
      </c>
      <c r="E96" s="241"/>
      <c r="F96" s="242"/>
      <c r="G96" s="240" t="str">
        <f>TEXT($G$1, "[$-ko-KR]yyyy-mm-dd(ddd) ") &amp; "오후 19:00"</f>
        <v>2021-07-12(월) 오후 19:00</v>
      </c>
      <c r="H96" s="241"/>
      <c r="I96" s="242"/>
      <c r="J96" s="240" t="str">
        <f>TEXT($G$1, "[$-ko-KR]yyyy-mm-dd(ddd) ") &amp; "오후 21:00"</f>
        <v>2021-07-12(월) 오후 21:00</v>
      </c>
      <c r="K96" s="241"/>
      <c r="L96" s="242"/>
      <c r="M96" s="240" t="str">
        <f>TEXT($G$1+1, "[$-ko-KR]yyyy-mm-dd(ddd) ") &amp; "오전 00:00"</f>
        <v>2021-07-13(화) 오전 00:00</v>
      </c>
      <c r="N96" s="241"/>
      <c r="O96" s="242"/>
      <c r="Q96" s="226"/>
      <c r="R96" s="226"/>
      <c r="S96" s="226"/>
    </row>
    <row r="97" spans="1:19" ht="17.25" thickBot="1">
      <c r="A97" s="27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02" t="s">
        <v>58</v>
      </c>
      <c r="H97" s="203" t="s">
        <v>269</v>
      </c>
      <c r="I97" s="20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6"/>
      <c r="R97" s="216"/>
      <c r="S97" s="216"/>
    </row>
    <row r="98" spans="1:19" ht="17.25" thickBot="1">
      <c r="A98" s="123" t="s">
        <v>67</v>
      </c>
      <c r="B98" s="124">
        <v>4135</v>
      </c>
      <c r="C98" s="76">
        <v>0.32532051280000002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6"/>
      <c r="R98" s="226"/>
      <c r="S98" s="226"/>
    </row>
    <row r="99" spans="1:19" ht="17.25" thickBot="1">
      <c r="A99" s="125" t="s">
        <v>120</v>
      </c>
      <c r="B99" s="126">
        <v>2885</v>
      </c>
      <c r="C99" s="77">
        <v>0.1182170543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6"/>
      <c r="R99" s="226"/>
      <c r="S99" s="226"/>
    </row>
    <row r="100" spans="1:19" ht="17.25" thickBot="1">
      <c r="A100" s="125" t="s">
        <v>194</v>
      </c>
      <c r="B100" s="126">
        <v>136</v>
      </c>
      <c r="C100" s="77">
        <v>0.1056910569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6"/>
      <c r="R100" s="216"/>
      <c r="S100" s="216"/>
    </row>
    <row r="101" spans="1:19" ht="17.25" thickBot="1">
      <c r="A101" s="125" t="s">
        <v>156</v>
      </c>
      <c r="B101" s="126">
        <v>1635</v>
      </c>
      <c r="C101" s="77">
        <v>7.9207920799999998E-2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6"/>
      <c r="R101" s="216"/>
      <c r="S101" s="216"/>
    </row>
    <row r="102" spans="1:19" ht="17.25" thickBot="1">
      <c r="A102" s="127" t="s">
        <v>168</v>
      </c>
      <c r="B102" s="128">
        <v>1560</v>
      </c>
      <c r="C102" s="78">
        <v>6.4846416399999995E-2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6"/>
      <c r="R102" s="216"/>
      <c r="S102" s="216"/>
    </row>
    <row r="103" spans="1:19" ht="17.25" thickBot="1">
      <c r="A103" s="125" t="s">
        <v>118</v>
      </c>
      <c r="B103" s="129">
        <v>149</v>
      </c>
      <c r="C103" s="80">
        <v>6.4285714300000005E-2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6"/>
      <c r="R103" s="216"/>
      <c r="S103" s="216"/>
    </row>
    <row r="104" spans="1:19" ht="17.25" thickBot="1">
      <c r="A104" s="125" t="s">
        <v>186</v>
      </c>
      <c r="B104" s="126">
        <v>6435</v>
      </c>
      <c r="C104" s="77">
        <v>6.2758051199999998E-2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6"/>
      <c r="R104" s="216"/>
      <c r="S104" s="216"/>
    </row>
    <row r="105" spans="1:19" ht="17.25" thickBot="1">
      <c r="A105" s="125" t="s">
        <v>202</v>
      </c>
      <c r="B105" s="126">
        <v>57.1</v>
      </c>
      <c r="C105" s="77">
        <v>5.9369202199999999E-2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6"/>
      <c r="R105" s="216"/>
      <c r="S105" s="216"/>
    </row>
    <row r="106" spans="1:19" ht="17.25" thickBot="1">
      <c r="A106" s="125" t="s">
        <v>172</v>
      </c>
      <c r="B106" s="126">
        <v>1955</v>
      </c>
      <c r="C106" s="77">
        <v>5.6756756800000002E-2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235</v>
      </c>
      <c r="B107" s="131">
        <v>54.7</v>
      </c>
      <c r="C107" s="79">
        <v>5.5984555999999998E-2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7"/>
      <c r="R107" s="218"/>
      <c r="S107" s="219"/>
    </row>
    <row r="108" spans="1:19">
      <c r="A108" s="123" t="s">
        <v>237</v>
      </c>
      <c r="B108" s="124">
        <v>489</v>
      </c>
      <c r="C108" s="76">
        <v>4.7109207700000003E-2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0"/>
      <c r="R108" s="221"/>
      <c r="S108" s="222"/>
    </row>
    <row r="109" spans="1:19" ht="17.25" thickBot="1">
      <c r="A109" s="125" t="s">
        <v>162</v>
      </c>
      <c r="B109" s="126">
        <v>79.7</v>
      </c>
      <c r="C109" s="77">
        <v>4.3193717299999997E-2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3"/>
      <c r="R109" s="224"/>
      <c r="S109" s="225"/>
    </row>
    <row r="110" spans="1:19" ht="17.25" thickBot="1">
      <c r="A110" s="125" t="s">
        <v>140</v>
      </c>
      <c r="B110" s="126">
        <v>4990</v>
      </c>
      <c r="C110" s="77">
        <v>3.9583333300000002E-2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6"/>
      <c r="R110" s="216"/>
      <c r="S110" s="216"/>
    </row>
    <row r="111" spans="1:19" ht="17.25" thickBot="1">
      <c r="A111" s="125" t="s">
        <v>174</v>
      </c>
      <c r="B111" s="126">
        <v>226</v>
      </c>
      <c r="C111" s="77">
        <v>3.6697247699999998E-2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6"/>
      <c r="R111" s="226"/>
      <c r="S111" s="226"/>
    </row>
    <row r="112" spans="1:19" ht="17.25" thickBot="1">
      <c r="A112" s="127" t="s">
        <v>204</v>
      </c>
      <c r="B112" s="128">
        <v>12</v>
      </c>
      <c r="C112" s="78">
        <v>3.4482758600000003E-2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6"/>
      <c r="R112" s="226"/>
      <c r="S112" s="226"/>
    </row>
    <row r="113" spans="1:19" ht="17.25" thickBot="1">
      <c r="A113" s="125" t="s">
        <v>224</v>
      </c>
      <c r="B113" s="129">
        <v>2990</v>
      </c>
      <c r="C113" s="80">
        <v>3.1034482799999999E-2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6"/>
      <c r="R113" s="216"/>
      <c r="S113" s="216"/>
    </row>
    <row r="114" spans="1:19" ht="17.25" thickBot="1">
      <c r="A114" s="125" t="s">
        <v>247</v>
      </c>
      <c r="B114" s="126">
        <v>7175</v>
      </c>
      <c r="C114" s="77">
        <v>3.0150753799999999E-2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6"/>
      <c r="R114" s="216"/>
      <c r="S114" s="216"/>
    </row>
    <row r="115" spans="1:19" ht="17.25" thickBot="1">
      <c r="A115" s="125" t="s">
        <v>218</v>
      </c>
      <c r="B115" s="126">
        <v>104</v>
      </c>
      <c r="C115" s="77">
        <v>2.9702970299999999E-2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6"/>
      <c r="R115" s="216"/>
      <c r="S115" s="216"/>
    </row>
    <row r="116" spans="1:19">
      <c r="A116" s="125" t="s">
        <v>208</v>
      </c>
      <c r="B116" s="126">
        <v>9.76</v>
      </c>
      <c r="C116" s="77">
        <v>2.9535865000000001E-2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05"/>
      <c r="R116" s="206"/>
      <c r="S116" s="207"/>
    </row>
    <row r="117" spans="1:19" ht="17.25" thickBot="1">
      <c r="A117" s="130" t="s">
        <v>178</v>
      </c>
      <c r="B117" s="131">
        <v>14.3</v>
      </c>
      <c r="C117" s="79">
        <v>2.87769784E-2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08"/>
      <c r="R117" s="209"/>
      <c r="S117" s="210"/>
    </row>
    <row r="118" spans="1:19" ht="17.25" thickBot="1">
      <c r="A118" s="132" t="s">
        <v>271</v>
      </c>
      <c r="B118" s="269">
        <f>$B$37</f>
        <v>100000</v>
      </c>
      <c r="C118" s="270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11"/>
      <c r="R118" s="212"/>
      <c r="S118" s="213"/>
    </row>
    <row r="120" spans="1:19" ht="17.25" thickBot="1"/>
    <row r="121" spans="1:19" ht="17.25" thickBot="1">
      <c r="A121" s="227" t="s">
        <v>259</v>
      </c>
      <c r="B121" s="228"/>
      <c r="C121" s="228"/>
      <c r="D121" s="228"/>
      <c r="E121" s="228"/>
      <c r="F121" s="228"/>
      <c r="G121" s="228"/>
      <c r="H121" s="228"/>
      <c r="I121" s="228"/>
      <c r="J121" s="228"/>
      <c r="K121" s="228"/>
      <c r="L121" s="228"/>
      <c r="M121" s="228"/>
      <c r="N121" s="228"/>
      <c r="O121" s="229"/>
      <c r="Q121" s="226"/>
      <c r="R121" s="226"/>
      <c r="S121" s="226"/>
    </row>
    <row r="122" spans="1:19" ht="17.25" thickBot="1">
      <c r="A122" s="201" t="s">
        <v>268</v>
      </c>
      <c r="B122" s="227" t="s">
        <v>49</v>
      </c>
      <c r="C122" s="229"/>
      <c r="D122" s="227" t="s">
        <v>58</v>
      </c>
      <c r="E122" s="228"/>
      <c r="F122" s="229"/>
      <c r="G122" s="230">
        <f>_xlfn.IFNA(VLOOKUP(B122, 현재가테이블!$B$2:$D$200, 2, FALSE), "-")</f>
        <v>39916000</v>
      </c>
      <c r="H122" s="231"/>
      <c r="I122" s="232"/>
      <c r="J122" s="227" t="s">
        <v>59</v>
      </c>
      <c r="K122" s="228"/>
      <c r="L122" s="229"/>
      <c r="M122" s="233">
        <f>_xlfn.IFNA(VLOOKUP(B122, 현재가테이블!$B$2:$D$200, 3, FALSE), "-")</f>
        <v>7.3184273000000003E-3</v>
      </c>
      <c r="N122" s="234"/>
      <c r="O122" s="235"/>
      <c r="Q122" s="226"/>
      <c r="R122" s="226"/>
      <c r="S122" s="226"/>
    </row>
    <row r="123" spans="1:19" ht="17.25" thickBot="1">
      <c r="A123" s="271" t="s">
        <v>55</v>
      </c>
      <c r="B123" s="267" t="str">
        <f>TEXT($G$1, "[$-ko-KR]yyyy-mm-dd(ddd) ") &amp; "오전 00:00"</f>
        <v>2021-07-12(월) 오전 00:00</v>
      </c>
      <c r="C123" s="268"/>
      <c r="D123" s="240" t="str">
        <f>TEXT($G$1, "[$-ko-KR]yyyy-mm-dd(ddd) ") &amp; "오후 14:00"</f>
        <v>2021-07-12(월) 오후 14:00</v>
      </c>
      <c r="E123" s="241"/>
      <c r="F123" s="242"/>
      <c r="G123" s="240" t="str">
        <f>TEXT($G$1, "[$-ko-KR]yyyy-mm-dd(ddd) ") &amp; "오후 19:00"</f>
        <v>2021-07-12(월) 오후 19:00</v>
      </c>
      <c r="H123" s="241"/>
      <c r="I123" s="242"/>
      <c r="J123" s="240" t="str">
        <f>TEXT($G$1, "[$-ko-KR]yyyy-mm-dd(ddd) ") &amp; "오후 21:00"</f>
        <v>2021-07-12(월) 오후 21:00</v>
      </c>
      <c r="K123" s="241"/>
      <c r="L123" s="242"/>
      <c r="M123" s="240" t="str">
        <f>TEXT($G$1+1, "[$-ko-KR]yyyy-mm-dd(ddd) ") &amp; "오전 00:00"</f>
        <v>2021-07-13(화) 오전 00:00</v>
      </c>
      <c r="N123" s="241"/>
      <c r="O123" s="242"/>
      <c r="Q123" s="226"/>
      <c r="R123" s="226"/>
      <c r="S123" s="226"/>
    </row>
    <row r="124" spans="1:19" ht="17.25" thickBot="1">
      <c r="A124" s="27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02" t="s">
        <v>58</v>
      </c>
      <c r="H124" s="203" t="s">
        <v>269</v>
      </c>
      <c r="I124" s="20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6"/>
      <c r="R124" s="216"/>
      <c r="S124" s="216"/>
    </row>
    <row r="125" spans="1:19" ht="17.25" thickBot="1">
      <c r="A125" s="123" t="s">
        <v>208</v>
      </c>
      <c r="B125" s="124">
        <v>9.76</v>
      </c>
      <c r="C125" s="76">
        <v>2.9535865000000001E-2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6"/>
      <c r="R125" s="226"/>
      <c r="S125" s="226"/>
    </row>
    <row r="126" spans="1:19" ht="17.25" thickBot="1">
      <c r="A126" s="125" t="s">
        <v>178</v>
      </c>
      <c r="B126" s="126">
        <v>14.3</v>
      </c>
      <c r="C126" s="77">
        <v>2.87769784E-2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6"/>
      <c r="R126" s="226"/>
      <c r="S126" s="226"/>
    </row>
    <row r="127" spans="1:19" ht="17.25" thickBot="1">
      <c r="A127" s="125" t="s">
        <v>128</v>
      </c>
      <c r="B127" s="126">
        <v>91.5</v>
      </c>
      <c r="C127" s="77">
        <v>2.1205357099999999E-2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6"/>
      <c r="R127" s="216"/>
      <c r="S127" s="216"/>
    </row>
    <row r="128" spans="1:19" ht="17.25" thickBot="1">
      <c r="A128" s="125" t="s">
        <v>65</v>
      </c>
      <c r="B128" s="126">
        <v>25</v>
      </c>
      <c r="C128" s="77">
        <v>2.0408163300000001E-2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6"/>
      <c r="R128" s="216"/>
      <c r="S128" s="216"/>
    </row>
    <row r="129" spans="1:19" ht="17.25" thickBot="1">
      <c r="A129" s="127" t="s">
        <v>239</v>
      </c>
      <c r="B129" s="128">
        <v>72.900000000000006</v>
      </c>
      <c r="C129" s="78">
        <v>1.9580419599999999E-2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6"/>
      <c r="R129" s="216"/>
      <c r="S129" s="216"/>
    </row>
    <row r="130" spans="1:19" ht="17.25" thickBot="1">
      <c r="A130" s="125" t="s">
        <v>216</v>
      </c>
      <c r="B130" s="129">
        <v>8.32</v>
      </c>
      <c r="C130" s="80">
        <v>1.4634146299999999E-2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6"/>
      <c r="R130" s="216"/>
      <c r="S130" s="216"/>
    </row>
    <row r="131" spans="1:19" ht="17.25" thickBot="1">
      <c r="A131" s="125" t="s">
        <v>190</v>
      </c>
      <c r="B131" s="126">
        <v>14.5</v>
      </c>
      <c r="C131" s="77">
        <v>1.3986014E-2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6"/>
      <c r="R131" s="216"/>
      <c r="S131" s="216"/>
    </row>
    <row r="132" spans="1:19" ht="17.25" thickBot="1">
      <c r="A132" s="125" t="s">
        <v>144</v>
      </c>
      <c r="B132" s="126">
        <v>84.4</v>
      </c>
      <c r="C132" s="77">
        <v>7.1599044999999997E-3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6"/>
      <c r="R132" s="216"/>
      <c r="S132" s="216"/>
    </row>
    <row r="133" spans="1:19" ht="17.25" thickBot="1">
      <c r="A133" s="125" t="s">
        <v>98</v>
      </c>
      <c r="B133" s="126">
        <v>2.97</v>
      </c>
      <c r="C133" s="77">
        <v>6.7796610000000002E-3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148</v>
      </c>
      <c r="B134" s="131">
        <v>15.3</v>
      </c>
      <c r="C134" s="79">
        <v>6.5789474000000001E-3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7"/>
      <c r="R134" s="218"/>
      <c r="S134" s="219"/>
    </row>
    <row r="135" spans="1:19">
      <c r="A135" s="123" t="s">
        <v>122</v>
      </c>
      <c r="B135" s="124">
        <v>22.1</v>
      </c>
      <c r="C135" s="76">
        <v>4.5454544999999997E-3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0"/>
      <c r="R135" s="221"/>
      <c r="S135" s="222"/>
    </row>
    <row r="136" spans="1:19" ht="17.25" thickBot="1">
      <c r="A136" s="125" t="s">
        <v>152</v>
      </c>
      <c r="B136" s="126">
        <v>72.900000000000006</v>
      </c>
      <c r="C136" s="77">
        <v>4.1322314000000002E-3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3"/>
      <c r="R136" s="224"/>
      <c r="S136" s="225"/>
    </row>
    <row r="137" spans="1:19" ht="17.25" thickBot="1">
      <c r="A137" s="125" t="s">
        <v>130</v>
      </c>
      <c r="B137" s="126">
        <v>81.8</v>
      </c>
      <c r="C137" s="77">
        <v>3.6809816E-3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6"/>
      <c r="R137" s="216"/>
      <c r="S137" s="216"/>
    </row>
    <row r="138" spans="1:19" ht="17.25" thickBot="1">
      <c r="A138" s="125" t="s">
        <v>132</v>
      </c>
      <c r="B138" s="126">
        <v>86.6</v>
      </c>
      <c r="C138" s="77">
        <v>3.4762457E-3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6"/>
      <c r="R138" s="226"/>
      <c r="S138" s="226"/>
    </row>
    <row r="139" spans="1:19" ht="17.25" thickBot="1">
      <c r="A139" s="127" t="s">
        <v>150</v>
      </c>
      <c r="B139" s="128">
        <v>9.32</v>
      </c>
      <c r="C139" s="78">
        <v>1.0741138999999999E-3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6"/>
      <c r="R139" s="226"/>
      <c r="S139" s="226"/>
    </row>
    <row r="140" spans="1:19" ht="17.25" thickBot="1">
      <c r="A140" s="125" t="s">
        <v>72</v>
      </c>
      <c r="B140" s="129">
        <v>18.2</v>
      </c>
      <c r="C140" s="80">
        <v>0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6"/>
      <c r="R140" s="216"/>
      <c r="S140" s="216"/>
    </row>
    <row r="141" spans="1:19" ht="17.25" thickBot="1">
      <c r="A141" s="125" t="s">
        <v>188</v>
      </c>
      <c r="B141" s="126">
        <v>9.6999999999999993</v>
      </c>
      <c r="C141" s="77">
        <v>-1.22199593E-2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6"/>
      <c r="R141" s="216"/>
      <c r="S141" s="216"/>
    </row>
    <row r="142" spans="1:19" ht="17.25" thickBot="1">
      <c r="A142" s="125" t="s">
        <v>251</v>
      </c>
      <c r="B142" s="126">
        <v>59</v>
      </c>
      <c r="C142" s="77">
        <v>-1.33779264E-2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6"/>
      <c r="R142" s="216"/>
      <c r="S142" s="216"/>
    </row>
    <row r="143" spans="1:19">
      <c r="A143" s="125" t="s">
        <v>241</v>
      </c>
      <c r="B143" s="126">
        <v>53.9</v>
      </c>
      <c r="C143" s="77">
        <v>-1.82149362E-2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05"/>
      <c r="R143" s="206"/>
      <c r="S143" s="207"/>
    </row>
    <row r="144" spans="1:19" ht="17.25" thickBot="1">
      <c r="A144" s="130" t="s">
        <v>210</v>
      </c>
      <c r="B144" s="131">
        <v>9.5</v>
      </c>
      <c r="C144" s="79">
        <v>-2.5641025599999999E-2</v>
      </c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08"/>
      <c r="R144" s="209"/>
      <c r="S144" s="210"/>
    </row>
    <row r="145" spans="1:19" ht="17.25" thickBot="1">
      <c r="A145" s="132" t="s">
        <v>271</v>
      </c>
      <c r="B145" s="269">
        <f>$B$37</f>
        <v>100000</v>
      </c>
      <c r="C145" s="270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11"/>
      <c r="R145" s="212"/>
      <c r="S145" s="213"/>
    </row>
    <row r="147" spans="1:19" ht="17.25" thickBot="1"/>
    <row r="148" spans="1:19" ht="17.25" thickBot="1">
      <c r="A148" s="227" t="s">
        <v>260</v>
      </c>
      <c r="B148" s="228"/>
      <c r="C148" s="228"/>
      <c r="D148" s="228"/>
      <c r="E148" s="228"/>
      <c r="F148" s="228"/>
      <c r="G148" s="228"/>
      <c r="H148" s="228"/>
      <c r="I148" s="228"/>
      <c r="J148" s="228"/>
      <c r="K148" s="228"/>
      <c r="L148" s="228"/>
      <c r="M148" s="228"/>
      <c r="N148" s="228"/>
      <c r="O148" s="229"/>
      <c r="Q148" s="226"/>
      <c r="R148" s="226"/>
      <c r="S148" s="226"/>
    </row>
    <row r="149" spans="1:19" ht="17.25" thickBot="1">
      <c r="A149" s="201" t="s">
        <v>268</v>
      </c>
      <c r="B149" s="227" t="s">
        <v>49</v>
      </c>
      <c r="C149" s="229"/>
      <c r="D149" s="227" t="s">
        <v>58</v>
      </c>
      <c r="E149" s="228"/>
      <c r="F149" s="229"/>
      <c r="G149" s="230">
        <f>_xlfn.IFNA(VLOOKUP(B149, 현재가테이블!$B$2:$D$200, 2, FALSE), "-")</f>
        <v>39916000</v>
      </c>
      <c r="H149" s="231"/>
      <c r="I149" s="232"/>
      <c r="J149" s="227" t="s">
        <v>59</v>
      </c>
      <c r="K149" s="228"/>
      <c r="L149" s="229"/>
      <c r="M149" s="233">
        <f>_xlfn.IFNA(VLOOKUP(B149, 현재가테이블!$B$2:$D$200, 3, FALSE), "-")</f>
        <v>7.3184273000000003E-3</v>
      </c>
      <c r="N149" s="234"/>
      <c r="O149" s="235"/>
      <c r="Q149" s="226"/>
      <c r="R149" s="226"/>
      <c r="S149" s="226"/>
    </row>
    <row r="150" spans="1:19" ht="17.25" thickBot="1">
      <c r="A150" s="271" t="s">
        <v>55</v>
      </c>
      <c r="B150" s="267" t="str">
        <f>TEXT($G$1, "[$-ko-KR]yyyy-mm-dd(ddd) ") &amp; "오전 00:00"</f>
        <v>2021-07-12(월) 오전 00:00</v>
      </c>
      <c r="C150" s="268"/>
      <c r="D150" s="240" t="str">
        <f>TEXT($G$1, "[$-ko-KR]yyyy-mm-dd(ddd) ") &amp; "오후 14:00"</f>
        <v>2021-07-12(월) 오후 14:00</v>
      </c>
      <c r="E150" s="241"/>
      <c r="F150" s="242"/>
      <c r="G150" s="240" t="str">
        <f>TEXT($G$1, "[$-ko-KR]yyyy-mm-dd(ddd) ") &amp; "오후 19:00"</f>
        <v>2021-07-12(월) 오후 19:00</v>
      </c>
      <c r="H150" s="241"/>
      <c r="I150" s="242"/>
      <c r="J150" s="240" t="str">
        <f>TEXT($G$1, "[$-ko-KR]yyyy-mm-dd(ddd) ") &amp; "오후 21:00"</f>
        <v>2021-07-12(월) 오후 21:00</v>
      </c>
      <c r="K150" s="241"/>
      <c r="L150" s="242"/>
      <c r="M150" s="240" t="str">
        <f>TEXT($G$1+1, "[$-ko-KR]yyyy-mm-dd(ddd) ") &amp; "오전 00:00"</f>
        <v>2021-07-13(화) 오전 00:00</v>
      </c>
      <c r="N150" s="241"/>
      <c r="O150" s="242"/>
      <c r="Q150" s="226"/>
      <c r="R150" s="226"/>
      <c r="S150" s="226"/>
    </row>
    <row r="151" spans="1:19" ht="17.25" thickBot="1">
      <c r="A151" s="27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02" t="s">
        <v>58</v>
      </c>
      <c r="H151" s="203" t="s">
        <v>269</v>
      </c>
      <c r="I151" s="20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6"/>
      <c r="R151" s="216"/>
      <c r="S151" s="216"/>
    </row>
    <row r="152" spans="1:19" ht="17.25" thickBot="1">
      <c r="A152" s="123" t="s">
        <v>86</v>
      </c>
      <c r="B152" s="124">
        <v>305</v>
      </c>
      <c r="C152" s="76">
        <v>9.9337747999999997E-3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6"/>
      <c r="R152" s="226"/>
      <c r="S152" s="226"/>
    </row>
    <row r="153" spans="1:19" ht="17.25" thickBot="1">
      <c r="A153" s="125" t="s">
        <v>253</v>
      </c>
      <c r="B153" s="126">
        <v>782</v>
      </c>
      <c r="C153" s="77">
        <v>9.0322580999999992E-3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6"/>
      <c r="R153" s="226"/>
      <c r="S153" s="226"/>
    </row>
    <row r="154" spans="1:19" ht="17.25" thickBot="1">
      <c r="A154" s="125" t="s">
        <v>214</v>
      </c>
      <c r="B154" s="126">
        <v>239</v>
      </c>
      <c r="C154" s="77">
        <v>8.4388186E-3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6"/>
      <c r="R154" s="216"/>
      <c r="S154" s="216"/>
    </row>
    <row r="155" spans="1:19" ht="17.25" thickBot="1">
      <c r="A155" s="125" t="s">
        <v>57</v>
      </c>
      <c r="B155" s="126">
        <v>144</v>
      </c>
      <c r="C155" s="77">
        <v>6.9930069999999999E-3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6"/>
      <c r="R155" s="216"/>
      <c r="S155" s="216"/>
    </row>
    <row r="156" spans="1:19" ht="17.25" thickBot="1">
      <c r="A156" s="127" t="s">
        <v>267</v>
      </c>
      <c r="B156" s="128">
        <v>254</v>
      </c>
      <c r="C156" s="78">
        <v>3.9525691999999996E-3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6"/>
      <c r="R156" s="216"/>
      <c r="S156" s="216"/>
    </row>
    <row r="157" spans="1:19" ht="17.25" thickBot="1">
      <c r="A157" s="125" t="s">
        <v>124</v>
      </c>
      <c r="B157" s="129">
        <v>286</v>
      </c>
      <c r="C157" s="80">
        <v>3.5087718999999998E-3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6"/>
      <c r="R157" s="216"/>
      <c r="S157" s="216"/>
    </row>
    <row r="158" spans="1:19" ht="17.25" thickBot="1">
      <c r="A158" s="125" t="s">
        <v>51</v>
      </c>
      <c r="B158" s="126">
        <v>289</v>
      </c>
      <c r="C158" s="77">
        <v>3.4722222000000001E-3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6"/>
      <c r="R158" s="216"/>
      <c r="S158" s="216"/>
    </row>
    <row r="159" spans="1:19" ht="17.25" thickBot="1">
      <c r="A159" s="125" t="s">
        <v>80</v>
      </c>
      <c r="B159" s="126">
        <v>660</v>
      </c>
      <c r="C159" s="77">
        <v>3.0395137E-3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6"/>
      <c r="R159" s="216"/>
      <c r="S159" s="216"/>
    </row>
    <row r="160" spans="1:19" ht="17.25" thickBot="1">
      <c r="A160" s="125" t="s">
        <v>90</v>
      </c>
      <c r="B160" s="126">
        <v>740</v>
      </c>
      <c r="C160" s="77">
        <v>2.7100270999999999E-3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233</v>
      </c>
      <c r="B161" s="131">
        <v>372</v>
      </c>
      <c r="C161" s="79">
        <v>2.6954178000000001E-3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7"/>
      <c r="R161" s="218"/>
      <c r="S161" s="219"/>
    </row>
    <row r="162" spans="1:19">
      <c r="A162" s="123" t="s">
        <v>138</v>
      </c>
      <c r="B162" s="124">
        <v>406</v>
      </c>
      <c r="C162" s="76">
        <v>0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0"/>
      <c r="R162" s="221"/>
      <c r="S162" s="222"/>
    </row>
    <row r="163" spans="1:19" ht="17.25" thickBot="1">
      <c r="A163" s="125" t="s">
        <v>104</v>
      </c>
      <c r="B163" s="126">
        <v>936</v>
      </c>
      <c r="C163" s="77">
        <v>-4.2553191000000001E-3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3"/>
      <c r="R163" s="224"/>
      <c r="S163" s="225"/>
    </row>
    <row r="164" spans="1:19" ht="17.25" thickBot="1">
      <c r="A164" s="125" t="s">
        <v>255</v>
      </c>
      <c r="B164" s="126">
        <v>190</v>
      </c>
      <c r="C164" s="77">
        <v>-5.2356021000000003E-3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6"/>
      <c r="R164" s="216"/>
      <c r="S164" s="216"/>
    </row>
    <row r="165" spans="1:19" ht="17.25" thickBot="1">
      <c r="A165" s="125" t="s">
        <v>184</v>
      </c>
      <c r="B165" s="126">
        <v>874</v>
      </c>
      <c r="C165" s="77">
        <v>-5.6882820999999998E-3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6"/>
      <c r="R165" s="226"/>
      <c r="S165" s="226"/>
    </row>
    <row r="166" spans="1:19" ht="17.25" thickBot="1">
      <c r="A166" s="127" t="s">
        <v>228</v>
      </c>
      <c r="B166" s="128">
        <v>299</v>
      </c>
      <c r="C166" s="78">
        <v>-6.6445183E-3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6"/>
      <c r="R166" s="226"/>
      <c r="S166" s="226"/>
    </row>
    <row r="167" spans="1:19" ht="17.25" thickBot="1">
      <c r="A167" s="125" t="s">
        <v>231</v>
      </c>
      <c r="B167" s="129">
        <v>153</v>
      </c>
      <c r="C167" s="80">
        <v>-1.2903225799999999E-2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6"/>
      <c r="R167" s="216"/>
      <c r="S167" s="216"/>
    </row>
    <row r="168" spans="1:19" ht="17.25" thickBot="1">
      <c r="A168" s="125" t="s">
        <v>243</v>
      </c>
      <c r="B168" s="126">
        <v>369</v>
      </c>
      <c r="C168" s="77">
        <v>-1.3368984E-2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6"/>
      <c r="R168" s="216"/>
      <c r="S168" s="216"/>
    </row>
    <row r="169" spans="1:19" ht="17.25" thickBot="1">
      <c r="A169" s="125" t="s">
        <v>61</v>
      </c>
      <c r="B169" s="126">
        <v>870</v>
      </c>
      <c r="C169" s="77">
        <v>-1.6949152499999998E-2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6"/>
      <c r="R169" s="216"/>
      <c r="S169" s="216"/>
    </row>
    <row r="170" spans="1:19">
      <c r="A170" s="125" t="s">
        <v>220</v>
      </c>
      <c r="B170" s="126">
        <v>169</v>
      </c>
      <c r="C170" s="77">
        <v>-2.3121387300000001E-2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05"/>
      <c r="R170" s="206"/>
      <c r="S170" s="207"/>
    </row>
    <row r="171" spans="1:19" ht="17.25" thickBot="1">
      <c r="A171" s="130" t="s">
        <v>114</v>
      </c>
      <c r="B171" s="131">
        <v>562</v>
      </c>
      <c r="C171" s="79">
        <v>-3.6020583199999998E-2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08"/>
      <c r="R171" s="209"/>
      <c r="S171" s="210"/>
    </row>
    <row r="172" spans="1:19" ht="17.25" thickBot="1">
      <c r="A172" s="132" t="s">
        <v>271</v>
      </c>
      <c r="B172" s="269">
        <f>$B$37</f>
        <v>100000</v>
      </c>
      <c r="C172" s="270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11"/>
      <c r="R172" s="212"/>
      <c r="S172" s="213"/>
    </row>
    <row r="174" spans="1:19" ht="17.25" thickBot="1"/>
    <row r="175" spans="1:19" ht="17.25" thickBot="1">
      <c r="A175" s="227" t="s">
        <v>256</v>
      </c>
      <c r="B175" s="228"/>
      <c r="C175" s="228"/>
      <c r="D175" s="228"/>
      <c r="E175" s="228"/>
      <c r="F175" s="228"/>
      <c r="G175" s="228"/>
      <c r="H175" s="228"/>
      <c r="I175" s="228"/>
      <c r="J175" s="228"/>
      <c r="K175" s="228"/>
      <c r="L175" s="228"/>
      <c r="M175" s="228"/>
      <c r="N175" s="228"/>
      <c r="O175" s="229"/>
      <c r="Q175" s="226"/>
      <c r="R175" s="226"/>
      <c r="S175" s="226"/>
    </row>
    <row r="176" spans="1:19" ht="17.25" thickBot="1">
      <c r="A176" s="201" t="s">
        <v>268</v>
      </c>
      <c r="B176" s="227" t="s">
        <v>49</v>
      </c>
      <c r="C176" s="229"/>
      <c r="D176" s="227" t="s">
        <v>58</v>
      </c>
      <c r="E176" s="228"/>
      <c r="F176" s="229"/>
      <c r="G176" s="230">
        <f>_xlfn.IFNA(VLOOKUP(B176, 현재가테이블!$B$2:$D$200, 2, FALSE), "-")</f>
        <v>39916000</v>
      </c>
      <c r="H176" s="231"/>
      <c r="I176" s="232"/>
      <c r="J176" s="227" t="s">
        <v>59</v>
      </c>
      <c r="K176" s="228"/>
      <c r="L176" s="229"/>
      <c r="M176" s="233">
        <f>_xlfn.IFNA(VLOOKUP(B176, 현재가테이블!$B$2:$D$200, 3, FALSE), "-")</f>
        <v>7.3184273000000003E-3</v>
      </c>
      <c r="N176" s="234"/>
      <c r="O176" s="235"/>
      <c r="Q176" s="226"/>
      <c r="R176" s="226"/>
      <c r="S176" s="226"/>
    </row>
    <row r="177" spans="1:19" ht="17.25" thickBot="1">
      <c r="A177" s="271" t="s">
        <v>55</v>
      </c>
      <c r="B177" s="267" t="str">
        <f>TEXT($G$1, "[$-ko-KR]yyyy-mm-dd(ddd) ") &amp; "오전 00:00"</f>
        <v>2021-07-12(월) 오전 00:00</v>
      </c>
      <c r="C177" s="268"/>
      <c r="D177" s="240" t="str">
        <f>TEXT($G$1, "[$-ko-KR]yyyy-mm-dd(ddd) ") &amp; "오후 14:00"</f>
        <v>2021-07-12(월) 오후 14:00</v>
      </c>
      <c r="E177" s="241"/>
      <c r="F177" s="242"/>
      <c r="G177" s="240" t="str">
        <f>TEXT($G$1, "[$-ko-KR]yyyy-mm-dd(ddd) ") &amp; "오후 19:00"</f>
        <v>2021-07-12(월) 오후 19:00</v>
      </c>
      <c r="H177" s="241"/>
      <c r="I177" s="242"/>
      <c r="J177" s="240" t="str">
        <f>TEXT($G$1, "[$-ko-KR]yyyy-mm-dd(ddd) ") &amp; "오후 21:00"</f>
        <v>2021-07-12(월) 오후 21:00</v>
      </c>
      <c r="K177" s="241"/>
      <c r="L177" s="242"/>
      <c r="M177" s="240" t="str">
        <f>TEXT($G$1+1, "[$-ko-KR]yyyy-mm-dd(ddd) ") &amp; "오전 00:00"</f>
        <v>2021-07-13(화) 오전 00:00</v>
      </c>
      <c r="N177" s="241"/>
      <c r="O177" s="242"/>
      <c r="Q177" s="226"/>
      <c r="R177" s="226"/>
      <c r="S177" s="226"/>
    </row>
    <row r="178" spans="1:19" ht="17.25" thickBot="1">
      <c r="A178" s="27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02" t="s">
        <v>58</v>
      </c>
      <c r="H178" s="203" t="s">
        <v>269</v>
      </c>
      <c r="I178" s="20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6"/>
      <c r="R178" s="216"/>
      <c r="S178" s="216"/>
    </row>
    <row r="179" spans="1:19" ht="17.25" thickBot="1">
      <c r="A179" s="123" t="s">
        <v>138</v>
      </c>
      <c r="B179" s="124">
        <v>406</v>
      </c>
      <c r="C179" s="76">
        <v>0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6"/>
      <c r="R179" s="226"/>
      <c r="S179" s="226"/>
    </row>
    <row r="180" spans="1:19" ht="17.25" thickBot="1">
      <c r="A180" s="125" t="s">
        <v>196</v>
      </c>
      <c r="B180" s="126">
        <v>3680</v>
      </c>
      <c r="C180" s="77">
        <v>0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6"/>
      <c r="R180" s="226"/>
      <c r="S180" s="226"/>
    </row>
    <row r="181" spans="1:19" ht="17.25" thickBot="1">
      <c r="A181" s="125" t="s">
        <v>78</v>
      </c>
      <c r="B181" s="126">
        <v>587000</v>
      </c>
      <c r="C181" s="77">
        <v>-1.0211027999999999E-3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6"/>
      <c r="R181" s="216"/>
      <c r="S181" s="216"/>
    </row>
    <row r="182" spans="1:19" ht="17.25" thickBot="1">
      <c r="A182" s="125" t="s">
        <v>104</v>
      </c>
      <c r="B182" s="126">
        <v>936</v>
      </c>
      <c r="C182" s="77">
        <v>-4.2553191000000001E-3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6"/>
      <c r="R182" s="216"/>
      <c r="S182" s="216"/>
    </row>
    <row r="183" spans="1:19" ht="17.25" thickBot="1">
      <c r="A183" s="127" t="s">
        <v>160</v>
      </c>
      <c r="B183" s="128">
        <v>1115</v>
      </c>
      <c r="C183" s="78">
        <v>-4.4642856999999999E-3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6"/>
      <c r="R183" s="216"/>
      <c r="S183" s="216"/>
    </row>
    <row r="184" spans="1:19" ht="17.25" thickBot="1">
      <c r="A184" s="125" t="s">
        <v>245</v>
      </c>
      <c r="B184" s="129">
        <v>1110</v>
      </c>
      <c r="C184" s="80">
        <v>-4.4843048999999996E-3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6"/>
      <c r="R184" s="216"/>
      <c r="S184" s="216"/>
    </row>
    <row r="185" spans="1:19" ht="17.25" thickBot="1">
      <c r="A185" s="125" t="s">
        <v>255</v>
      </c>
      <c r="B185" s="126">
        <v>190</v>
      </c>
      <c r="C185" s="77">
        <v>-5.2356021000000003E-3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6"/>
      <c r="R185" s="216"/>
      <c r="S185" s="216"/>
    </row>
    <row r="186" spans="1:19" ht="17.25" thickBot="1">
      <c r="A186" s="125" t="s">
        <v>154</v>
      </c>
      <c r="B186" s="126">
        <v>20740</v>
      </c>
      <c r="C186" s="77">
        <v>-5.2757793999999997E-3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6"/>
      <c r="R186" s="216"/>
      <c r="S186" s="216"/>
    </row>
    <row r="187" spans="1:19" ht="17.25" thickBot="1">
      <c r="A187" s="125" t="s">
        <v>184</v>
      </c>
      <c r="B187" s="126">
        <v>874</v>
      </c>
      <c r="C187" s="77">
        <v>-5.6882820999999998E-3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228</v>
      </c>
      <c r="B188" s="131">
        <v>299</v>
      </c>
      <c r="C188" s="79">
        <v>-6.6445183E-3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7"/>
      <c r="R188" s="218"/>
      <c r="S188" s="219"/>
    </row>
    <row r="189" spans="1:19">
      <c r="A189" s="123" t="s">
        <v>188</v>
      </c>
      <c r="B189" s="124">
        <v>9.6999999999999993</v>
      </c>
      <c r="C189" s="76">
        <v>-1.22199593E-2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0"/>
      <c r="R189" s="221"/>
      <c r="S189" s="222"/>
    </row>
    <row r="190" spans="1:19" ht="17.25" thickBot="1">
      <c r="A190" s="125" t="s">
        <v>231</v>
      </c>
      <c r="B190" s="126">
        <v>153</v>
      </c>
      <c r="C190" s="77">
        <v>-1.2903225799999999E-2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3"/>
      <c r="R190" s="224"/>
      <c r="S190" s="225"/>
    </row>
    <row r="191" spans="1:19" ht="17.25" thickBot="1">
      <c r="A191" s="125" t="s">
        <v>243</v>
      </c>
      <c r="B191" s="126">
        <v>369</v>
      </c>
      <c r="C191" s="77">
        <v>-1.3368984E-2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6"/>
      <c r="R191" s="216"/>
      <c r="S191" s="216"/>
    </row>
    <row r="192" spans="1:19" ht="17.25" thickBot="1">
      <c r="A192" s="125" t="s">
        <v>251</v>
      </c>
      <c r="B192" s="126">
        <v>59</v>
      </c>
      <c r="C192" s="77">
        <v>-1.33779264E-2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6"/>
      <c r="R192" s="226"/>
      <c r="S192" s="226"/>
    </row>
    <row r="193" spans="1:19" ht="17.25" thickBot="1">
      <c r="A193" s="127" t="s">
        <v>61</v>
      </c>
      <c r="B193" s="128">
        <v>870</v>
      </c>
      <c r="C193" s="78">
        <v>-1.6949152499999998E-2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6"/>
      <c r="R193" s="226"/>
      <c r="S193" s="226"/>
    </row>
    <row r="194" spans="1:19" ht="17.25" thickBot="1">
      <c r="A194" s="125" t="s">
        <v>241</v>
      </c>
      <c r="B194" s="129">
        <v>53.9</v>
      </c>
      <c r="C194" s="80">
        <v>-1.82149362E-2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6"/>
      <c r="R194" s="216"/>
      <c r="S194" s="216"/>
    </row>
    <row r="195" spans="1:19" ht="17.25" thickBot="1">
      <c r="A195" s="125" t="s">
        <v>220</v>
      </c>
      <c r="B195" s="126">
        <v>169</v>
      </c>
      <c r="C195" s="77">
        <v>-2.3121387300000001E-2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6"/>
      <c r="R195" s="216"/>
      <c r="S195" s="216"/>
    </row>
    <row r="196" spans="1:19" ht="17.25" thickBot="1">
      <c r="A196" s="125" t="s">
        <v>210</v>
      </c>
      <c r="B196" s="126">
        <v>9.5</v>
      </c>
      <c r="C196" s="77">
        <v>-2.5641025599999999E-2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6"/>
      <c r="R196" s="216"/>
      <c r="S196" s="216"/>
    </row>
    <row r="197" spans="1:19">
      <c r="A197" s="125" t="s">
        <v>198</v>
      </c>
      <c r="B197" s="126">
        <v>21640</v>
      </c>
      <c r="C197" s="77">
        <v>-2.5664115299999998E-2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05"/>
      <c r="R197" s="206"/>
      <c r="S197" s="207"/>
    </row>
    <row r="198" spans="1:19" ht="17.25" thickBot="1">
      <c r="A198" s="130" t="s">
        <v>114</v>
      </c>
      <c r="B198" s="131">
        <v>562</v>
      </c>
      <c r="C198" s="79">
        <v>-3.6020583199999998E-2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08"/>
      <c r="R198" s="209"/>
      <c r="S198" s="210"/>
    </row>
    <row r="199" spans="1:19" ht="17.25" thickBot="1">
      <c r="A199" s="132" t="s">
        <v>271</v>
      </c>
      <c r="B199" s="269">
        <f>$B$37</f>
        <v>100000</v>
      </c>
      <c r="C199" s="270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11"/>
      <c r="R199" s="212"/>
      <c r="S199" s="213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17</vt:i4>
      </vt:variant>
    </vt:vector>
  </HeadingPairs>
  <TitlesOfParts>
    <vt:vector size="17" baseType="lpstr">
      <vt:lpstr>투자전략(조건부서식초기화)</vt:lpstr>
      <vt:lpstr>투자전략</vt:lpstr>
      <vt:lpstr>현재가테이블</vt:lpstr>
      <vt:lpstr>종목선정</vt:lpstr>
      <vt:lpstr>월말결산</vt:lpstr>
      <vt:lpstr>2021.07.01</vt:lpstr>
      <vt:lpstr>2021.07.02</vt:lpstr>
      <vt:lpstr>2021.07.03</vt:lpstr>
      <vt:lpstr>2021.07.04</vt:lpstr>
      <vt:lpstr>2021.07.05</vt:lpstr>
      <vt:lpstr>2021.07.06</vt:lpstr>
      <vt:lpstr>2021.07.07</vt:lpstr>
      <vt:lpstr>2021.07.08</vt:lpstr>
      <vt:lpstr>2021.07.09</vt:lpstr>
      <vt:lpstr>2021.07.10</vt:lpstr>
      <vt:lpstr>2021.07.11</vt:lpstr>
      <vt:lpstr>2021.07.12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2021-07-11T15:35:10Z</dcterms:modified>
</cp:coreProperties>
</file>